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72da5583838e4d1b"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12" documentId="8_{F8C9D77C-DD7F-4D5C-A8D6-1E9B41BF1D35}" xr6:coauthVersionLast="47" xr6:coauthVersionMax="47" xr10:uidLastSave="{C7C448C5-E39A-448D-AF69-5D6CCEA1D939}"/>
  <bookViews>
    <workbookView xWindow="-120" yWindow="-120" windowWidth="29040" windowHeight="15840" tabRatio="909" activeTab="3" xr2:uid="{00000000-000D-0000-FFFF-FFFF00000000}"/>
  </bookViews>
  <sheets>
    <sheet name="Description" sheetId="10" r:id="rId1"/>
    <sheet name="LFC inputs" sheetId="151" r:id="rId2"/>
    <sheet name="Model inputs" sheetId="84" r:id="rId3"/>
    <sheet name="DCF" sheetId="150" r:id="rId4"/>
  </sheets>
  <definedNames>
    <definedName name="company">'Model inputs'!$A$104:$A$106</definedName>
    <definedName name="_xlnm.Print_Area" localSheetId="3">DCF!$A$1:$Q$318</definedName>
    <definedName name="_xlnm.Print_Area" localSheetId="0">Description!$A$1:$F$11</definedName>
    <definedName name="_xlnm.Print_Area" localSheetId="1">'LFC inputs'!$A$1:$Q$36</definedName>
    <definedName name="_xlnm.Print_Area" localSheetId="2">'Model inputs'!$A$1:$O$103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51" l="1"/>
  <c r="E11" i="151"/>
  <c r="F11" i="151"/>
  <c r="G11" i="151"/>
  <c r="H11" i="151"/>
  <c r="I11" i="151"/>
  <c r="J11" i="151"/>
  <c r="L11" i="151"/>
  <c r="M11" i="151"/>
  <c r="N11" i="151"/>
  <c r="K11" i="151"/>
  <c r="D25" i="151"/>
  <c r="E18" i="151" l="1"/>
  <c r="F18" i="151"/>
  <c r="G18" i="151"/>
  <c r="H18" i="151"/>
  <c r="I18" i="151"/>
  <c r="J18" i="151"/>
  <c r="K18" i="151"/>
  <c r="L18" i="151"/>
  <c r="M18" i="151"/>
  <c r="N18" i="151"/>
  <c r="D18" i="151"/>
  <c r="F25" i="151" l="1"/>
  <c r="G25" i="151"/>
  <c r="H25" i="151"/>
  <c r="I25" i="151"/>
  <c r="J25" i="151"/>
  <c r="K25" i="151"/>
  <c r="L25" i="151"/>
  <c r="M25" i="151"/>
  <c r="N25" i="151"/>
  <c r="E25" i="151"/>
  <c r="D94" i="84" l="1"/>
  <c r="E9" i="84"/>
  <c r="D13" i="84"/>
  <c r="F11" i="84"/>
  <c r="E23" i="84"/>
  <c r="I22" i="84"/>
  <c r="E22" i="84"/>
  <c r="E11" i="84"/>
  <c r="E95" i="84"/>
  <c r="F95" i="84"/>
  <c r="G95" i="84"/>
  <c r="H95" i="84"/>
  <c r="I95" i="84"/>
  <c r="J95" i="84"/>
  <c r="K95" i="84"/>
  <c r="L95" i="84"/>
  <c r="M95" i="84"/>
  <c r="N95" i="84"/>
  <c r="D95" i="84"/>
  <c r="F22" i="84"/>
  <c r="G22" i="84"/>
  <c r="H22" i="84"/>
  <c r="J22" i="84"/>
  <c r="K22" i="84"/>
  <c r="L22" i="84"/>
  <c r="M22" i="84"/>
  <c r="N22" i="84"/>
  <c r="D23" i="84"/>
  <c r="D24" i="84"/>
  <c r="D22" i="84"/>
  <c r="C21" i="84"/>
  <c r="C20" i="84"/>
  <c r="D11" i="84"/>
  <c r="D9" i="84"/>
  <c r="C10" i="84"/>
  <c r="C8" i="84"/>
  <c r="D7" i="84"/>
  <c r="E7" i="84" l="1"/>
  <c r="E13" i="84"/>
  <c r="D27" i="84"/>
  <c r="E27" i="84"/>
  <c r="E17" i="84"/>
  <c r="F23" i="84"/>
  <c r="E94" i="84"/>
  <c r="D17" i="84"/>
  <c r="D26" i="84"/>
  <c r="D16" i="84"/>
  <c r="E16" i="84"/>
  <c r="E26" i="84"/>
  <c r="D25" i="84"/>
  <c r="E24" i="84"/>
  <c r="G9" i="84"/>
  <c r="F9" i="84"/>
  <c r="C50" i="150"/>
  <c r="C22" i="150" s="1"/>
  <c r="C43" i="150"/>
  <c r="C76" i="150"/>
  <c r="C113" i="150"/>
  <c r="C59" i="150"/>
  <c r="E25" i="84" l="1"/>
  <c r="E92" i="150" s="1"/>
  <c r="F13" i="84"/>
  <c r="F27" i="150" s="1"/>
  <c r="F16" i="84"/>
  <c r="F46" i="150" s="1"/>
  <c r="G11" i="84"/>
  <c r="G52" i="150" s="1"/>
  <c r="G23" i="84"/>
  <c r="G85" i="150" s="1"/>
  <c r="F26" i="84"/>
  <c r="F80" i="150" s="1"/>
  <c r="F27" i="84"/>
  <c r="F86" i="150" s="1"/>
  <c r="F94" i="150" s="1"/>
  <c r="F17" i="84"/>
  <c r="F53" i="150" s="1"/>
  <c r="F237" i="150" s="1"/>
  <c r="F94" i="84"/>
  <c r="F62" i="150" s="1"/>
  <c r="F66" i="150" s="1"/>
  <c r="F7" i="84"/>
  <c r="F17" i="150" s="1"/>
  <c r="F24" i="84"/>
  <c r="F91" i="150" s="1"/>
  <c r="H9" i="84"/>
  <c r="H45" i="150" s="1"/>
  <c r="E97" i="84"/>
  <c r="D96" i="84"/>
  <c r="E96" i="84"/>
  <c r="D97" i="84"/>
  <c r="C130" i="150"/>
  <c r="C132" i="150" s="1"/>
  <c r="D129" i="150" s="1"/>
  <c r="D92" i="150"/>
  <c r="E91" i="150"/>
  <c r="D91" i="150"/>
  <c r="N76" i="150"/>
  <c r="N113" i="150" s="1"/>
  <c r="M76" i="150"/>
  <c r="M113" i="150" s="1"/>
  <c r="L76" i="150"/>
  <c r="L113" i="150" s="1"/>
  <c r="K76" i="150"/>
  <c r="K113" i="150" s="1"/>
  <c r="J76" i="150"/>
  <c r="J113" i="150" s="1"/>
  <c r="I76" i="150"/>
  <c r="I113" i="150" s="1"/>
  <c r="H76" i="150"/>
  <c r="H113" i="150" s="1"/>
  <c r="G76" i="150"/>
  <c r="G113" i="150" s="1"/>
  <c r="F76" i="150"/>
  <c r="F113" i="150" s="1"/>
  <c r="E76" i="150"/>
  <c r="E113" i="150" s="1"/>
  <c r="D76" i="150"/>
  <c r="D113" i="150" s="1"/>
  <c r="E86" i="150"/>
  <c r="E94" i="150" s="1"/>
  <c r="D86" i="150"/>
  <c r="D94" i="150" s="1"/>
  <c r="F85" i="150"/>
  <c r="E85" i="150"/>
  <c r="D85" i="150"/>
  <c r="D84" i="150"/>
  <c r="E80" i="150"/>
  <c r="D80" i="150"/>
  <c r="N79" i="150"/>
  <c r="M79" i="150"/>
  <c r="L79" i="150"/>
  <c r="K79" i="150"/>
  <c r="J79" i="150"/>
  <c r="I79" i="150"/>
  <c r="H79" i="150"/>
  <c r="G79" i="150"/>
  <c r="F79" i="150"/>
  <c r="E79" i="150"/>
  <c r="D79" i="150"/>
  <c r="D78" i="150"/>
  <c r="E62" i="150"/>
  <c r="E66" i="150" s="1"/>
  <c r="D62" i="150"/>
  <c r="D66" i="150" s="1"/>
  <c r="C62" i="150"/>
  <c r="E53" i="150"/>
  <c r="D53" i="150"/>
  <c r="F52" i="150"/>
  <c r="E52" i="150"/>
  <c r="E297" i="150" s="1"/>
  <c r="D52" i="150"/>
  <c r="E46" i="150"/>
  <c r="D46" i="150"/>
  <c r="G45" i="150"/>
  <c r="F45" i="150"/>
  <c r="E45" i="150"/>
  <c r="D45" i="150"/>
  <c r="C47" i="150"/>
  <c r="D44" i="150" s="1"/>
  <c r="N40" i="150"/>
  <c r="M40" i="150"/>
  <c r="L40" i="150"/>
  <c r="K40" i="150"/>
  <c r="J40" i="150"/>
  <c r="I40" i="150"/>
  <c r="H40" i="150"/>
  <c r="G40" i="150"/>
  <c r="F40" i="150"/>
  <c r="E40" i="150"/>
  <c r="D40" i="150"/>
  <c r="C40" i="150"/>
  <c r="E27" i="150"/>
  <c r="D27" i="150"/>
  <c r="F26" i="150"/>
  <c r="E26" i="150"/>
  <c r="D26" i="150"/>
  <c r="E17" i="150"/>
  <c r="D17" i="150"/>
  <c r="N15" i="150"/>
  <c r="M15" i="150"/>
  <c r="L15" i="150"/>
  <c r="K15" i="150"/>
  <c r="J15" i="150"/>
  <c r="I15" i="150"/>
  <c r="H15" i="150"/>
  <c r="G15" i="150"/>
  <c r="F15" i="150"/>
  <c r="E15" i="150"/>
  <c r="D15" i="150"/>
  <c r="C15" i="150"/>
  <c r="F25" i="84" l="1"/>
  <c r="F92" i="150" s="1"/>
  <c r="G13" i="84"/>
  <c r="G27" i="150" s="1"/>
  <c r="G26" i="150"/>
  <c r="H23" i="84"/>
  <c r="H85" i="150" s="1"/>
  <c r="H11" i="84"/>
  <c r="G17" i="84"/>
  <c r="G53" i="150" s="1"/>
  <c r="G237" i="150" s="1"/>
  <c r="G26" i="84"/>
  <c r="G80" i="150" s="1"/>
  <c r="G16" i="84"/>
  <c r="G46" i="150" s="1"/>
  <c r="F97" i="84"/>
  <c r="F96" i="84"/>
  <c r="G94" i="84"/>
  <c r="G7" i="84"/>
  <c r="G17" i="150" s="1"/>
  <c r="G24" i="84"/>
  <c r="G91" i="150" s="1"/>
  <c r="I9" i="84"/>
  <c r="I45" i="150" s="1"/>
  <c r="L245" i="150"/>
  <c r="L59" i="150"/>
  <c r="E245" i="150"/>
  <c r="E59" i="150"/>
  <c r="M245" i="150"/>
  <c r="M59" i="150"/>
  <c r="F245" i="150"/>
  <c r="F59" i="150"/>
  <c r="N245" i="150"/>
  <c r="N59" i="150"/>
  <c r="G245" i="150"/>
  <c r="G59" i="150"/>
  <c r="H245" i="150"/>
  <c r="H59" i="150"/>
  <c r="I245" i="150"/>
  <c r="I59" i="150"/>
  <c r="J245" i="150"/>
  <c r="J59" i="150"/>
  <c r="D245" i="150"/>
  <c r="D59" i="150"/>
  <c r="K245" i="150"/>
  <c r="K59" i="150"/>
  <c r="D47" i="150"/>
  <c r="D12" i="84" s="1"/>
  <c r="D81" i="150"/>
  <c r="D28" i="84" s="1"/>
  <c r="C63" i="150"/>
  <c r="D61" i="150" s="1"/>
  <c r="D63" i="150" s="1"/>
  <c r="G297" i="150"/>
  <c r="D237" i="150"/>
  <c r="D297" i="150"/>
  <c r="C55" i="150"/>
  <c r="D51" i="150" s="1"/>
  <c r="F297" i="150"/>
  <c r="E237" i="150"/>
  <c r="D123" i="150" l="1"/>
  <c r="D131" i="150" s="1"/>
  <c r="D236" i="150" s="1"/>
  <c r="G25" i="84"/>
  <c r="G92" i="150" s="1"/>
  <c r="H25" i="84"/>
  <c r="H92" i="150" s="1"/>
  <c r="G27" i="84"/>
  <c r="G86" i="150" s="1"/>
  <c r="G94" i="150" s="1"/>
  <c r="H26" i="150"/>
  <c r="H52" i="150"/>
  <c r="H297" i="150" s="1"/>
  <c r="H26" i="84"/>
  <c r="H80" i="150" s="1"/>
  <c r="H16" i="84"/>
  <c r="H46" i="150" s="1"/>
  <c r="I23" i="84"/>
  <c r="I85" i="150" s="1"/>
  <c r="I11" i="84"/>
  <c r="H27" i="84"/>
  <c r="H86" i="150" s="1"/>
  <c r="H94" i="150" s="1"/>
  <c r="H94" i="84"/>
  <c r="H17" i="84"/>
  <c r="H53" i="150" s="1"/>
  <c r="H237" i="150" s="1"/>
  <c r="G62" i="150"/>
  <c r="G66" i="150" s="1"/>
  <c r="G96" i="84"/>
  <c r="G97" i="84"/>
  <c r="H7" i="84"/>
  <c r="H17" i="150" s="1"/>
  <c r="H24" i="84"/>
  <c r="H91" i="150" s="1"/>
  <c r="J9" i="84"/>
  <c r="J45" i="150" s="1"/>
  <c r="E78" i="150"/>
  <c r="E81" i="150" s="1"/>
  <c r="E28" i="84" s="1"/>
  <c r="E44" i="150"/>
  <c r="E47" i="150" s="1"/>
  <c r="E61" i="150"/>
  <c r="E63" i="150" s="1"/>
  <c r="F61" i="150" s="1"/>
  <c r="F63" i="150" s="1"/>
  <c r="G61" i="150" s="1"/>
  <c r="C301" i="150"/>
  <c r="D296" i="150" s="1"/>
  <c r="C249" i="150"/>
  <c r="H13" i="84" l="1"/>
  <c r="H27" i="150" s="1"/>
  <c r="I25" i="84"/>
  <c r="I92" i="150" s="1"/>
  <c r="I27" i="84"/>
  <c r="I86" i="150" s="1"/>
  <c r="I94" i="150" s="1"/>
  <c r="I26" i="84"/>
  <c r="I80" i="150" s="1"/>
  <c r="I16" i="84"/>
  <c r="I46" i="150" s="1"/>
  <c r="I26" i="150"/>
  <c r="I52" i="150"/>
  <c r="I297" i="150" s="1"/>
  <c r="J23" i="84"/>
  <c r="J85" i="150" s="1"/>
  <c r="J11" i="84"/>
  <c r="G63" i="150"/>
  <c r="H61" i="150" s="1"/>
  <c r="H97" i="84"/>
  <c r="H96" i="84"/>
  <c r="H62" i="150"/>
  <c r="H66" i="150" s="1"/>
  <c r="I94" i="84"/>
  <c r="I7" i="84"/>
  <c r="I17" i="150" s="1"/>
  <c r="I24" i="84"/>
  <c r="I91" i="150" s="1"/>
  <c r="K9" i="84"/>
  <c r="K45" i="150" s="1"/>
  <c r="F44" i="150"/>
  <c r="F47" i="150" s="1"/>
  <c r="F12" i="84" s="1"/>
  <c r="F54" i="150" s="1"/>
  <c r="E12" i="84"/>
  <c r="F78" i="150"/>
  <c r="F81" i="150" s="1"/>
  <c r="F28" i="84" s="1"/>
  <c r="D132" i="150"/>
  <c r="E129" i="150" s="1"/>
  <c r="D298" i="150"/>
  <c r="C281" i="150"/>
  <c r="C293" i="150" s="1"/>
  <c r="I13" i="84" l="1"/>
  <c r="I27" i="150" s="1"/>
  <c r="J25" i="84"/>
  <c r="J92" i="150" s="1"/>
  <c r="I17" i="84"/>
  <c r="I53" i="150" s="1"/>
  <c r="I237" i="150" s="1"/>
  <c r="J26" i="150"/>
  <c r="J52" i="150"/>
  <c r="J297" i="150" s="1"/>
  <c r="J26" i="84"/>
  <c r="J80" i="150" s="1"/>
  <c r="J16" i="84"/>
  <c r="J46" i="150" s="1"/>
  <c r="K23" i="84"/>
  <c r="K85" i="150" s="1"/>
  <c r="K11" i="84"/>
  <c r="H63" i="150"/>
  <c r="I61" i="150" s="1"/>
  <c r="J94" i="84"/>
  <c r="J27" i="84"/>
  <c r="J86" i="150" s="1"/>
  <c r="J94" i="150" s="1"/>
  <c r="J17" i="84"/>
  <c r="J53" i="150" s="1"/>
  <c r="J237" i="150" s="1"/>
  <c r="I97" i="84"/>
  <c r="I96" i="84"/>
  <c r="I62" i="150"/>
  <c r="I66" i="150" s="1"/>
  <c r="J24" i="84"/>
  <c r="J91" i="150" s="1"/>
  <c r="J7" i="84"/>
  <c r="J17" i="150" s="1"/>
  <c r="L9" i="84"/>
  <c r="L45" i="150" s="1"/>
  <c r="G44" i="150"/>
  <c r="G47" i="150" s="1"/>
  <c r="G12" i="84" s="1"/>
  <c r="E54" i="150"/>
  <c r="G78" i="150"/>
  <c r="G81" i="150" s="1"/>
  <c r="G28" i="84" s="1"/>
  <c r="F157" i="150"/>
  <c r="F159" i="150" s="1"/>
  <c r="G156" i="150" s="1"/>
  <c r="F28" i="150"/>
  <c r="D39" i="84"/>
  <c r="E39" i="84"/>
  <c r="E101" i="84" s="1"/>
  <c r="F39" i="84"/>
  <c r="F101" i="84" s="1"/>
  <c r="G39" i="84"/>
  <c r="G101" i="84" s="1"/>
  <c r="H39" i="84"/>
  <c r="H101" i="84" s="1"/>
  <c r="I39" i="84"/>
  <c r="I101" i="84" s="1"/>
  <c r="J39" i="84"/>
  <c r="J101" i="84" s="1"/>
  <c r="K39" i="84"/>
  <c r="K101" i="84" s="1"/>
  <c r="L39" i="84"/>
  <c r="L101" i="84" s="1"/>
  <c r="M39" i="84"/>
  <c r="M101" i="84" s="1"/>
  <c r="N39" i="84"/>
  <c r="N101" i="84" s="1"/>
  <c r="C39" i="84"/>
  <c r="J13" i="84" l="1"/>
  <c r="J27" i="150" s="1"/>
  <c r="K25" i="84"/>
  <c r="K92" i="150" s="1"/>
  <c r="L23" i="84"/>
  <c r="L85" i="150" s="1"/>
  <c r="L11" i="84"/>
  <c r="K17" i="84"/>
  <c r="K53" i="150" s="1"/>
  <c r="K237" i="150" s="1"/>
  <c r="K26" i="84"/>
  <c r="K80" i="150" s="1"/>
  <c r="K16" i="84"/>
  <c r="K46" i="150" s="1"/>
  <c r="K26" i="150"/>
  <c r="K52" i="150"/>
  <c r="K297" i="150" s="1"/>
  <c r="I63" i="150"/>
  <c r="J61" i="150" s="1"/>
  <c r="K27" i="84"/>
  <c r="K86" i="150" s="1"/>
  <c r="K94" i="150" s="1"/>
  <c r="K94" i="84"/>
  <c r="J96" i="84"/>
  <c r="J62" i="150"/>
  <c r="J66" i="150" s="1"/>
  <c r="J97" i="84"/>
  <c r="K24" i="84"/>
  <c r="K91" i="150" s="1"/>
  <c r="K7" i="84"/>
  <c r="K17" i="150" s="1"/>
  <c r="N9" i="84"/>
  <c r="N45" i="150" s="1"/>
  <c r="M9" i="84"/>
  <c r="M45" i="150" s="1"/>
  <c r="H44" i="150"/>
  <c r="H47" i="150" s="1"/>
  <c r="H12" i="84" s="1"/>
  <c r="H54" i="150" s="1"/>
  <c r="E148" i="150"/>
  <c r="E150" i="150" s="1"/>
  <c r="F147" i="150" s="1"/>
  <c r="E28" i="150"/>
  <c r="G54" i="150"/>
  <c r="H78" i="150"/>
  <c r="H81" i="150" s="1"/>
  <c r="H28" i="84" s="1"/>
  <c r="F247" i="150"/>
  <c r="F299" i="150"/>
  <c r="C32" i="84"/>
  <c r="K13" i="84" l="1"/>
  <c r="K27" i="150" s="1"/>
  <c r="L13" i="84"/>
  <c r="L27" i="150" s="1"/>
  <c r="L27" i="84"/>
  <c r="L86" i="150" s="1"/>
  <c r="L94" i="150" s="1"/>
  <c r="L26" i="84"/>
  <c r="L80" i="150" s="1"/>
  <c r="L16" i="84"/>
  <c r="L46" i="150" s="1"/>
  <c r="L26" i="150"/>
  <c r="L52" i="150"/>
  <c r="L297" i="150" s="1"/>
  <c r="M23" i="84"/>
  <c r="M85" i="150" s="1"/>
  <c r="M11" i="84"/>
  <c r="L94" i="84"/>
  <c r="L17" i="84"/>
  <c r="L53" i="150" s="1"/>
  <c r="L237" i="150" s="1"/>
  <c r="K96" i="84"/>
  <c r="K97" i="84"/>
  <c r="K62" i="150"/>
  <c r="K66" i="150" s="1"/>
  <c r="J63" i="150"/>
  <c r="K61" i="150" s="1"/>
  <c r="K63" i="150" s="1"/>
  <c r="L61" i="150" s="1"/>
  <c r="L24" i="84"/>
  <c r="L91" i="150" s="1"/>
  <c r="L7" i="84"/>
  <c r="L17" i="150" s="1"/>
  <c r="I44" i="150"/>
  <c r="I47" i="150" s="1"/>
  <c r="G28" i="150"/>
  <c r="G299" i="150" s="1"/>
  <c r="G166" i="150"/>
  <c r="G168" i="150" s="1"/>
  <c r="H165" i="150" s="1"/>
  <c r="E299" i="150"/>
  <c r="E247" i="150"/>
  <c r="I78" i="150"/>
  <c r="I81" i="150" s="1"/>
  <c r="H28" i="150"/>
  <c r="H175" i="150"/>
  <c r="H177" i="150" s="1"/>
  <c r="I174" i="150" s="1"/>
  <c r="N54" i="84"/>
  <c r="N115" i="150" s="1"/>
  <c r="N118" i="150" s="1"/>
  <c r="M54" i="84"/>
  <c r="M115" i="150" s="1"/>
  <c r="M118" i="150" s="1"/>
  <c r="L25" i="84" l="1"/>
  <c r="L92" i="150" s="1"/>
  <c r="M25" i="84"/>
  <c r="M92" i="150" s="1"/>
  <c r="I28" i="84"/>
  <c r="I12" i="84"/>
  <c r="I54" i="150" s="1"/>
  <c r="I28" i="150" s="1"/>
  <c r="M26" i="150"/>
  <c r="M52" i="150"/>
  <c r="M297" i="150" s="1"/>
  <c r="N23" i="84"/>
  <c r="N85" i="150" s="1"/>
  <c r="N94" i="84"/>
  <c r="N11" i="84"/>
  <c r="M27" i="84"/>
  <c r="M86" i="150" s="1"/>
  <c r="M94" i="150" s="1"/>
  <c r="M26" i="84"/>
  <c r="M80" i="150" s="1"/>
  <c r="M16" i="84"/>
  <c r="M46" i="150" s="1"/>
  <c r="M94" i="84"/>
  <c r="L97" i="84"/>
  <c r="L62" i="150"/>
  <c r="L66" i="150" s="1"/>
  <c r="L96" i="84"/>
  <c r="M24" i="84"/>
  <c r="M91" i="150" s="1"/>
  <c r="M7" i="84"/>
  <c r="M17" i="150" s="1"/>
  <c r="J44" i="150"/>
  <c r="J47" i="150" s="1"/>
  <c r="G247" i="150"/>
  <c r="J78" i="150"/>
  <c r="J81" i="150" s="1"/>
  <c r="H299" i="150"/>
  <c r="H247" i="150"/>
  <c r="N57" i="84"/>
  <c r="N116" i="150" s="1"/>
  <c r="N119" i="150" s="1"/>
  <c r="M13" i="84" l="1"/>
  <c r="M27" i="150" s="1"/>
  <c r="I184" i="150"/>
  <c r="I186" i="150" s="1"/>
  <c r="J183" i="150" s="1"/>
  <c r="N26" i="150"/>
  <c r="N52" i="150"/>
  <c r="N297" i="150" s="1"/>
  <c r="N96" i="84"/>
  <c r="N62" i="150"/>
  <c r="N66" i="150" s="1"/>
  <c r="N97" i="84"/>
  <c r="N17" i="84"/>
  <c r="N53" i="150" s="1"/>
  <c r="N237" i="150" s="1"/>
  <c r="N16" i="84"/>
  <c r="N46" i="150" s="1"/>
  <c r="N26" i="84"/>
  <c r="N80" i="150" s="1"/>
  <c r="M17" i="84"/>
  <c r="M53" i="150" s="1"/>
  <c r="M237" i="150" s="1"/>
  <c r="L63" i="150"/>
  <c r="M61" i="150" s="1"/>
  <c r="M62" i="150"/>
  <c r="M66" i="150" s="1"/>
  <c r="M97" i="84"/>
  <c r="M96" i="84"/>
  <c r="N13" i="84"/>
  <c r="N27" i="150" s="1"/>
  <c r="N25" i="84"/>
  <c r="N92" i="150" s="1"/>
  <c r="N7" i="84"/>
  <c r="N17" i="150" s="1"/>
  <c r="C266" i="150" s="1" a="1"/>
  <c r="C266" i="150" s="1"/>
  <c r="C277" i="150" s="1"/>
  <c r="N24" i="84"/>
  <c r="N91" i="150" s="1"/>
  <c r="K44" i="150"/>
  <c r="K47" i="150" s="1"/>
  <c r="K78" i="150"/>
  <c r="K81" i="150" s="1"/>
  <c r="I299" i="150"/>
  <c r="I247" i="150"/>
  <c r="N58" i="84"/>
  <c r="J28" i="84" l="1"/>
  <c r="J12" i="84"/>
  <c r="J54" i="150" s="1"/>
  <c r="N27" i="84"/>
  <c r="N86" i="150" s="1"/>
  <c r="N94" i="150" s="1"/>
  <c r="M63" i="150"/>
  <c r="N61" i="150" s="1"/>
  <c r="N63" i="150" s="1"/>
  <c r="L44" i="150"/>
  <c r="L47" i="150" s="1"/>
  <c r="L78" i="150"/>
  <c r="L81" i="150" s="1"/>
  <c r="N59" i="84"/>
  <c r="D54" i="84"/>
  <c r="D115" i="150" s="1"/>
  <c r="D118" i="150" s="1"/>
  <c r="E131" i="150" s="1"/>
  <c r="E132" i="150" s="1"/>
  <c r="F129" i="150" s="1"/>
  <c r="J193" i="150" l="1"/>
  <c r="J195" i="150" s="1"/>
  <c r="K192" i="150" s="1"/>
  <c r="J28" i="150"/>
  <c r="M44" i="150"/>
  <c r="M47" i="150" s="1"/>
  <c r="M78" i="150"/>
  <c r="M81" i="150" s="1"/>
  <c r="F131" i="150"/>
  <c r="F132" i="150" s="1"/>
  <c r="G129" i="150" s="1"/>
  <c r="E124" i="150"/>
  <c r="D101" i="84"/>
  <c r="K28" i="84" l="1"/>
  <c r="K12" i="84"/>
  <c r="K54" i="150" s="1"/>
  <c r="J299" i="150"/>
  <c r="J247" i="150"/>
  <c r="N44" i="150"/>
  <c r="N47" i="150" s="1"/>
  <c r="N78" i="150"/>
  <c r="N81" i="150" s="1"/>
  <c r="G131" i="150"/>
  <c r="G132" i="150" s="1"/>
  <c r="H129" i="150" s="1"/>
  <c r="F125" i="150"/>
  <c r="C42" i="84"/>
  <c r="C45" i="84" s="1"/>
  <c r="C121" i="150" s="1"/>
  <c r="L28" i="84" l="1"/>
  <c r="L12" i="84"/>
  <c r="L54" i="150" s="1"/>
  <c r="K202" i="150"/>
  <c r="K204" i="150" s="1"/>
  <c r="L201" i="150" s="1"/>
  <c r="K28" i="150"/>
  <c r="H131" i="150"/>
  <c r="H132" i="150" s="1"/>
  <c r="I129" i="150" s="1"/>
  <c r="D133" i="150"/>
  <c r="D135" i="150" s="1"/>
  <c r="C50" i="84"/>
  <c r="K247" i="150" l="1"/>
  <c r="K299" i="150"/>
  <c r="L28" i="150"/>
  <c r="L211" i="150"/>
  <c r="L213" i="150" s="1"/>
  <c r="M210" i="150" s="1"/>
  <c r="I131" i="150"/>
  <c r="I132" i="150" s="1"/>
  <c r="J129" i="150" s="1"/>
  <c r="J131" i="150" s="1"/>
  <c r="J132" i="150" s="1"/>
  <c r="K129" i="150" s="1"/>
  <c r="K131" i="150" s="1"/>
  <c r="K132" i="150" s="1"/>
  <c r="L129" i="150" s="1"/>
  <c r="L131" i="150" s="1"/>
  <c r="L132" i="150" s="1"/>
  <c r="M129" i="150" s="1"/>
  <c r="G125" i="150"/>
  <c r="D57" i="84"/>
  <c r="D116" i="150" s="1"/>
  <c r="D119" i="150" s="1"/>
  <c r="L299" i="150" l="1"/>
  <c r="L247" i="150"/>
  <c r="M28" i="84"/>
  <c r="M12" i="84"/>
  <c r="M54" i="150" s="1"/>
  <c r="M131" i="150"/>
  <c r="M132" i="150" s="1"/>
  <c r="N129" i="150" s="1"/>
  <c r="N133" i="150" s="1"/>
  <c r="N135" i="150" s="1"/>
  <c r="M133" i="150"/>
  <c r="M135" i="150" s="1"/>
  <c r="D58" i="84"/>
  <c r="M28" i="150" l="1"/>
  <c r="M220" i="150"/>
  <c r="M222" i="150" s="1"/>
  <c r="N219" i="150" s="1"/>
  <c r="N131" i="150"/>
  <c r="N132" i="150" s="1"/>
  <c r="D59" i="84"/>
  <c r="H125" i="150"/>
  <c r="C74" i="84"/>
  <c r="N28" i="84" l="1"/>
  <c r="N12" i="84"/>
  <c r="N54" i="150" s="1"/>
  <c r="M299" i="150"/>
  <c r="M247" i="150"/>
  <c r="N92" i="84"/>
  <c r="E92" i="84"/>
  <c r="D92" i="84"/>
  <c r="C92" i="84"/>
  <c r="N28" i="150" l="1"/>
  <c r="N229" i="150"/>
  <c r="N231" i="150" s="1"/>
  <c r="J125" i="150"/>
  <c r="I125" i="150"/>
  <c r="G42" i="84"/>
  <c r="G45" i="84" s="1"/>
  <c r="H42" i="84"/>
  <c r="H45" i="84" s="1"/>
  <c r="I42" i="84"/>
  <c r="I45" i="84" s="1"/>
  <c r="J42" i="84"/>
  <c r="J45" i="84" s="1"/>
  <c r="K42" i="84"/>
  <c r="K45" i="84" s="1"/>
  <c r="L42" i="84"/>
  <c r="L45" i="84" s="1"/>
  <c r="M42" i="84"/>
  <c r="M45" i="84" s="1"/>
  <c r="N42" i="84"/>
  <c r="N45" i="84" s="1"/>
  <c r="N100" i="84" s="1"/>
  <c r="M121" i="150" l="1"/>
  <c r="M100" i="84"/>
  <c r="K121" i="150"/>
  <c r="K100" i="84"/>
  <c r="J121" i="150"/>
  <c r="J100" i="84"/>
  <c r="I121" i="150"/>
  <c r="I100" i="84"/>
  <c r="H121" i="150"/>
  <c r="H100" i="84"/>
  <c r="G121" i="150"/>
  <c r="G100" i="84"/>
  <c r="N122" i="150"/>
  <c r="N102" i="84"/>
  <c r="N67" i="150" s="1"/>
  <c r="L121" i="150"/>
  <c r="L100" i="84"/>
  <c r="N247" i="150"/>
  <c r="N299" i="150"/>
  <c r="N50" i="84"/>
  <c r="N121" i="150"/>
  <c r="J50" i="84"/>
  <c r="M50" i="84"/>
  <c r="L50" i="84"/>
  <c r="K50" i="84"/>
  <c r="I50" i="84"/>
  <c r="H50" i="84"/>
  <c r="G50" i="84"/>
  <c r="L122" i="150" l="1"/>
  <c r="L102" i="84"/>
  <c r="L67" i="150" s="1"/>
  <c r="N188" i="150"/>
  <c r="M188" i="150"/>
  <c r="M197" i="150"/>
  <c r="N197" i="150"/>
  <c r="I122" i="150"/>
  <c r="I102" i="84"/>
  <c r="I67" i="150" s="1"/>
  <c r="G122" i="150"/>
  <c r="G102" i="84"/>
  <c r="G67" i="150" s="1"/>
  <c r="K122" i="150"/>
  <c r="K102" i="84"/>
  <c r="K67" i="150" s="1"/>
  <c r="N215" i="150"/>
  <c r="M215" i="150"/>
  <c r="M214" i="150"/>
  <c r="M170" i="150"/>
  <c r="N170" i="150"/>
  <c r="N206" i="150"/>
  <c r="M206" i="150"/>
  <c r="J122" i="150"/>
  <c r="J102" i="84"/>
  <c r="J67" i="150" s="1"/>
  <c r="H122" i="150"/>
  <c r="H102" i="84"/>
  <c r="H67" i="150" s="1"/>
  <c r="M102" i="84"/>
  <c r="M67" i="150" s="1"/>
  <c r="M122" i="150"/>
  <c r="N232" i="150"/>
  <c r="N233" i="150"/>
  <c r="N179" i="150"/>
  <c r="M179" i="150"/>
  <c r="N224" i="150"/>
  <c r="N223" i="150"/>
  <c r="N69" i="150"/>
  <c r="L69" i="150"/>
  <c r="J69" i="150"/>
  <c r="K125" i="150"/>
  <c r="M69" i="150"/>
  <c r="G69" i="150"/>
  <c r="H69" i="150"/>
  <c r="I69" i="150"/>
  <c r="K69" i="150"/>
  <c r="C5" i="84"/>
  <c r="C63" i="84"/>
  <c r="C64" i="84" s="1"/>
  <c r="C83" i="84" l="1"/>
  <c r="M125" i="150" l="1"/>
  <c r="L125" i="150"/>
  <c r="C65" i="84"/>
  <c r="C82" i="84" s="1"/>
  <c r="C84" i="84" s="1"/>
  <c r="C23" i="150" s="1"/>
  <c r="C24" i="150" s="1"/>
  <c r="C35" i="150" l="1"/>
  <c r="E54" i="84"/>
  <c r="E115" i="150" s="1"/>
  <c r="E118" i="150" s="1"/>
  <c r="F42" i="84"/>
  <c r="E42" i="84"/>
  <c r="D42" i="84"/>
  <c r="D45" i="84" s="1"/>
  <c r="N5" i="84"/>
  <c r="E5" i="84"/>
  <c r="D5" i="84"/>
  <c r="D69" i="84" s="1"/>
  <c r="E133" i="150" l="1"/>
  <c r="E135" i="150" s="1"/>
  <c r="D70" i="84"/>
  <c r="D71" i="84" s="1"/>
  <c r="N125" i="150"/>
  <c r="D121" i="150"/>
  <c r="E69" i="84"/>
  <c r="E57" i="84"/>
  <c r="E116" i="150" s="1"/>
  <c r="E119" i="150" s="1"/>
  <c r="N69" i="84"/>
  <c r="D50" i="84"/>
  <c r="E45" i="84"/>
  <c r="F45" i="84"/>
  <c r="D100" i="84"/>
  <c r="D68" i="84"/>
  <c r="D117" i="150" s="1"/>
  <c r="D120" i="150" s="1"/>
  <c r="F92" i="84"/>
  <c r="F5" i="84"/>
  <c r="F54" i="84"/>
  <c r="F115" i="150" s="1"/>
  <c r="F118" i="150" s="1"/>
  <c r="F121" i="150" l="1"/>
  <c r="F100" i="84"/>
  <c r="E121" i="150"/>
  <c r="E100" i="84"/>
  <c r="E152" i="150"/>
  <c r="N143" i="150"/>
  <c r="M143" i="150"/>
  <c r="D143" i="150"/>
  <c r="D122" i="150"/>
  <c r="D102" i="84"/>
  <c r="E143" i="150"/>
  <c r="F133" i="150"/>
  <c r="F135" i="150" s="1"/>
  <c r="F143" i="150"/>
  <c r="F152" i="150"/>
  <c r="E58" i="84"/>
  <c r="E59" i="84" s="1"/>
  <c r="B304" i="150" a="1"/>
  <c r="B304" i="150" s="1"/>
  <c r="N70" i="84"/>
  <c r="E70" i="84"/>
  <c r="E71" i="84" s="1"/>
  <c r="E87" i="84" s="1"/>
  <c r="D69" i="150"/>
  <c r="N225" i="150"/>
  <c r="E151" i="150"/>
  <c r="F151" i="150"/>
  <c r="E68" i="84"/>
  <c r="E117" i="150" s="1"/>
  <c r="E120" i="150" s="1"/>
  <c r="F57" i="84"/>
  <c r="E50" i="84"/>
  <c r="F50" i="84"/>
  <c r="F69" i="84"/>
  <c r="G92" i="84"/>
  <c r="M68" i="150"/>
  <c r="G5" i="84"/>
  <c r="D87" i="84"/>
  <c r="D78" i="84"/>
  <c r="D88" i="84"/>
  <c r="K78" i="84"/>
  <c r="K88" i="84"/>
  <c r="J78" i="84"/>
  <c r="J88" i="84"/>
  <c r="G78" i="84"/>
  <c r="G88" i="84"/>
  <c r="M78" i="84"/>
  <c r="M88" i="84"/>
  <c r="L88" i="84"/>
  <c r="L78" i="84"/>
  <c r="H88" i="84"/>
  <c r="H78" i="84"/>
  <c r="N88" i="84"/>
  <c r="N78" i="84"/>
  <c r="I88" i="84"/>
  <c r="I78" i="84"/>
  <c r="G54" i="84"/>
  <c r="G115" i="150" s="1"/>
  <c r="G118" i="150" s="1"/>
  <c r="E122" i="150" l="1"/>
  <c r="E102" i="84"/>
  <c r="E67" i="150" s="1"/>
  <c r="N152" i="150"/>
  <c r="M152" i="150"/>
  <c r="E32" i="84"/>
  <c r="E74" i="84" s="1"/>
  <c r="F122" i="150"/>
  <c r="F102" i="84"/>
  <c r="F67" i="150" s="1"/>
  <c r="M161" i="150"/>
  <c r="N161" i="150"/>
  <c r="G133" i="150"/>
  <c r="G135" i="150" s="1"/>
  <c r="G152" i="150"/>
  <c r="G143" i="150"/>
  <c r="G161" i="150"/>
  <c r="H68" i="150"/>
  <c r="K68" i="150"/>
  <c r="B249" i="150" a="1"/>
  <c r="B249" i="150" s="1"/>
  <c r="D249" i="150" s="1"/>
  <c r="F69" i="150"/>
  <c r="F58" i="84"/>
  <c r="F116" i="150"/>
  <c r="F119" i="150" s="1"/>
  <c r="G160" i="150"/>
  <c r="E69" i="150"/>
  <c r="B265" i="150" a="1"/>
  <c r="G57" i="84"/>
  <c r="G116" i="150" s="1"/>
  <c r="G119" i="150" s="1"/>
  <c r="F78" i="84"/>
  <c r="E88" i="84"/>
  <c r="E89" i="84" s="1"/>
  <c r="E18" i="150" s="1"/>
  <c r="E19" i="150" s="1"/>
  <c r="E78" i="84"/>
  <c r="F88" i="84"/>
  <c r="L68" i="150"/>
  <c r="F68" i="84"/>
  <c r="F117" i="150" s="1"/>
  <c r="F120" i="150" s="1"/>
  <c r="F70" i="84"/>
  <c r="F71" i="84" s="1"/>
  <c r="F87" i="84" s="1"/>
  <c r="J68" i="150"/>
  <c r="I68" i="150"/>
  <c r="G68" i="150"/>
  <c r="G69" i="84"/>
  <c r="E60" i="84"/>
  <c r="E77" i="84" s="1"/>
  <c r="H54" i="84"/>
  <c r="H115" i="150" s="1"/>
  <c r="H118" i="150" s="1"/>
  <c r="H5" i="84"/>
  <c r="H92" i="84"/>
  <c r="D89" i="84"/>
  <c r="D18" i="150" s="1"/>
  <c r="D19" i="150" s="1"/>
  <c r="F160" i="150" l="1"/>
  <c r="F161" i="150"/>
  <c r="G169" i="150"/>
  <c r="G170" i="150"/>
  <c r="H133" i="150"/>
  <c r="H135" i="150" s="1"/>
  <c r="H152" i="150"/>
  <c r="H143" i="150"/>
  <c r="H161" i="150"/>
  <c r="H170" i="150"/>
  <c r="F59" i="84"/>
  <c r="G70" i="84"/>
  <c r="G71" i="84" s="1"/>
  <c r="N234" i="150"/>
  <c r="E70" i="150"/>
  <c r="F32" i="84"/>
  <c r="F74" i="84" s="1"/>
  <c r="B265" i="150"/>
  <c r="E267" i="150"/>
  <c r="D266" i="150"/>
  <c r="F268" i="150"/>
  <c r="M216" i="150"/>
  <c r="H169" i="150"/>
  <c r="E249" i="150"/>
  <c r="E281" i="150" s="1"/>
  <c r="D281" i="150"/>
  <c r="G58" i="84"/>
  <c r="E68" i="150"/>
  <c r="H57" i="84"/>
  <c r="H116" i="150" s="1"/>
  <c r="H119" i="150" s="1"/>
  <c r="H179" i="150" s="1"/>
  <c r="F89" i="84"/>
  <c r="F18" i="150" s="1"/>
  <c r="F19" i="150" s="1"/>
  <c r="E79" i="84"/>
  <c r="E31" i="150" s="1"/>
  <c r="F68" i="150"/>
  <c r="H69" i="84"/>
  <c r="G68" i="84"/>
  <c r="G117" i="150" s="1"/>
  <c r="G120" i="150" s="1"/>
  <c r="G269" i="150" s="1"/>
  <c r="F60" i="84"/>
  <c r="I54" i="84"/>
  <c r="I115" i="150" s="1"/>
  <c r="I118" i="150" s="1"/>
  <c r="I92" i="84"/>
  <c r="I5" i="84"/>
  <c r="G171" i="150" l="1"/>
  <c r="I152" i="150"/>
  <c r="I143" i="150"/>
  <c r="I161" i="150"/>
  <c r="I170" i="150"/>
  <c r="I179" i="150"/>
  <c r="H70" i="84"/>
  <c r="G59" i="84"/>
  <c r="G60" i="84" s="1"/>
  <c r="I133" i="150"/>
  <c r="I135" i="150" s="1"/>
  <c r="E71" i="150"/>
  <c r="H171" i="150"/>
  <c r="H269" i="150"/>
  <c r="I269" i="150" s="1"/>
  <c r="D277" i="150"/>
  <c r="E266" i="150"/>
  <c r="E277" i="150" s="1"/>
  <c r="F70" i="150"/>
  <c r="F71" i="150" s="1"/>
  <c r="F153" i="150"/>
  <c r="F267" i="150"/>
  <c r="H178" i="150"/>
  <c r="I178" i="150"/>
  <c r="F249" i="150"/>
  <c r="F281" i="150" s="1"/>
  <c r="G162" i="150"/>
  <c r="G268" i="150"/>
  <c r="H268" i="150" s="1"/>
  <c r="I268" i="150" s="1"/>
  <c r="G32" i="84"/>
  <c r="G74" i="84" s="1"/>
  <c r="H58" i="84"/>
  <c r="I57" i="84"/>
  <c r="I116" i="150" s="1"/>
  <c r="I119" i="150" s="1"/>
  <c r="I188" i="150" s="1"/>
  <c r="I69" i="84"/>
  <c r="F77" i="84"/>
  <c r="F79" i="84" s="1"/>
  <c r="F31" i="150" s="1"/>
  <c r="H68" i="84"/>
  <c r="H117" i="150" s="1"/>
  <c r="H120" i="150" s="1"/>
  <c r="H270" i="150" s="1"/>
  <c r="G87" i="84"/>
  <c r="G89" i="84" s="1"/>
  <c r="G18" i="150" s="1"/>
  <c r="G19" i="150" s="1"/>
  <c r="J92" i="84"/>
  <c r="J54" i="84"/>
  <c r="J115" i="150" s="1"/>
  <c r="J118" i="150" s="1"/>
  <c r="J5" i="84"/>
  <c r="J143" i="150" l="1"/>
  <c r="J152" i="150"/>
  <c r="J161" i="150"/>
  <c r="J170" i="150"/>
  <c r="J179" i="150"/>
  <c r="J188" i="150"/>
  <c r="I180" i="150"/>
  <c r="I70" i="84"/>
  <c r="H59" i="84"/>
  <c r="H60" i="84" s="1"/>
  <c r="J133" i="150"/>
  <c r="J135" i="150" s="1"/>
  <c r="F266" i="150"/>
  <c r="G266" i="150" s="1"/>
  <c r="J268" i="150"/>
  <c r="H240" i="150"/>
  <c r="H32" i="84"/>
  <c r="H74" i="84" s="1"/>
  <c r="H180" i="150"/>
  <c r="E240" i="150"/>
  <c r="E153" i="150"/>
  <c r="F240" i="150"/>
  <c r="F162" i="150"/>
  <c r="G267" i="150"/>
  <c r="N240" i="150"/>
  <c r="G70" i="150"/>
  <c r="G71" i="150" s="1"/>
  <c r="G249" i="150"/>
  <c r="I270" i="150"/>
  <c r="J270" i="150" s="1"/>
  <c r="J187" i="150"/>
  <c r="I187" i="150"/>
  <c r="I240" i="150"/>
  <c r="G240" i="150"/>
  <c r="J269" i="150"/>
  <c r="I58" i="84"/>
  <c r="J57" i="84"/>
  <c r="J116" i="150" s="1"/>
  <c r="J119" i="150" s="1"/>
  <c r="J197" i="150" s="1"/>
  <c r="J69" i="84"/>
  <c r="I68" i="84"/>
  <c r="I117" i="150" s="1"/>
  <c r="I120" i="150" s="1"/>
  <c r="I271" i="150" s="1"/>
  <c r="H71" i="84"/>
  <c r="G77" i="84"/>
  <c r="G79" i="84" s="1"/>
  <c r="G31" i="150" s="1"/>
  <c r="K5" i="84"/>
  <c r="K54" i="84"/>
  <c r="K115" i="150" s="1"/>
  <c r="K118" i="150" s="1"/>
  <c r="K92" i="84"/>
  <c r="K133" i="150" l="1"/>
  <c r="K135" i="150" s="1"/>
  <c r="K143" i="150"/>
  <c r="K152" i="150"/>
  <c r="K161" i="150"/>
  <c r="K170" i="150"/>
  <c r="K179" i="150"/>
  <c r="K188" i="150"/>
  <c r="K197" i="150"/>
  <c r="I59" i="84"/>
  <c r="H266" i="150"/>
  <c r="I266" i="150" s="1"/>
  <c r="J266" i="150" s="1"/>
  <c r="F277" i="150"/>
  <c r="J189" i="150"/>
  <c r="G277" i="150"/>
  <c r="I32" i="84"/>
  <c r="I74" i="84" s="1"/>
  <c r="I189" i="150"/>
  <c r="G281" i="150"/>
  <c r="J271" i="150"/>
  <c r="K271" i="150" s="1"/>
  <c r="K270" i="150"/>
  <c r="K268" i="150"/>
  <c r="H249" i="150"/>
  <c r="K269" i="150"/>
  <c r="H267" i="150"/>
  <c r="K196" i="150"/>
  <c r="J196" i="150"/>
  <c r="J240" i="150"/>
  <c r="H70" i="150"/>
  <c r="H71" i="150" s="1"/>
  <c r="J58" i="84"/>
  <c r="K57" i="84"/>
  <c r="K116" i="150" s="1"/>
  <c r="K119" i="150" s="1"/>
  <c r="K206" i="150" s="1"/>
  <c r="J68" i="84"/>
  <c r="J117" i="150" s="1"/>
  <c r="J120" i="150" s="1"/>
  <c r="J272" i="150" s="1"/>
  <c r="J70" i="84"/>
  <c r="J71" i="84" s="1"/>
  <c r="H77" i="84"/>
  <c r="H79" i="84" s="1"/>
  <c r="H31" i="150" s="1"/>
  <c r="K69" i="84"/>
  <c r="I71" i="84"/>
  <c r="H87" i="84"/>
  <c r="H89" i="84" s="1"/>
  <c r="H18" i="150" s="1"/>
  <c r="H19" i="150" s="1"/>
  <c r="I60" i="84"/>
  <c r="L92" i="84"/>
  <c r="L5" i="84"/>
  <c r="L54" i="84"/>
  <c r="L115" i="150" s="1"/>
  <c r="L118" i="150" s="1"/>
  <c r="L133" i="150" l="1"/>
  <c r="L135" i="150" s="1"/>
  <c r="L143" i="150"/>
  <c r="L152" i="150"/>
  <c r="L161" i="150"/>
  <c r="L170" i="150"/>
  <c r="L179" i="150"/>
  <c r="L188" i="150"/>
  <c r="L197" i="150"/>
  <c r="L206" i="150"/>
  <c r="K70" i="84"/>
  <c r="J59" i="84"/>
  <c r="J60" i="84" s="1"/>
  <c r="K266" i="150"/>
  <c r="L266" i="150" s="1"/>
  <c r="M266" i="150" s="1"/>
  <c r="N266" i="150" s="1"/>
  <c r="L269" i="150"/>
  <c r="M269" i="150" s="1"/>
  <c r="N269" i="150" s="1"/>
  <c r="L271" i="150"/>
  <c r="M271" i="150" s="1"/>
  <c r="N271" i="150" s="1"/>
  <c r="L270" i="150"/>
  <c r="M270" i="150" s="1"/>
  <c r="N270" i="150" s="1"/>
  <c r="I70" i="150"/>
  <c r="I71" i="150" s="1"/>
  <c r="H281" i="150"/>
  <c r="L268" i="150"/>
  <c r="M268" i="150" s="1"/>
  <c r="N268" i="150" s="1"/>
  <c r="L205" i="150"/>
  <c r="K272" i="150"/>
  <c r="L272" i="150" s="1"/>
  <c r="M272" i="150" s="1"/>
  <c r="K198" i="150"/>
  <c r="K205" i="150"/>
  <c r="K240" i="150"/>
  <c r="J198" i="150"/>
  <c r="I267" i="150"/>
  <c r="H277" i="150"/>
  <c r="I249" i="150"/>
  <c r="J32" i="84"/>
  <c r="J74" i="84" s="1"/>
  <c r="K58" i="84"/>
  <c r="L57" i="84"/>
  <c r="L116" i="150" s="1"/>
  <c r="L119" i="150" s="1"/>
  <c r="L215" i="150" s="1"/>
  <c r="I77" i="84"/>
  <c r="I79" i="84" s="1"/>
  <c r="I31" i="150" s="1"/>
  <c r="L69" i="84"/>
  <c r="K68" i="84"/>
  <c r="K117" i="150" s="1"/>
  <c r="K120" i="150" s="1"/>
  <c r="K273" i="150" s="1"/>
  <c r="J87" i="84"/>
  <c r="J89" i="84" s="1"/>
  <c r="J18" i="150" s="1"/>
  <c r="J19" i="150" s="1"/>
  <c r="I87" i="84"/>
  <c r="I89" i="84" s="1"/>
  <c r="I18" i="150" s="1"/>
  <c r="I19" i="150" s="1"/>
  <c r="M92" i="84"/>
  <c r="M5" i="84"/>
  <c r="M57" i="84"/>
  <c r="M116" i="150" s="1"/>
  <c r="M119" i="150" s="1"/>
  <c r="M224" i="150" s="1"/>
  <c r="K59" i="84" l="1"/>
  <c r="K60" i="84" s="1"/>
  <c r="K207" i="150"/>
  <c r="J70" i="150"/>
  <c r="J71" i="150" s="1"/>
  <c r="I277" i="150"/>
  <c r="J267" i="150"/>
  <c r="N272" i="150"/>
  <c r="J249" i="150"/>
  <c r="J281" i="150" s="1"/>
  <c r="I281" i="150"/>
  <c r="L273" i="150"/>
  <c r="M273" i="150" s="1"/>
  <c r="N273" i="150" s="1"/>
  <c r="M223" i="150"/>
  <c r="M240" i="150"/>
  <c r="L214" i="150"/>
  <c r="L240" i="150"/>
  <c r="L207" i="150"/>
  <c r="K32" i="84"/>
  <c r="K74" i="84" s="1"/>
  <c r="L58" i="84"/>
  <c r="L70" i="84"/>
  <c r="J77" i="84"/>
  <c r="J79" i="84" s="1"/>
  <c r="J31" i="150" s="1"/>
  <c r="M69" i="84"/>
  <c r="L68" i="84"/>
  <c r="L117" i="150" s="1"/>
  <c r="L120" i="150" s="1"/>
  <c r="L274" i="150" s="1"/>
  <c r="N68" i="84"/>
  <c r="N117" i="150" s="1"/>
  <c r="N120" i="150" s="1"/>
  <c r="N276" i="150" s="1"/>
  <c r="K71" i="84"/>
  <c r="M58" i="84"/>
  <c r="M59" i="84" l="1"/>
  <c r="L59" i="84"/>
  <c r="L60" i="84" s="1"/>
  <c r="M70" i="84"/>
  <c r="K249" i="150"/>
  <c r="K281" i="150" s="1"/>
  <c r="K267" i="150"/>
  <c r="J277" i="150"/>
  <c r="M225" i="150"/>
  <c r="M274" i="150"/>
  <c r="L216" i="150"/>
  <c r="K70" i="150"/>
  <c r="K71" i="150" s="1"/>
  <c r="L32" i="84"/>
  <c r="L74" i="84" s="1"/>
  <c r="L71" i="84"/>
  <c r="K77" i="84"/>
  <c r="K79" i="84" s="1"/>
  <c r="K31" i="150" s="1"/>
  <c r="K87" i="84"/>
  <c r="K89" i="84" s="1"/>
  <c r="K18" i="150" s="1"/>
  <c r="K19" i="150" s="1"/>
  <c r="N71" i="84"/>
  <c r="M68" i="84"/>
  <c r="M117" i="150" s="1"/>
  <c r="M120" i="150" s="1"/>
  <c r="M275" i="150" s="1"/>
  <c r="N275" i="150" s="1"/>
  <c r="M32" i="84"/>
  <c r="L249" i="150" l="1"/>
  <c r="L281" i="150" s="1"/>
  <c r="N274" i="150"/>
  <c r="L267" i="150"/>
  <c r="K277" i="150"/>
  <c r="L70" i="150"/>
  <c r="L71" i="150" s="1"/>
  <c r="L77" i="84"/>
  <c r="L79" i="84" s="1"/>
  <c r="L31" i="150" s="1"/>
  <c r="L87" i="84"/>
  <c r="L89" i="84" s="1"/>
  <c r="L18" i="150" s="1"/>
  <c r="L19" i="150" s="1"/>
  <c r="M71" i="84"/>
  <c r="N87" i="84"/>
  <c r="N89" i="84" s="1"/>
  <c r="N18" i="150" s="1"/>
  <c r="N19" i="150" s="1"/>
  <c r="M60" i="84"/>
  <c r="N32" i="84"/>
  <c r="M74" i="84"/>
  <c r="M249" i="150" l="1"/>
  <c r="N249" i="150" s="1"/>
  <c r="M70" i="150"/>
  <c r="M71" i="150" s="1"/>
  <c r="L277" i="150"/>
  <c r="M267" i="150"/>
  <c r="M77" i="84"/>
  <c r="M79" i="84" s="1"/>
  <c r="M31" i="150" s="1"/>
  <c r="M87" i="84"/>
  <c r="M89" i="84" s="1"/>
  <c r="M18" i="150" s="1"/>
  <c r="M19" i="150" s="1"/>
  <c r="N60" i="84"/>
  <c r="N74" i="84"/>
  <c r="M281" i="150" l="1"/>
  <c r="M277" i="150"/>
  <c r="N267" i="150"/>
  <c r="N277" i="150" s="1"/>
  <c r="N70" i="150"/>
  <c r="N281" i="150"/>
  <c r="N77" i="84"/>
  <c r="N79" i="84" s="1"/>
  <c r="N31" i="150" s="1"/>
  <c r="N68" i="150" l="1"/>
  <c r="N71" i="150" s="1"/>
  <c r="D60" i="84" l="1"/>
  <c r="D32" i="84"/>
  <c r="D70" i="150" l="1"/>
  <c r="D77" i="84"/>
  <c r="D79" i="84" s="1"/>
  <c r="D31" i="150" s="1"/>
  <c r="D74" i="84"/>
  <c r="D67" i="150" l="1"/>
  <c r="D68" i="150" s="1"/>
  <c r="D71" i="150" s="1"/>
  <c r="N72" i="150" s="1"/>
  <c r="N9" i="150" s="1"/>
  <c r="D240" i="150"/>
  <c r="D54" i="150"/>
  <c r="D28" i="150" l="1"/>
  <c r="D139" i="150"/>
  <c r="D55" i="150"/>
  <c r="E51" i="150" s="1"/>
  <c r="E123" i="150"/>
  <c r="D142" i="150" l="1"/>
  <c r="D141" i="150"/>
  <c r="E138" i="150" s="1"/>
  <c r="E55" i="150"/>
  <c r="D247" i="150"/>
  <c r="C250" i="150" s="1" a="1"/>
  <c r="D299" i="150"/>
  <c r="F51" i="150" l="1"/>
  <c r="E142" i="150"/>
  <c r="E140" i="150"/>
  <c r="E236" i="150" s="1"/>
  <c r="H254" i="150"/>
  <c r="I254" i="150" s="1"/>
  <c r="K257" i="150"/>
  <c r="I255" i="150"/>
  <c r="M259" i="150"/>
  <c r="M291" i="150" s="1"/>
  <c r="J256" i="150"/>
  <c r="N260" i="150"/>
  <c r="N292" i="150" s="1"/>
  <c r="C250" i="150"/>
  <c r="F252" i="150"/>
  <c r="G252" i="150" s="1"/>
  <c r="G253" i="150"/>
  <c r="G285" i="150" s="1"/>
  <c r="L258" i="150"/>
  <c r="L290" i="150" s="1"/>
  <c r="E251" i="150"/>
  <c r="D144" i="150"/>
  <c r="D242" i="150" s="1"/>
  <c r="D239" i="150"/>
  <c r="N259" i="150" l="1"/>
  <c r="N291" i="150" s="1"/>
  <c r="I286" i="150"/>
  <c r="J254" i="150"/>
  <c r="K254" i="150" s="1"/>
  <c r="M258" i="150"/>
  <c r="M290" i="150" s="1"/>
  <c r="F284" i="150"/>
  <c r="H286" i="150"/>
  <c r="G284" i="150"/>
  <c r="E298" i="150"/>
  <c r="F124" i="150"/>
  <c r="F123" i="150" s="1"/>
  <c r="F149" i="150" s="1"/>
  <c r="I287" i="150"/>
  <c r="K256" i="150"/>
  <c r="E141" i="150"/>
  <c r="F138" i="150" s="1"/>
  <c r="E239" i="150"/>
  <c r="E144" i="150"/>
  <c r="E242" i="150" s="1"/>
  <c r="C261" i="150"/>
  <c r="D250" i="150"/>
  <c r="D261" i="150" s="1"/>
  <c r="H252" i="150"/>
  <c r="K289" i="150"/>
  <c r="E283" i="150"/>
  <c r="J255" i="150"/>
  <c r="L257" i="150"/>
  <c r="J288" i="150"/>
  <c r="F55" i="150"/>
  <c r="F251" i="150"/>
  <c r="F283" i="150" s="1"/>
  <c r="H253" i="150"/>
  <c r="J286" i="150" l="1"/>
  <c r="G251" i="150"/>
  <c r="G283" i="150" s="1"/>
  <c r="N258" i="150"/>
  <c r="N290" i="150" s="1"/>
  <c r="L289" i="150"/>
  <c r="M257" i="150"/>
  <c r="N257" i="150" s="1"/>
  <c r="H285" i="150"/>
  <c r="L256" i="150"/>
  <c r="K288" i="150"/>
  <c r="K255" i="150"/>
  <c r="K287" i="150" s="1"/>
  <c r="J287" i="150"/>
  <c r="I253" i="150"/>
  <c r="I285" i="150" s="1"/>
  <c r="G51" i="150"/>
  <c r="L254" i="150"/>
  <c r="M254" i="150" s="1"/>
  <c r="H284" i="150"/>
  <c r="I252" i="150"/>
  <c r="K286" i="150"/>
  <c r="F142" i="150"/>
  <c r="F140" i="150"/>
  <c r="F141" i="150" s="1"/>
  <c r="G138" i="150" s="1"/>
  <c r="E250" i="150"/>
  <c r="D282" i="150"/>
  <c r="D293" i="150" s="1"/>
  <c r="D300" i="150" s="1"/>
  <c r="F150" i="150"/>
  <c r="G147" i="150" s="1"/>
  <c r="J253" i="150" l="1"/>
  <c r="J285" i="150" s="1"/>
  <c r="M289" i="150"/>
  <c r="H251" i="150"/>
  <c r="I251" i="150" s="1"/>
  <c r="F236" i="150"/>
  <c r="F298" i="150" s="1"/>
  <c r="G142" i="150"/>
  <c r="G144" i="150" s="1"/>
  <c r="G140" i="150"/>
  <c r="G141" i="150" s="1"/>
  <c r="H138" i="150" s="1"/>
  <c r="G151" i="150"/>
  <c r="G149" i="150"/>
  <c r="G150" i="150" s="1"/>
  <c r="H147" i="150" s="1"/>
  <c r="N289" i="150"/>
  <c r="I284" i="150"/>
  <c r="L286" i="150"/>
  <c r="M256" i="150"/>
  <c r="M288" i="150" s="1"/>
  <c r="D301" i="150"/>
  <c r="E296" i="150" s="1"/>
  <c r="M286" i="150"/>
  <c r="L288" i="150"/>
  <c r="F144" i="150"/>
  <c r="F242" i="150" s="1"/>
  <c r="F239" i="150"/>
  <c r="G55" i="150"/>
  <c r="N254" i="150"/>
  <c r="N286" i="150" s="1"/>
  <c r="L255" i="150"/>
  <c r="J252" i="150"/>
  <c r="E261" i="150"/>
  <c r="E282" i="150"/>
  <c r="E293" i="150" s="1"/>
  <c r="H283" i="150"/>
  <c r="F250" i="150"/>
  <c r="F282" i="150" s="1"/>
  <c r="F293" i="150" s="1"/>
  <c r="K253" i="150" l="1"/>
  <c r="K285" i="150" s="1"/>
  <c r="G124" i="150"/>
  <c r="G123" i="150" s="1"/>
  <c r="G158" i="150" s="1"/>
  <c r="G159" i="150" s="1"/>
  <c r="H156" i="150" s="1"/>
  <c r="E300" i="150"/>
  <c r="E301" i="150" s="1"/>
  <c r="F296" i="150" s="1"/>
  <c r="N256" i="150"/>
  <c r="N288" i="150" s="1"/>
  <c r="H151" i="150"/>
  <c r="H153" i="150" s="1"/>
  <c r="H149" i="150"/>
  <c r="H150" i="150" s="1"/>
  <c r="I147" i="150" s="1"/>
  <c r="H140" i="150"/>
  <c r="H141" i="150" s="1"/>
  <c r="I138" i="150" s="1"/>
  <c r="H142" i="150"/>
  <c r="H144" i="150" s="1"/>
  <c r="M255" i="150"/>
  <c r="M287" i="150" s="1"/>
  <c r="J284" i="150"/>
  <c r="F261" i="150"/>
  <c r="L287" i="150"/>
  <c r="J251" i="150"/>
  <c r="H51" i="150"/>
  <c r="G239" i="150"/>
  <c r="G153" i="150"/>
  <c r="G242" i="150" s="1"/>
  <c r="K252" i="150"/>
  <c r="K284" i="150" s="1"/>
  <c r="G250" i="150"/>
  <c r="H250" i="150" s="1"/>
  <c r="H261" i="150" s="1"/>
  <c r="I283" i="150"/>
  <c r="L253" i="150" l="1"/>
  <c r="L285" i="150" s="1"/>
  <c r="G236" i="150"/>
  <c r="H124" i="150" s="1"/>
  <c r="H123" i="150" s="1"/>
  <c r="H167" i="150" s="1"/>
  <c r="I142" i="150"/>
  <c r="I144" i="150" s="1"/>
  <c r="I140" i="150"/>
  <c r="I141" i="150" s="1"/>
  <c r="J138" i="150" s="1"/>
  <c r="I151" i="150"/>
  <c r="I153" i="150" s="1"/>
  <c r="I149" i="150"/>
  <c r="I150" i="150" s="1"/>
  <c r="J147" i="150" s="1"/>
  <c r="G261" i="150"/>
  <c r="G282" i="150"/>
  <c r="G293" i="150" s="1"/>
  <c r="H282" i="150"/>
  <c r="H293" i="150" s="1"/>
  <c r="H160" i="150"/>
  <c r="H158" i="150"/>
  <c r="H159" i="150" s="1"/>
  <c r="I156" i="150" s="1"/>
  <c r="H55" i="150"/>
  <c r="N255" i="150"/>
  <c r="N287" i="150" s="1"/>
  <c r="F300" i="150"/>
  <c r="F301" i="150" s="1"/>
  <c r="G296" i="150" s="1"/>
  <c r="J283" i="150"/>
  <c r="K251" i="150"/>
  <c r="L251" i="150" s="1"/>
  <c r="M251" i="150" s="1"/>
  <c r="M283" i="150" s="1"/>
  <c r="I250" i="150"/>
  <c r="L252" i="150"/>
  <c r="L284" i="150" s="1"/>
  <c r="M253" i="150" l="1"/>
  <c r="N253" i="150" s="1"/>
  <c r="N285" i="150" s="1"/>
  <c r="G298" i="150"/>
  <c r="G300" i="150" s="1"/>
  <c r="G301" i="150" s="1"/>
  <c r="H296" i="150" s="1"/>
  <c r="M252" i="150"/>
  <c r="M284" i="150" s="1"/>
  <c r="J151" i="150"/>
  <c r="J153" i="150" s="1"/>
  <c r="J149" i="150"/>
  <c r="J150" i="150" s="1"/>
  <c r="K147" i="150" s="1"/>
  <c r="J142" i="150"/>
  <c r="J144" i="150" s="1"/>
  <c r="J140" i="150"/>
  <c r="J141" i="150" s="1"/>
  <c r="K138" i="150" s="1"/>
  <c r="I160" i="150"/>
  <c r="I162" i="150" s="1"/>
  <c r="I158" i="150"/>
  <c r="I159" i="150" s="1"/>
  <c r="J156" i="150" s="1"/>
  <c r="H168" i="150"/>
  <c r="I165" i="150" s="1"/>
  <c r="H236" i="150"/>
  <c r="I261" i="150"/>
  <c r="J250" i="150"/>
  <c r="J261" i="150" s="1"/>
  <c r="H239" i="150"/>
  <c r="H162" i="150"/>
  <c r="H242" i="150" s="1"/>
  <c r="N251" i="150"/>
  <c r="N283" i="150" s="1"/>
  <c r="I51" i="150"/>
  <c r="I282" i="150"/>
  <c r="I293" i="150" s="1"/>
  <c r="K283" i="150"/>
  <c r="L283" i="150"/>
  <c r="M285" i="150" l="1"/>
  <c r="N252" i="150"/>
  <c r="N284" i="150" s="1"/>
  <c r="K250" i="150"/>
  <c r="K261" i="150" s="1"/>
  <c r="K151" i="150"/>
  <c r="K153" i="150" s="1"/>
  <c r="K149" i="150"/>
  <c r="K150" i="150" s="1"/>
  <c r="L147" i="150" s="1"/>
  <c r="I124" i="150"/>
  <c r="I123" i="150" s="1"/>
  <c r="I176" i="150" s="1"/>
  <c r="H298" i="150"/>
  <c r="K142" i="150"/>
  <c r="K144" i="150" s="1"/>
  <c r="K140" i="150"/>
  <c r="K141" i="150" s="1"/>
  <c r="L138" i="150" s="1"/>
  <c r="I55" i="150"/>
  <c r="I169" i="150"/>
  <c r="I167" i="150"/>
  <c r="I168" i="150" s="1"/>
  <c r="J165" i="150" s="1"/>
  <c r="J282" i="150"/>
  <c r="J293" i="150" s="1"/>
  <c r="J158" i="150"/>
  <c r="J159" i="150" s="1"/>
  <c r="K156" i="150" s="1"/>
  <c r="J160" i="150"/>
  <c r="J162" i="150" s="1"/>
  <c r="K282" i="150" l="1"/>
  <c r="K293" i="150" s="1"/>
  <c r="L250" i="150"/>
  <c r="M250" i="150" s="1"/>
  <c r="H300" i="150"/>
  <c r="H301" i="150" s="1"/>
  <c r="I296" i="150" s="1"/>
  <c r="L151" i="150"/>
  <c r="L153" i="150" s="1"/>
  <c r="L149" i="150"/>
  <c r="L150" i="150" s="1"/>
  <c r="M147" i="150" s="1"/>
  <c r="L142" i="150"/>
  <c r="L144" i="150" s="1"/>
  <c r="L140" i="150"/>
  <c r="L141" i="150" s="1"/>
  <c r="M138" i="150" s="1"/>
  <c r="J51" i="150"/>
  <c r="K160" i="150"/>
  <c r="K162" i="150" s="1"/>
  <c r="K158" i="150"/>
  <c r="K159" i="150" s="1"/>
  <c r="L156" i="150" s="1"/>
  <c r="I177" i="150"/>
  <c r="J174" i="150" s="1"/>
  <c r="I236" i="150"/>
  <c r="J169" i="150"/>
  <c r="J171" i="150" s="1"/>
  <c r="J167" i="150"/>
  <c r="J168" i="150" s="1"/>
  <c r="K165" i="150" s="1"/>
  <c r="I239" i="150"/>
  <c r="I171" i="150"/>
  <c r="I242" i="150" s="1"/>
  <c r="L261" i="150" l="1"/>
  <c r="L282" i="150"/>
  <c r="L293" i="150" s="1"/>
  <c r="M140" i="150"/>
  <c r="M141" i="150" s="1"/>
  <c r="N138" i="150" s="1"/>
  <c r="M142" i="150"/>
  <c r="M144" i="150" s="1"/>
  <c r="M149" i="150"/>
  <c r="M150" i="150" s="1"/>
  <c r="N147" i="150" s="1"/>
  <c r="M151" i="150"/>
  <c r="M153" i="150" s="1"/>
  <c r="K169" i="150"/>
  <c r="K171" i="150" s="1"/>
  <c r="K167" i="150"/>
  <c r="K168" i="150" s="1"/>
  <c r="L165" i="150" s="1"/>
  <c r="J55" i="150"/>
  <c r="L158" i="150"/>
  <c r="L159" i="150" s="1"/>
  <c r="M156" i="150" s="1"/>
  <c r="L160" i="150"/>
  <c r="L162" i="150" s="1"/>
  <c r="M261" i="150"/>
  <c r="N250" i="150"/>
  <c r="M282" i="150"/>
  <c r="M293" i="150" s="1"/>
  <c r="J124" i="150"/>
  <c r="J123" i="150" s="1"/>
  <c r="J185" i="150" s="1"/>
  <c r="I298" i="150"/>
  <c r="J178" i="150"/>
  <c r="J176" i="150"/>
  <c r="J177" i="150" s="1"/>
  <c r="K174" i="150" s="1"/>
  <c r="K176" i="150" l="1"/>
  <c r="K177" i="150" s="1"/>
  <c r="L174" i="150" s="1"/>
  <c r="K178" i="150"/>
  <c r="K180" i="150" s="1"/>
  <c r="N140" i="150"/>
  <c r="N141" i="150" s="1"/>
  <c r="N142" i="150"/>
  <c r="N144" i="150" s="1"/>
  <c r="L169" i="150"/>
  <c r="L171" i="150" s="1"/>
  <c r="L167" i="150"/>
  <c r="L168" i="150" s="1"/>
  <c r="M165" i="150" s="1"/>
  <c r="M160" i="150"/>
  <c r="M162" i="150" s="1"/>
  <c r="M158" i="150"/>
  <c r="M159" i="150" s="1"/>
  <c r="N156" i="150" s="1"/>
  <c r="J180" i="150"/>
  <c r="J242" i="150" s="1"/>
  <c r="J239" i="150"/>
  <c r="N151" i="150"/>
  <c r="N153" i="150" s="1"/>
  <c r="N149" i="150"/>
  <c r="N150" i="150" s="1"/>
  <c r="J186" i="150"/>
  <c r="K183" i="150" s="1"/>
  <c r="J236" i="150"/>
  <c r="I300" i="150"/>
  <c r="I301" i="150" s="1"/>
  <c r="J296" i="150" s="1"/>
  <c r="K51" i="150"/>
  <c r="N261" i="150"/>
  <c r="N282" i="150"/>
  <c r="N293" i="150" s="1"/>
  <c r="L178" i="150" l="1"/>
  <c r="L180" i="150" s="1"/>
  <c r="L176" i="150"/>
  <c r="L177" i="150" s="1"/>
  <c r="M174" i="150" s="1"/>
  <c r="K55" i="150"/>
  <c r="M169" i="150"/>
  <c r="M171" i="150" s="1"/>
  <c r="M167" i="150"/>
  <c r="M168" i="150" s="1"/>
  <c r="N165" i="150" s="1"/>
  <c r="N160" i="150"/>
  <c r="N162" i="150" s="1"/>
  <c r="N158" i="150"/>
  <c r="N159" i="150" s="1"/>
  <c r="J298" i="150"/>
  <c r="K124" i="150"/>
  <c r="K123" i="150" s="1"/>
  <c r="K194" i="150" s="1"/>
  <c r="K185" i="150"/>
  <c r="K186" i="150" s="1"/>
  <c r="L183" i="150" s="1"/>
  <c r="K187" i="150"/>
  <c r="M178" i="150" l="1"/>
  <c r="M180" i="150" s="1"/>
  <c r="M176" i="150"/>
  <c r="M177" i="150" s="1"/>
  <c r="N174" i="150" s="1"/>
  <c r="L185" i="150"/>
  <c r="L186" i="150" s="1"/>
  <c r="M183" i="150" s="1"/>
  <c r="L187" i="150"/>
  <c r="L189" i="150" s="1"/>
  <c r="L51" i="150"/>
  <c r="K236" i="150"/>
  <c r="K195" i="150"/>
  <c r="L192" i="150" s="1"/>
  <c r="K239" i="150"/>
  <c r="K189" i="150"/>
  <c r="K242" i="150" s="1"/>
  <c r="N167" i="150"/>
  <c r="N168" i="150" s="1"/>
  <c r="N169" i="150"/>
  <c r="N171" i="150" s="1"/>
  <c r="J300" i="150"/>
  <c r="J301" i="150" s="1"/>
  <c r="K296" i="150" s="1"/>
  <c r="M185" i="150" l="1"/>
  <c r="M186" i="150" s="1"/>
  <c r="N183" i="150" s="1"/>
  <c r="M187" i="150"/>
  <c r="M189" i="150" s="1"/>
  <c r="L196" i="150"/>
  <c r="L194" i="150"/>
  <c r="L195" i="150" s="1"/>
  <c r="M192" i="150" s="1"/>
  <c r="L55" i="150"/>
  <c r="L124" i="150"/>
  <c r="L123" i="150" s="1"/>
  <c r="L203" i="150" s="1"/>
  <c r="K298" i="150"/>
  <c r="N176" i="150"/>
  <c r="N177" i="150" s="1"/>
  <c r="N178" i="150"/>
  <c r="N180" i="150" s="1"/>
  <c r="M196" i="150" l="1"/>
  <c r="M198" i="150" s="1"/>
  <c r="M194" i="150"/>
  <c r="M195" i="150" s="1"/>
  <c r="N192" i="150" s="1"/>
  <c r="N185" i="150"/>
  <c r="N186" i="150" s="1"/>
  <c r="N187" i="150"/>
  <c r="N189" i="150" s="1"/>
  <c r="L198" i="150"/>
  <c r="L242" i="150" s="1"/>
  <c r="L239" i="150"/>
  <c r="L204" i="150"/>
  <c r="M201" i="150" s="1"/>
  <c r="L236" i="150"/>
  <c r="M51" i="150"/>
  <c r="K300" i="150"/>
  <c r="K301" i="150" s="1"/>
  <c r="L296" i="150" s="1"/>
  <c r="N196" i="150" l="1"/>
  <c r="N198" i="150" s="1"/>
  <c r="N194" i="150"/>
  <c r="N195" i="150" s="1"/>
  <c r="M124" i="150"/>
  <c r="M123" i="150" s="1"/>
  <c r="M212" i="150" s="1"/>
  <c r="L298" i="150"/>
  <c r="M55" i="150"/>
  <c r="M203" i="150"/>
  <c r="M204" i="150" s="1"/>
  <c r="N201" i="150" s="1"/>
  <c r="M205" i="150"/>
  <c r="M236" i="150" l="1"/>
  <c r="M298" i="150" s="1"/>
  <c r="M213" i="150"/>
  <c r="N210" i="150" s="1"/>
  <c r="N205" i="150"/>
  <c r="N207" i="150" s="1"/>
  <c r="N203" i="150"/>
  <c r="M207" i="150"/>
  <c r="M242" i="150" s="1"/>
  <c r="M239" i="150"/>
  <c r="L300" i="150"/>
  <c r="L301" i="150" s="1"/>
  <c r="M296" i="150" s="1"/>
  <c r="N51" i="150"/>
  <c r="M300" i="150" l="1"/>
  <c r="M301" i="150" s="1"/>
  <c r="N296" i="150" s="1"/>
  <c r="N214" i="150"/>
  <c r="N212" i="150"/>
  <c r="N213" i="150" s="1"/>
  <c r="N204" i="150"/>
  <c r="N55" i="150"/>
  <c r="N124" i="150" l="1"/>
  <c r="N123" i="150" s="1"/>
  <c r="N221" i="150" s="1"/>
  <c r="N216" i="150"/>
  <c r="N242" i="150" s="1"/>
  <c r="N239" i="150"/>
  <c r="N8" i="150"/>
  <c r="N236" i="150" l="1"/>
  <c r="N298" i="150" s="1"/>
  <c r="N222" i="150"/>
  <c r="N300" i="150" l="1"/>
  <c r="C304" i="150" s="1" a="1"/>
  <c r="N313" i="150" l="1"/>
  <c r="M308" i="150"/>
  <c r="K305" i="150"/>
  <c r="L308" i="150"/>
  <c r="G305" i="150"/>
  <c r="N308" i="150"/>
  <c r="K307" i="150"/>
  <c r="I307" i="150"/>
  <c r="H305" i="150"/>
  <c r="J309" i="150"/>
  <c r="H306" i="150"/>
  <c r="L312" i="150"/>
  <c r="M313" i="150"/>
  <c r="N311" i="150"/>
  <c r="N312" i="150"/>
  <c r="L306" i="150"/>
  <c r="N314" i="150"/>
  <c r="L309" i="150"/>
  <c r="I308" i="150"/>
  <c r="K311" i="150"/>
  <c r="J307" i="150"/>
  <c r="N306" i="150"/>
  <c r="N309" i="150"/>
  <c r="I306" i="150"/>
  <c r="G307" i="150"/>
  <c r="H307" i="150"/>
  <c r="G306" i="150"/>
  <c r="K308" i="150"/>
  <c r="J306" i="150"/>
  <c r="M307" i="150"/>
  <c r="J308" i="150"/>
  <c r="M310" i="150"/>
  <c r="L311" i="150"/>
  <c r="M311" i="150"/>
  <c r="I309" i="150"/>
  <c r="F305" i="150"/>
  <c r="I305" i="150"/>
  <c r="J305" i="150"/>
  <c r="K310" i="150"/>
  <c r="N305" i="150"/>
  <c r="K309" i="150"/>
  <c r="L307" i="150"/>
  <c r="J310" i="150"/>
  <c r="H308" i="150"/>
  <c r="N310" i="150"/>
  <c r="E305" i="150"/>
  <c r="N307" i="150"/>
  <c r="L310" i="150"/>
  <c r="L305" i="150"/>
  <c r="F306" i="150"/>
  <c r="M309" i="150"/>
  <c r="K306" i="150"/>
  <c r="M305" i="150"/>
  <c r="M306" i="150"/>
  <c r="M312" i="150"/>
  <c r="C304" i="150"/>
  <c r="N301" i="150"/>
  <c r="G304" i="150" l="1"/>
  <c r="G315" i="150" s="1"/>
  <c r="G317" i="150" s="1"/>
  <c r="G93" i="150" s="1"/>
  <c r="G95" i="150" s="1"/>
  <c r="H304" i="150"/>
  <c r="H315" i="150" s="1"/>
  <c r="H317" i="150" s="1"/>
  <c r="H93" i="150" s="1"/>
  <c r="H95" i="150" s="1"/>
  <c r="F304" i="150"/>
  <c r="F315" i="150" s="1"/>
  <c r="F317" i="150" s="1"/>
  <c r="F93" i="150" s="1"/>
  <c r="F95" i="150" s="1"/>
  <c r="D304" i="150"/>
  <c r="D315" i="150" s="1"/>
  <c r="D317" i="150" s="1"/>
  <c r="D93" i="150" s="1"/>
  <c r="D95" i="150" s="1"/>
  <c r="N304" i="150"/>
  <c r="N315" i="150" s="1"/>
  <c r="N317" i="150" s="1"/>
  <c r="N93" i="150" s="1"/>
  <c r="N95" i="150" s="1"/>
  <c r="E304" i="150"/>
  <c r="E315" i="150" s="1"/>
  <c r="E317" i="150" s="1"/>
  <c r="E93" i="150" s="1"/>
  <c r="E95" i="150" s="1"/>
  <c r="J304" i="150"/>
  <c r="J315" i="150" s="1"/>
  <c r="J317" i="150" s="1"/>
  <c r="J93" i="150" s="1"/>
  <c r="J95" i="150" s="1"/>
  <c r="L304" i="150"/>
  <c r="L315" i="150" s="1"/>
  <c r="L317" i="150" s="1"/>
  <c r="L93" i="150" s="1"/>
  <c r="L95" i="150" s="1"/>
  <c r="I304" i="150"/>
  <c r="I315" i="150" s="1"/>
  <c r="I317" i="150" s="1"/>
  <c r="I93" i="150" s="1"/>
  <c r="I95" i="150" s="1"/>
  <c r="M304" i="150"/>
  <c r="M315" i="150" s="1"/>
  <c r="M317" i="150" s="1"/>
  <c r="M93" i="150" s="1"/>
  <c r="M95" i="150" s="1"/>
  <c r="K304" i="150"/>
  <c r="K315" i="150" s="1"/>
  <c r="K317" i="150" s="1"/>
  <c r="K93" i="150" s="1"/>
  <c r="K95" i="150" s="1"/>
  <c r="E96" i="150" l="1"/>
  <c r="E101" i="150"/>
  <c r="J96" i="150"/>
  <c r="J101" i="150"/>
  <c r="F96" i="150"/>
  <c r="F101" i="150"/>
  <c r="L96" i="150"/>
  <c r="L101" i="150"/>
  <c r="D101" i="150"/>
  <c r="D96" i="150"/>
  <c r="M101" i="150"/>
  <c r="M96" i="150"/>
  <c r="H96" i="150"/>
  <c r="H101" i="150"/>
  <c r="N96" i="150"/>
  <c r="N101" i="150"/>
  <c r="K101" i="150"/>
  <c r="K96" i="150"/>
  <c r="I96" i="150"/>
  <c r="I101" i="150"/>
  <c r="G96" i="150"/>
  <c r="G101" i="150"/>
  <c r="N107" i="150" l="1"/>
  <c r="L107" i="150"/>
  <c r="F107" i="150"/>
  <c r="G107" i="150"/>
  <c r="H107" i="150"/>
  <c r="M107" i="150"/>
  <c r="I107" i="150"/>
  <c r="J107" i="150"/>
  <c r="K107" i="150"/>
  <c r="D107" i="150"/>
  <c r="E107" i="150"/>
  <c r="D108" i="150" l="1"/>
  <c r="D102" i="150" s="1"/>
  <c r="D109" i="150" l="1"/>
  <c r="E106" i="150" s="1"/>
  <c r="D97" i="150"/>
  <c r="D29" i="150" l="1"/>
  <c r="D30" i="150" s="1"/>
  <c r="D32" i="150" s="1"/>
  <c r="D35" i="150" s="1"/>
  <c r="D103" i="150"/>
  <c r="E100" i="150" s="1"/>
  <c r="E108" i="150"/>
  <c r="E97" i="150" l="1"/>
  <c r="E29" i="150" s="1"/>
  <c r="E30" i="150" s="1"/>
  <c r="E32" i="150" s="1"/>
  <c r="E35" i="150" s="1"/>
  <c r="E102" i="150"/>
  <c r="E103" i="150" s="1"/>
  <c r="F100" i="150" s="1"/>
  <c r="E109" i="150"/>
  <c r="F106" i="150" l="1"/>
  <c r="F108" i="150" s="1"/>
  <c r="D87" i="150"/>
  <c r="D88" i="150" s="1"/>
  <c r="E84" i="150" s="1"/>
  <c r="F109" i="150" l="1"/>
  <c r="G106" i="150" s="1"/>
  <c r="F97" i="150"/>
  <c r="F29" i="150" s="1"/>
  <c r="F30" i="150" s="1"/>
  <c r="F32" i="150" s="1"/>
  <c r="F35" i="150" s="1"/>
  <c r="F102" i="150"/>
  <c r="F103" i="150" s="1"/>
  <c r="G100" i="150" s="1"/>
  <c r="H87" i="150"/>
  <c r="L87" i="150"/>
  <c r="J87" i="150"/>
  <c r="G87" i="150"/>
  <c r="F87" i="150"/>
  <c r="K87" i="150"/>
  <c r="M87" i="150"/>
  <c r="N87" i="150"/>
  <c r="E87" i="150"/>
  <c r="E88" i="150" s="1"/>
  <c r="F84" i="150" s="1"/>
  <c r="I87" i="150"/>
  <c r="G108" i="150" l="1"/>
  <c r="G109" i="150" s="1"/>
  <c r="H106" i="150" s="1"/>
  <c r="H108" i="150" s="1"/>
  <c r="F88" i="150"/>
  <c r="G84" i="150" s="1"/>
  <c r="G88" i="150" s="1"/>
  <c r="H84" i="150" s="1"/>
  <c r="H88" i="150" s="1"/>
  <c r="I84" i="150" s="1"/>
  <c r="I88" i="150" s="1"/>
  <c r="J84" i="150" s="1"/>
  <c r="J88" i="150" s="1"/>
  <c r="K84" i="150" s="1"/>
  <c r="K88" i="150" s="1"/>
  <c r="L84" i="150" s="1"/>
  <c r="L88" i="150" s="1"/>
  <c r="M84" i="150" s="1"/>
  <c r="M88" i="150" s="1"/>
  <c r="N84" i="150" s="1"/>
  <c r="N88" i="150" s="1"/>
  <c r="G102" i="150" l="1"/>
  <c r="G103" i="150" s="1"/>
  <c r="H100" i="150" s="1"/>
  <c r="G97" i="150"/>
  <c r="G29" i="150" s="1"/>
  <c r="G30" i="150" s="1"/>
  <c r="G32" i="150" s="1"/>
  <c r="G35" i="150" s="1"/>
  <c r="H97" i="150"/>
  <c r="H29" i="150" s="1"/>
  <c r="H30" i="150" s="1"/>
  <c r="H32" i="150" s="1"/>
  <c r="H35" i="150" s="1"/>
  <c r="H102" i="150"/>
  <c r="H109" i="150"/>
  <c r="H103" i="150" l="1"/>
  <c r="I100" i="150" s="1"/>
  <c r="I106" i="150"/>
  <c r="I108" i="150" s="1"/>
  <c r="I97" i="150" l="1"/>
  <c r="I29" i="150" s="1"/>
  <c r="I30" i="150" s="1"/>
  <c r="I32" i="150" s="1"/>
  <c r="I35" i="150" s="1"/>
  <c r="I102" i="150"/>
  <c r="I103" i="150" s="1"/>
  <c r="J100" i="150" s="1"/>
  <c r="I109" i="150"/>
  <c r="J106" i="150" l="1"/>
  <c r="J108" i="150" s="1"/>
  <c r="J97" i="150" l="1"/>
  <c r="J29" i="150" s="1"/>
  <c r="J30" i="150" s="1"/>
  <c r="J32" i="150" s="1"/>
  <c r="J35" i="150" s="1"/>
  <c r="J102" i="150"/>
  <c r="J103" i="150" s="1"/>
  <c r="K100" i="150" s="1"/>
  <c r="J109" i="150"/>
  <c r="K106" i="150" l="1"/>
  <c r="K108" i="150" s="1"/>
  <c r="K97" i="150" l="1"/>
  <c r="K29" i="150" s="1"/>
  <c r="K30" i="150" s="1"/>
  <c r="K32" i="150" s="1"/>
  <c r="K35" i="150" s="1"/>
  <c r="K102" i="150"/>
  <c r="K103" i="150" s="1"/>
  <c r="L100" i="150" s="1"/>
  <c r="K109" i="150"/>
  <c r="L106" i="150" l="1"/>
  <c r="L108" i="150" s="1"/>
  <c r="L97" i="150" l="1"/>
  <c r="L29" i="150" s="1"/>
  <c r="L30" i="150" s="1"/>
  <c r="L32" i="150" s="1"/>
  <c r="L35" i="150" s="1"/>
  <c r="L102" i="150"/>
  <c r="L103" i="150" s="1"/>
  <c r="M100" i="150" s="1"/>
  <c r="L109" i="150"/>
  <c r="M106" i="150" l="1"/>
  <c r="M108" i="150" s="1"/>
  <c r="M97" i="150" l="1"/>
  <c r="M29" i="150" s="1"/>
  <c r="M30" i="150" s="1"/>
  <c r="M32" i="150" s="1"/>
  <c r="M35" i="150" s="1"/>
  <c r="M102" i="150"/>
  <c r="M103" i="150" s="1"/>
  <c r="N100" i="150" s="1"/>
  <c r="M109" i="150"/>
  <c r="N106" i="150" l="1"/>
  <c r="N108" i="150" s="1"/>
  <c r="N109" i="150" l="1"/>
  <c r="N97" i="150"/>
  <c r="N29" i="150" s="1"/>
  <c r="N30" i="150" s="1"/>
  <c r="N32" i="150" s="1"/>
  <c r="N35" i="150" s="1"/>
  <c r="N36" i="150" s="1"/>
  <c r="N102" i="150"/>
  <c r="N103" i="150" s="1"/>
  <c r="N11" i="150" s="1"/>
  <c r="N7" i="150" l="1"/>
  <c r="N10" i="150"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<sst xmlns="http://schemas.openxmlformats.org/spreadsheetml/2006/main" count="716" uniqueCount="216">
  <si>
    <t>Description</t>
  </si>
  <si>
    <t>General description</t>
  </si>
  <si>
    <t xml:space="preserve">This is a draft model of the “initial RAB value” of the financial loss asset for Enable Networks Limited's, Northpower Fibre Limited's and Tuatahi First Fibre Limited's information disclosure regulatory asset base (ID RAB) as of the implementation date under clause 2.2.4(1) of the Fibre Input Methodologies Determination 2020, as amended on 29 November 2021.
</t>
  </si>
  <si>
    <t>Notes</t>
  </si>
  <si>
    <t>LFC Inputs</t>
  </si>
  <si>
    <t>Start date</t>
  </si>
  <si>
    <t>7 months to</t>
  </si>
  <si>
    <t>Full year to</t>
  </si>
  <si>
    <t>6 months to</t>
  </si>
  <si>
    <t>Cash flow inputs</t>
  </si>
  <si>
    <t>UFB revenues cash flow</t>
  </si>
  <si>
    <t>$000</t>
  </si>
  <si>
    <t>Sum of UFB unallocated asset values opening values as of 1 December 2011</t>
  </si>
  <si>
    <t>Sum of value of net commissioned assets (unallocated)</t>
  </si>
  <si>
    <t>Sum of UFB opening asset values as of 1 December 2011</t>
  </si>
  <si>
    <t>UFB value of net commissioned assets cash flow (allocated)</t>
  </si>
  <si>
    <t>UFB operating expenditure cash flow</t>
  </si>
  <si>
    <t>Opening cost allocator value</t>
  </si>
  <si>
    <t>%</t>
  </si>
  <si>
    <t>Closing cost allocator value</t>
  </si>
  <si>
    <t>Asset-related inputs</t>
  </si>
  <si>
    <t>Depreciation (unallocated)</t>
  </si>
  <si>
    <t>Depreciation (allocated)</t>
  </si>
  <si>
    <t>Tax inputs</t>
  </si>
  <si>
    <t>Sum of tax asset values as of 1 December 2011 (unallocated)</t>
  </si>
  <si>
    <t>Sum of regulatory tax asset values as of 1 December 2011 (allocated)</t>
  </si>
  <si>
    <t>Tax sum of value of net commissioned assets (unallocated)</t>
  </si>
  <si>
    <t>Tax UFB value of net commissioned assets cash flow (allocated)</t>
  </si>
  <si>
    <t>Tax revenues cash flow</t>
  </si>
  <si>
    <t>Tax operating expenditure cash flow</t>
  </si>
  <si>
    <t>Tax depreciation (unallocated)</t>
  </si>
  <si>
    <t>Tax depreciation (allocated)</t>
  </si>
  <si>
    <t>Opening tax cost allocator value</t>
  </si>
  <si>
    <t>Closing tax cost allocator value</t>
  </si>
  <si>
    <t>Crown financing inputs</t>
  </si>
  <si>
    <t>Crown financing drawn down</t>
  </si>
  <si>
    <t>Crown financing repaid</t>
  </si>
  <si>
    <t>Proportion of net drawdowns which is, in substance, debt</t>
  </si>
  <si>
    <t>Model Inputs</t>
  </si>
  <si>
    <t>Sum of UFB unallocated asset value opening value as of 1 December 2011</t>
  </si>
  <si>
    <t>UFB cost allocation adjustment cash flow</t>
  </si>
  <si>
    <t>Tax cost allocation adjustment cash flow</t>
  </si>
  <si>
    <t>Corporate tax rate</t>
  </si>
  <si>
    <t>Financial loss year WACC</t>
  </si>
  <si>
    <t>Cost of equity</t>
  </si>
  <si>
    <t>Risk-free rate</t>
  </si>
  <si>
    <t>Asset beta</t>
  </si>
  <si>
    <t>Equity beta</t>
  </si>
  <si>
    <t>TAMRP</t>
  </si>
  <si>
    <t>Average investor tax rate</t>
  </si>
  <si>
    <t>Cost of debt</t>
  </si>
  <si>
    <t>Debt premium</t>
  </si>
  <si>
    <t>Debt issuance costs</t>
  </si>
  <si>
    <t>Leverage</t>
  </si>
  <si>
    <t>Debt from all sources as a proportion of total financing</t>
  </si>
  <si>
    <t>Timing</t>
  </si>
  <si>
    <t>Number of days in part or full year</t>
  </si>
  <si>
    <t>Count</t>
  </si>
  <si>
    <t>Mid-year date compounding</t>
  </si>
  <si>
    <t>Days from mid-year to year-end</t>
  </si>
  <si>
    <t>Mid-year date</t>
  </si>
  <si>
    <t>Date</t>
  </si>
  <si>
    <t>Days from mid-year to implementation date</t>
  </si>
  <si>
    <t>Years prior to 31 Dec 2021 for compounding index</t>
  </si>
  <si>
    <t>Years</t>
  </si>
  <si>
    <t>Start date compounding</t>
  </si>
  <si>
    <t>Days from start date to implementation date</t>
  </si>
  <si>
    <t>Revenue date compounding</t>
  </si>
  <si>
    <t>Days from revenue date to year-end</t>
  </si>
  <si>
    <t>Revenue date</t>
  </si>
  <si>
    <t>Days from revenue date to implementation date</t>
  </si>
  <si>
    <t>Compounding factors</t>
  </si>
  <si>
    <t>Mid-year compounding factors</t>
  </si>
  <si>
    <t>Compounding factor step 1</t>
  </si>
  <si>
    <t>Index factor</t>
  </si>
  <si>
    <t>Mid-year compounding factor</t>
  </si>
  <si>
    <t>Index</t>
  </si>
  <si>
    <t>Start date compounding factors</t>
  </si>
  <si>
    <t>Start date compounding factor</t>
  </si>
  <si>
    <t>Revenue date compounding factors</t>
  </si>
  <si>
    <t>Revenue date compounding factor</t>
  </si>
  <si>
    <t>Crown financing</t>
  </si>
  <si>
    <t>Net drawdown</t>
  </si>
  <si>
    <t>Proportion of net drawdowns which is, in subtance, debt</t>
  </si>
  <si>
    <t>Net drawdown in the financial loss year that is, in substance, debt</t>
  </si>
  <si>
    <t>Net drawdown in the financial loss year that is, in substance, equity</t>
  </si>
  <si>
    <t>Crown financing rates</t>
  </si>
  <si>
    <t>Crown debt finance rate</t>
  </si>
  <si>
    <t>Crown equity finance rate</t>
  </si>
  <si>
    <t>Crown finance rate</t>
  </si>
  <si>
    <t>Discounted cash flow calculation of financial loss asset and value of opening tax losses for disclosure year 2022</t>
  </si>
  <si>
    <t>Financial loss asset</t>
  </si>
  <si>
    <t>As at</t>
  </si>
  <si>
    <t>Present value of total net cash flows</t>
  </si>
  <si>
    <t>Add UFB asset base closing value at implementation date</t>
  </si>
  <si>
    <t>Add present value benefit of Crown financing</t>
  </si>
  <si>
    <t>Financial loss asset at implementation date</t>
  </si>
  <si>
    <t>UFB closing tax losses on the last day of financial loss year 2022</t>
  </si>
  <si>
    <t>Cash flows</t>
  </si>
  <si>
    <t>UFB revenues</t>
  </si>
  <si>
    <t>UFB revenues cash flows</t>
  </si>
  <si>
    <t>Present value of UFB revenues cash flows</t>
  </si>
  <si>
    <t>UFB costs</t>
  </si>
  <si>
    <t>Sum of UFB opening asset value as of 1 December 2011</t>
  </si>
  <si>
    <t>Present value of sum of UFB asset value as of 1 December 2011</t>
  </si>
  <si>
    <t>UFB value of net commissioned assets cash flow</t>
  </si>
  <si>
    <t>UFB tax costs cash flow</t>
  </si>
  <si>
    <t>UFB costs cash flows</t>
  </si>
  <si>
    <t>Present value of UFB costs cash flows</t>
  </si>
  <si>
    <t>Net cash flows</t>
  </si>
  <si>
    <t>Present value of annual net cash flows</t>
  </si>
  <si>
    <t>Asset value calculations</t>
  </si>
  <si>
    <t>Roll forward of unallocated UFB fibre assets</t>
  </si>
  <si>
    <t>Sum of UFB unallocated opening asset values</t>
  </si>
  <si>
    <t>Sum of UFB unallocated closing asset values</t>
  </si>
  <si>
    <t>Roll forward of allocated UFB fibre assets</t>
  </si>
  <si>
    <t>Sum of UFB asset base opening value as of 1 December 2011</t>
  </si>
  <si>
    <t>Sum of UFB opening asset values</t>
  </si>
  <si>
    <t>Sum of UFB closing asset value</t>
  </si>
  <si>
    <t>Benefit of Crown financing calculations</t>
  </si>
  <si>
    <t>Roll forward of Crown financing</t>
  </si>
  <si>
    <t>Crown financing (opening value)</t>
  </si>
  <si>
    <t>Crown financing net drawn down</t>
  </si>
  <si>
    <t>Crown financing (closing value)</t>
  </si>
  <si>
    <t>Present value benefit of Crown financing</t>
  </si>
  <si>
    <t>Crown financing rate</t>
  </si>
  <si>
    <t>Benefit of Crown financing</t>
  </si>
  <si>
    <t>Benefit of Crown financing compounding factor</t>
  </si>
  <si>
    <t>Present value of annual benefits</t>
  </si>
  <si>
    <t>Tax calculations</t>
  </si>
  <si>
    <t>Roll forward of unallocated tax assets</t>
  </si>
  <si>
    <t>Opening unallocated tax asset base value</t>
  </si>
  <si>
    <t>Tax net commissioned assets (unallocated)</t>
  </si>
  <si>
    <t>Closing unallocated tax asset base value</t>
  </si>
  <si>
    <t>Roll forward of allocated tax assets</t>
  </si>
  <si>
    <t>Opening allocated tax asset base value</t>
  </si>
  <si>
    <t>Tax net commissioned assets (allocated)</t>
  </si>
  <si>
    <t>Closing allocated tax asset base value</t>
  </si>
  <si>
    <t>Tax revenue</t>
  </si>
  <si>
    <t>Tax operating expenditure</t>
  </si>
  <si>
    <t>Notional deductible interest</t>
  </si>
  <si>
    <t>UFB taxable income</t>
  </si>
  <si>
    <t>Tax (before tax losses)</t>
  </si>
  <si>
    <t>Tax losses</t>
  </si>
  <si>
    <t>UFB opening tax losses</t>
  </si>
  <si>
    <t>UFB current period tax losses</t>
  </si>
  <si>
    <t>UFB utilised tax losses</t>
  </si>
  <si>
    <t>UFB closing tax losses</t>
  </si>
  <si>
    <t>Tax effect of losses</t>
  </si>
  <si>
    <t>Opening tax effect of losses</t>
  </si>
  <si>
    <t>Current period tax effect of losses</t>
  </si>
  <si>
    <t>Utilised tax effect of losses</t>
  </si>
  <si>
    <t>Closing tax effect of losses</t>
  </si>
  <si>
    <t>Notional deductible interest calculations</t>
  </si>
  <si>
    <t>Inputs</t>
  </si>
  <si>
    <t>Days in year</t>
  </si>
  <si>
    <t>Days</t>
  </si>
  <si>
    <t>Days from mid year to end of year</t>
  </si>
  <si>
    <t>Days from revenue year to end of year</t>
  </si>
  <si>
    <t>Proportion of year</t>
  </si>
  <si>
    <t>Proportion of year for mid year calcs</t>
  </si>
  <si>
    <t>Proportion of year for revenue year calcs</t>
  </si>
  <si>
    <t>Depreciation rate</t>
  </si>
  <si>
    <t>Historic depreciation</t>
  </si>
  <si>
    <t>Adjustment for partial depreciation</t>
  </si>
  <si>
    <t>Calculate debt financing cost of commissioned assets</t>
  </si>
  <si>
    <t>Debt financing costs for UFB asset value as of 1 December 2011</t>
  </si>
  <si>
    <t>Opening balance</t>
  </si>
  <si>
    <t>Initial asset value</t>
  </si>
  <si>
    <t>Depreciation</t>
  </si>
  <si>
    <t>Closing balance</t>
  </si>
  <si>
    <t>Gross cost of debt financing UFB assets</t>
  </si>
  <si>
    <t>Benefit of Crown debt financing</t>
  </si>
  <si>
    <t>Net cost of debt financing assets</t>
  </si>
  <si>
    <t>Debt financing costs for UFB assets commissioned in financial loss year 2012</t>
  </si>
  <si>
    <t>Commissioned assets (including cost allocation adjustment cashflow)</t>
  </si>
  <si>
    <t>Debt financing costs for UFB assets commissioned in financial loss year 2013</t>
  </si>
  <si>
    <t>Commissioned assets (including cost allocation adjustment cashflow) for financial loss year 2013</t>
  </si>
  <si>
    <t>Debt financing costs for UFB assets commissioned in financial loss year 2014</t>
  </si>
  <si>
    <t>Commissioned assets (including cost allocation adjustment cashflow) for financial loss year 2014</t>
  </si>
  <si>
    <t>Debt financing costs for UFB assets commissioned in financial loss year 2015</t>
  </si>
  <si>
    <t>Commissioned assets (including cost allocation adjustment cashflow) for financial loss year 2015</t>
  </si>
  <si>
    <t>Debt financing costs for UFB assets commissioned in financial loss year 2016</t>
  </si>
  <si>
    <t>Commissioned assets (including cost allocation adjustment cashflow) for financial loss year 2016</t>
  </si>
  <si>
    <t>Debt financing costs for UFB assets commissioned in financial loss year 2017</t>
  </si>
  <si>
    <t>Commissioned assets (including cost allocation adjustment cashflow) for financial loss year 2017</t>
  </si>
  <si>
    <t>Debt financing costs for UFB assets commissioned in financial loss year 2018</t>
  </si>
  <si>
    <t>Commissioned assets (including cost allocation adjustment cashflow) for financial loss year 2018</t>
  </si>
  <si>
    <t>Debt financing costs for UFB assets commissioned in financial loss year 2019</t>
  </si>
  <si>
    <t>Commissioned assets (including cost allocation adjustment cashflow) for financial loss year 2019</t>
  </si>
  <si>
    <t>Debt financing costs for UFB assets commissioned in financial loss year 2020</t>
  </si>
  <si>
    <t>Commissioned assets (including cost allocation adjustment cashflow) for financial loss year 2020</t>
  </si>
  <si>
    <t>Debt financing costs for UFB assets commissioned in financial loss year 2021</t>
  </si>
  <si>
    <t>Commissioned assets (including cost allocation adjustment cashflow) for financial loss year 2021</t>
  </si>
  <si>
    <t>Debt financing costs for UFB assets commissioned in financial loss year 2022</t>
  </si>
  <si>
    <t>Commissioned assets (including cost allocation adjustment cashflow) for financial loss year 2022</t>
  </si>
  <si>
    <t>Total depreciation</t>
  </si>
  <si>
    <t>Check depreciation is all accounted for</t>
  </si>
  <si>
    <t>Total gross cost of debt financing UFB assets</t>
  </si>
  <si>
    <t>Total benefit of Crown debt financing</t>
  </si>
  <si>
    <t>Total net cost of debt financing UFB assets</t>
  </si>
  <si>
    <t>Add cost of debt financing losses</t>
  </si>
  <si>
    <t>Calculation of UFB closing asset value adjusted for losses</t>
  </si>
  <si>
    <t>Matrix of accumulating UFB costs</t>
  </si>
  <si>
    <t>Total</t>
  </si>
  <si>
    <t>Matrix of accumulating UFB revenue</t>
  </si>
  <si>
    <t>Matrix of accumulating UFB closing asset value adjusted for losses</t>
  </si>
  <si>
    <t>UFB closing asset value adjusted for losses</t>
  </si>
  <si>
    <t>Roll forward of UFB closing asset value adjusted for losses</t>
  </si>
  <si>
    <t>Sum of UFB opening asset values adjusted for losses</t>
  </si>
  <si>
    <t>UFB value of net commissioned assets</t>
  </si>
  <si>
    <t>Loss adjustment</t>
  </si>
  <si>
    <t>Sum of UFB closing asset values adjusted for losses</t>
  </si>
  <si>
    <t>Matrix of cost of debt financing losses</t>
  </si>
  <si>
    <t>Loss</t>
  </si>
  <si>
    <t>Total cost of debt financing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</si>
</sst>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u/>
      <sz val="10"/>
      <color theme="11"/>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1"/>
      <color rgb="FF0000FF"/>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4FF3C"/>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s>
  <cellStyleXfs count="83">
    <xf numFmtId="0" fontId="0" fillId="0" borderId="0"/>
    <xf numFmtId="168"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3"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2" fillId="0" borderId="10" applyNumberFormat="0" applyAlignment="0">
      <protection locked="0"/>
    </xf>
    <xf numFmtId="0" fontId="1" fillId="0" borderId="10"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19"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7" fillId="0" borderId="0" applyFont="0" applyFill="0" applyBorder="0" applyAlignment="0" applyProtection="0">
      <alignment horizontal="left"/>
      <protection locked="0"/>
    </xf>
    <xf numFmtId="166" fontId="1" fillId="34" borderId="11" applyNumberFormat="0" applyFont="0" applyFill="0" applyAlignment="0" applyProtection="0"/>
    <xf numFmtId="177" fontId="12" fillId="32" borderId="0" applyFont="0" applyBorder="0"/>
    <xf numFmtId="176" fontId="17" fillId="0" borderId="0" applyFont="0" applyFill="0" applyBorder="0" applyAlignment="0" applyProtection="0">
      <protection locked="0"/>
    </xf>
    <xf numFmtId="175" fontId="12" fillId="0" borderId="0" applyFont="0" applyFill="0" applyBorder="0" applyAlignment="0" applyProtection="0">
      <alignment horizontal="center" vertical="top" wrapText="1"/>
    </xf>
    <xf numFmtId="174" fontId="24" fillId="0" borderId="10" applyNumberFormat="0" applyAlignment="0"/>
    <xf numFmtId="0" fontId="16" fillId="0" borderId="10" applyNumberFormat="0">
      <alignment horizontal="centerContinuous" wrapText="1"/>
    </xf>
    <xf numFmtId="173" fontId="17" fillId="0" borderId="0" applyFont="0" applyFill="0" applyBorder="0" applyAlignment="0" applyProtection="0">
      <alignment wrapText="1"/>
    </xf>
    <xf numFmtId="172" fontId="17" fillId="0" borderId="0" applyFont="0" applyFill="0" applyBorder="0" applyAlignment="0" applyProtection="0"/>
    <xf numFmtId="171" fontId="17" fillId="0" borderId="0" applyFont="0" applyFill="0" applyBorder="0" applyAlignment="0" applyProtection="0">
      <protection locked="0"/>
    </xf>
    <xf numFmtId="169" fontId="18" fillId="0" borderId="0" applyFont="0" applyFill="0" applyBorder="0" applyAlignment="0" applyProtection="0">
      <alignment horizontal="left"/>
      <protection locked="0"/>
    </xf>
    <xf numFmtId="170" fontId="17" fillId="0" borderId="0" applyFont="0" applyFill="0" applyBorder="0" applyAlignment="0" applyProtection="0">
      <protection locked="0"/>
    </xf>
    <xf numFmtId="0" fontId="21"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0"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2" fillId="35" borderId="10" applyNumberFormat="0" applyAlignment="0" applyProtection="0"/>
    <xf numFmtId="49" fontId="19" fillId="0" borderId="0" applyFill="0" applyProtection="0">
      <alignment horizontal="left" indent="1"/>
    </xf>
    <xf numFmtId="168"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16" fillId="36" borderId="7" applyNumberFormat="0" applyFill="0">
      <alignment horizontal="centerContinuous" wrapText="1"/>
    </xf>
    <xf numFmtId="0" fontId="28" fillId="5" borderId="13" applyNumberFormat="0" applyAlignment="0" applyProtection="0"/>
    <xf numFmtId="174" fontId="29" fillId="37" borderId="7" applyNumberFormat="0" applyFill="0" applyAlignment="0"/>
    <xf numFmtId="166" fontId="1" fillId="0" borderId="0" applyFont="0" applyFill="0" applyBorder="0" applyAlignment="0" applyProtection="0"/>
    <xf numFmtId="169" fontId="17" fillId="0" borderId="0" applyFont="0" applyFill="0" applyBorder="0" applyAlignment="0" applyProtection="0">
      <alignment horizontal="left"/>
      <protection locked="0"/>
    </xf>
    <xf numFmtId="0" fontId="30" fillId="0" borderId="15" applyNumberFormat="0" applyFill="0" applyAlignment="0" applyProtection="0"/>
    <xf numFmtId="170" fontId="1" fillId="34" borderId="16" applyNumberFormat="0" applyFont="0" applyFill="0" applyAlignment="0" applyProtection="0"/>
    <xf numFmtId="0" fontId="31" fillId="38" borderId="1" applyNumberFormat="0" applyAlignment="0" applyProtection="0"/>
    <xf numFmtId="0" fontId="44" fillId="0" borderId="23" applyNumberFormat="0" applyAlignment="0">
      <alignment vertical="center"/>
      <protection locked="0"/>
    </xf>
    <xf numFmtId="0" fontId="44" fillId="0" borderId="24" applyNumberFormat="0" applyAlignment="0">
      <alignment vertical="center"/>
    </xf>
    <xf numFmtId="0" fontId="44" fillId="41" borderId="0" applyNumberFormat="0" applyAlignment="0">
      <alignment vertical="center"/>
    </xf>
    <xf numFmtId="166" fontId="1" fillId="0" borderId="0" applyFont="0" applyFill="0" applyBorder="0" applyAlignment="0" applyProtection="0"/>
  </cellStyleXfs>
  <cellXfs count="189">
    <xf numFmtId="0" fontId="0" fillId="0" borderId="0" xfId="0"/>
    <xf numFmtId="49" fontId="23" fillId="0" borderId="0" xfId="5"/>
    <xf numFmtId="169" fontId="0" fillId="0" borderId="0" xfId="56" applyFont="1" applyBorder="1" applyAlignment="1" applyProtection="1"/>
    <xf numFmtId="49" fontId="19" fillId="0" borderId="0" xfId="65" applyAlignment="1">
      <alignment vertical="top"/>
    </xf>
    <xf numFmtId="169" fontId="1" fillId="0" borderId="9" xfId="14" applyNumberFormat="1" applyBorder="1" applyAlignment="1"/>
    <xf numFmtId="179" fontId="1" fillId="0" borderId="9" xfId="14" applyNumberFormat="1" applyBorder="1" applyAlignment="1"/>
    <xf numFmtId="0" fontId="21" fillId="0" borderId="9" xfId="58" applyFill="1" applyBorder="1" applyAlignment="1" applyProtection="1"/>
    <xf numFmtId="169" fontId="0" fillId="0" borderId="8" xfId="14" applyNumberFormat="1" applyFont="1" applyBorder="1" applyAlignment="1"/>
    <xf numFmtId="169" fontId="1" fillId="0" borderId="9" xfId="14" applyNumberFormat="1" applyBorder="1" applyAlignment="1">
      <alignment vertical="top"/>
    </xf>
    <xf numFmtId="169" fontId="1" fillId="0" borderId="0" xfId="14" applyNumberFormat="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2" fillId="0" borderId="10" xfId="13" applyNumberFormat="1">
      <protection locked="0"/>
    </xf>
    <xf numFmtId="0" fontId="16" fillId="0" borderId="10" xfId="52" applyAlignment="1">
      <alignment horizontal="left" wrapText="1"/>
    </xf>
    <xf numFmtId="0" fontId="1" fillId="0" borderId="10" xfId="14"/>
    <xf numFmtId="3" fontId="1" fillId="0" borderId="10" xfId="14" applyNumberFormat="1"/>
    <xf numFmtId="0" fontId="1" fillId="0" borderId="17" xfId="14" applyBorder="1"/>
    <xf numFmtId="3" fontId="1" fillId="0" borderId="17" xfId="14" applyNumberFormat="1" applyBorder="1"/>
    <xf numFmtId="184" fontId="0" fillId="0" borderId="0" xfId="0" applyNumberFormat="1"/>
    <xf numFmtId="164" fontId="32" fillId="0" borderId="10" xfId="52" quotePrefix="1" applyNumberFormat="1" applyFont="1" applyAlignment="1">
      <alignment horizontal="left" wrapText="1"/>
    </xf>
    <xf numFmtId="49" fontId="15" fillId="0" borderId="0" xfId="8" applyFill="1">
      <alignment horizontal="left"/>
    </xf>
    <xf numFmtId="0" fontId="16" fillId="0" borderId="17" xfId="52" applyBorder="1" applyAlignment="1">
      <alignment horizontal="left" wrapText="1"/>
    </xf>
    <xf numFmtId="0" fontId="16" fillId="0" borderId="0" xfId="52" applyBorder="1" applyAlignment="1">
      <alignment horizontal="left" wrapText="1"/>
    </xf>
    <xf numFmtId="3" fontId="1" fillId="0" borderId="0" xfId="14" applyNumberFormat="1" applyBorder="1"/>
    <xf numFmtId="3" fontId="0" fillId="0" borderId="17" xfId="0" applyNumberFormat="1" applyBorder="1"/>
    <xf numFmtId="0" fontId="1" fillId="0" borderId="0" xfId="14" applyBorder="1"/>
    <xf numFmtId="49" fontId="33" fillId="0" borderId="14" xfId="8" applyFont="1" applyFill="1" applyBorder="1">
      <alignment horizontal="left"/>
    </xf>
    <xf numFmtId="9" fontId="22" fillId="0" borderId="0" xfId="67" applyFont="1" applyBorder="1" applyProtection="1">
      <protection locked="0"/>
    </xf>
    <xf numFmtId="3" fontId="0" fillId="0" borderId="20" xfId="0" applyNumberFormat="1" applyBorder="1"/>
    <xf numFmtId="3" fontId="0" fillId="0" borderId="21" xfId="0" applyNumberFormat="1" applyBorder="1"/>
    <xf numFmtId="2" fontId="16" fillId="0" borderId="10" xfId="52" applyNumberFormat="1" applyAlignment="1">
      <alignment horizontal="left" wrapText="1"/>
    </xf>
    <xf numFmtId="49" fontId="33" fillId="0" borderId="0" xfId="8" applyFont="1" applyFill="1" applyBorder="1">
      <alignment horizontal="left"/>
    </xf>
    <xf numFmtId="9" fontId="1" fillId="0" borderId="10" xfId="67" applyBorder="1"/>
    <xf numFmtId="0" fontId="32" fillId="0" borderId="10" xfId="52" applyFont="1" applyAlignment="1">
      <alignment horizontal="left" wrapText="1"/>
    </xf>
    <xf numFmtId="0" fontId="32" fillId="0" borderId="0" xfId="0" applyFont="1"/>
    <xf numFmtId="184" fontId="22" fillId="0" borderId="0" xfId="13" applyNumberFormat="1" applyBorder="1">
      <protection locked="0"/>
    </xf>
    <xf numFmtId="185" fontId="22" fillId="0" borderId="0" xfId="13" applyNumberFormat="1" applyBorder="1">
      <protection locked="0"/>
    </xf>
    <xf numFmtId="0" fontId="0" fillId="0" borderId="10" xfId="14" applyFont="1"/>
    <xf numFmtId="49" fontId="14" fillId="0" borderId="0" xfId="7" applyFill="1" applyAlignment="1">
      <alignment horizontal="left"/>
    </xf>
    <xf numFmtId="164" fontId="32" fillId="0" borderId="14" xfId="52" quotePrefix="1" applyNumberFormat="1" applyFont="1" applyBorder="1" applyAlignment="1">
      <alignment horizontal="left" wrapText="1"/>
    </xf>
    <xf numFmtId="186" fontId="22" fillId="0" borderId="17" xfId="13" applyNumberFormat="1" applyBorder="1">
      <protection locked="0"/>
    </xf>
    <xf numFmtId="169" fontId="0" fillId="0" borderId="8" xfId="14" applyNumberFormat="1" applyFont="1" applyBorder="1" applyAlignment="1">
      <alignment wrapText="1"/>
    </xf>
    <xf numFmtId="49" fontId="13" fillId="0" borderId="9" xfId="6" applyFill="1" applyBorder="1" applyAlignment="1">
      <alignment horizontal="left"/>
    </xf>
    <xf numFmtId="0" fontId="34" fillId="0" borderId="0" xfId="69" applyFont="1" applyAlignment="1">
      <alignment horizontal="left" indent="1"/>
    </xf>
    <xf numFmtId="3" fontId="1" fillId="0" borderId="14" xfId="14" applyNumberFormat="1" applyBorder="1"/>
    <xf numFmtId="49" fontId="13" fillId="0" borderId="0" xfId="6" applyFill="1" applyAlignment="1"/>
    <xf numFmtId="10" fontId="24" fillId="0" borderId="10" xfId="67" applyNumberFormat="1" applyFont="1" applyBorder="1"/>
    <xf numFmtId="49" fontId="15" fillId="0" borderId="0" xfId="8" applyFill="1" applyBorder="1">
      <alignment horizontal="left"/>
    </xf>
    <xf numFmtId="173" fontId="35" fillId="0" borderId="10" xfId="13" applyNumberFormat="1" applyFont="1" applyAlignment="1">
      <protection locked="0"/>
    </xf>
    <xf numFmtId="0" fontId="36" fillId="0" borderId="0" xfId="0" applyFont="1"/>
    <xf numFmtId="184" fontId="36" fillId="0" borderId="0" xfId="0" applyNumberFormat="1" applyFont="1"/>
    <xf numFmtId="187" fontId="0" fillId="0" borderId="0" xfId="67" applyNumberFormat="1" applyFont="1"/>
    <xf numFmtId="10" fontId="1" fillId="0" borderId="0" xfId="67" applyNumberFormat="1" applyFont="1"/>
    <xf numFmtId="0" fontId="1" fillId="0" borderId="14" xfId="14" applyBorder="1"/>
    <xf numFmtId="10" fontId="24" fillId="0" borderId="14" xfId="67" applyNumberFormat="1" applyFont="1" applyBorder="1"/>
    <xf numFmtId="0" fontId="0" fillId="0" borderId="22" xfId="14" applyFont="1" applyBorder="1"/>
    <xf numFmtId="0" fontId="22" fillId="0" borderId="10" xfId="51" applyNumberFormat="1" applyFont="1"/>
    <xf numFmtId="169" fontId="32" fillId="0" borderId="10" xfId="52" applyNumberFormat="1" applyFont="1" applyAlignment="1">
      <alignment horizontal="left" wrapText="1"/>
    </xf>
    <xf numFmtId="1" fontId="24" fillId="0" borderId="10" xfId="67" applyNumberFormat="1" applyFont="1" applyBorder="1"/>
    <xf numFmtId="2" fontId="24" fillId="0" borderId="10" xfId="67" applyNumberFormat="1" applyFont="1" applyBorder="1"/>
    <xf numFmtId="183" fontId="38" fillId="39" borderId="0" xfId="52" quotePrefix="1" applyNumberFormat="1" applyFont="1" applyFill="1" applyBorder="1" applyAlignment="1">
      <alignment horizontal="center" wrapText="1"/>
    </xf>
    <xf numFmtId="173" fontId="37" fillId="39" borderId="0" xfId="52" applyNumberFormat="1" applyFont="1" applyFill="1" applyBorder="1" applyAlignment="1">
      <alignment horizontal="center" vertical="center" wrapText="1"/>
    </xf>
    <xf numFmtId="0" fontId="34" fillId="0" borderId="0" xfId="69" applyFont="1" applyAlignment="1">
      <alignment horizontal="left"/>
    </xf>
    <xf numFmtId="2" fontId="39" fillId="0" borderId="10" xfId="67" applyNumberFormat="1" applyFont="1" applyBorder="1"/>
    <xf numFmtId="3" fontId="40" fillId="0" borderId="10" xfId="14" applyNumberFormat="1" applyFont="1"/>
    <xf numFmtId="9" fontId="0" fillId="0" borderId="0" xfId="67" applyFont="1"/>
    <xf numFmtId="3" fontId="41" fillId="0" borderId="10" xfId="14" applyNumberFormat="1" applyFont="1"/>
    <xf numFmtId="2" fontId="41" fillId="0" borderId="0" xfId="0" applyNumberFormat="1" applyFont="1"/>
    <xf numFmtId="3" fontId="41" fillId="0" borderId="22" xfId="14" applyNumberFormat="1" applyFont="1" applyBorder="1"/>
    <xf numFmtId="0" fontId="38" fillId="0" borderId="10" xfId="52" applyFont="1" applyAlignment="1">
      <alignment horizontal="left" wrapText="1"/>
    </xf>
    <xf numFmtId="3" fontId="1" fillId="0" borderId="20" xfId="14" applyNumberFormat="1" applyBorder="1"/>
    <xf numFmtId="188" fontId="24" fillId="0" borderId="10" xfId="67" applyNumberFormat="1" applyFont="1" applyBorder="1"/>
    <xf numFmtId="2" fontId="12" fillId="0" borderId="10" xfId="67" applyNumberFormat="1" applyFont="1" applyBorder="1"/>
    <xf numFmtId="184" fontId="42" fillId="0" borderId="0" xfId="0" applyNumberFormat="1" applyFont="1"/>
    <xf numFmtId="0" fontId="42" fillId="0" borderId="0" xfId="0" applyFont="1"/>
    <xf numFmtId="10" fontId="24" fillId="0" borderId="10" xfId="66" applyNumberFormat="1" applyFont="1" applyBorder="1"/>
    <xf numFmtId="10" fontId="24" fillId="0" borderId="10" xfId="67" applyNumberFormat="1" applyFont="1" applyFill="1" applyBorder="1"/>
    <xf numFmtId="0" fontId="16" fillId="0" borderId="18" xfId="52" applyBorder="1" applyAlignment="1">
      <alignment horizontal="left" wrapText="1"/>
    </xf>
    <xf numFmtId="3" fontId="40" fillId="0" borderId="14" xfId="14" applyNumberFormat="1" applyFont="1" applyBorder="1"/>
    <xf numFmtId="3" fontId="1" fillId="0" borderId="22" xfId="14" applyNumberFormat="1" applyBorder="1"/>
    <xf numFmtId="1" fontId="24" fillId="0" borderId="10" xfId="67" applyNumberFormat="1" applyFont="1" applyFill="1" applyBorder="1"/>
    <xf numFmtId="2" fontId="24" fillId="0" borderId="10" xfId="67" applyNumberFormat="1" applyFont="1" applyFill="1" applyBorder="1"/>
    <xf numFmtId="10" fontId="0" fillId="0" borderId="0" xfId="0" applyNumberFormat="1"/>
    <xf numFmtId="9" fontId="22" fillId="0" borderId="10" xfId="67" applyFont="1" applyFill="1" applyBorder="1" applyProtection="1">
      <protection locked="0"/>
    </xf>
    <xf numFmtId="2" fontId="39" fillId="0" borderId="0" xfId="67" applyNumberFormat="1" applyFont="1" applyBorder="1"/>
    <xf numFmtId="0" fontId="0" fillId="0" borderId="0" xfId="0" applyAlignment="1">
      <alignment horizontal="right"/>
    </xf>
    <xf numFmtId="189" fontId="1" fillId="0" borderId="10" xfId="14" applyNumberFormat="1"/>
    <xf numFmtId="10" fontId="32" fillId="0" borderId="10" xfId="67" quotePrefix="1" applyNumberFormat="1" applyFont="1" applyBorder="1" applyAlignment="1">
      <alignment horizontal="left" wrapText="1"/>
    </xf>
    <xf numFmtId="3" fontId="0" fillId="0" borderId="6" xfId="0" applyNumberFormat="1" applyBorder="1"/>
    <xf numFmtId="186" fontId="22" fillId="0" borderId="0" xfId="13" applyNumberFormat="1" applyBorder="1">
      <protection locked="0"/>
    </xf>
    <xf numFmtId="10" fontId="1" fillId="0" borderId="10" xfId="51" applyNumberFormat="1" applyFont="1"/>
    <xf numFmtId="10" fontId="41" fillId="0" borderId="10" xfId="14" applyNumberFormat="1" applyFont="1"/>
    <xf numFmtId="10" fontId="41" fillId="0" borderId="10" xfId="67" applyNumberFormat="1" applyFont="1" applyFill="1" applyBorder="1"/>
    <xf numFmtId="184" fontId="12" fillId="0" borderId="10" xfId="51" applyNumberFormat="1" applyFont="1"/>
    <xf numFmtId="3" fontId="12" fillId="0" borderId="10" xfId="14" applyNumberFormat="1" applyFont="1"/>
    <xf numFmtId="190" fontId="41" fillId="0" borderId="10" xfId="67" applyNumberFormat="1" applyFont="1" applyFill="1" applyBorder="1"/>
    <xf numFmtId="3" fontId="10" fillId="0" borderId="0" xfId="0" applyNumberFormat="1" applyFont="1"/>
    <xf numFmtId="0" fontId="10" fillId="0" borderId="0" xfId="0" applyFont="1"/>
    <xf numFmtId="3" fontId="41" fillId="0" borderId="0" xfId="0" applyNumberFormat="1" applyFont="1"/>
    <xf numFmtId="3" fontId="41" fillId="0" borderId="6" xfId="0" applyNumberFormat="1" applyFont="1" applyBorder="1"/>
    <xf numFmtId="2" fontId="32" fillId="0" borderId="10" xfId="52" applyNumberFormat="1" applyFont="1" applyAlignment="1">
      <alignment horizontal="left" wrapText="1"/>
    </xf>
    <xf numFmtId="0" fontId="32" fillId="0" borderId="0" xfId="52" applyFont="1" applyBorder="1" applyAlignment="1">
      <alignment horizontal="left" wrapText="1"/>
    </xf>
    <xf numFmtId="49" fontId="19" fillId="0" borderId="0" xfId="20">
      <alignment horizontal="left" indent="1"/>
    </xf>
    <xf numFmtId="3" fontId="45" fillId="0" borderId="10" xfId="14" applyNumberFormat="1" applyFont="1"/>
    <xf numFmtId="0" fontId="32" fillId="0" borderId="10" xfId="52" applyFont="1" applyAlignment="1">
      <alignment horizontal="left" wrapText="1" indent="1"/>
    </xf>
    <xf numFmtId="0" fontId="32" fillId="0" borderId="18" xfId="52" applyFont="1" applyBorder="1" applyAlignment="1">
      <alignment horizontal="left" wrapText="1" indent="1"/>
    </xf>
    <xf numFmtId="0" fontId="32" fillId="0" borderId="18" xfId="52" applyFont="1" applyBorder="1" applyAlignment="1">
      <alignment horizontal="left" wrapText="1"/>
    </xf>
    <xf numFmtId="0" fontId="32" fillId="0" borderId="19" xfId="52" applyFont="1" applyBorder="1" applyAlignment="1">
      <alignment horizontal="left" wrapText="1"/>
    </xf>
    <xf numFmtId="3" fontId="10" fillId="0" borderId="10" xfId="14" applyNumberFormat="1" applyFont="1"/>
    <xf numFmtId="0" fontId="38" fillId="0" borderId="0" xfId="52" applyFont="1" applyBorder="1" applyAlignment="1">
      <alignment horizontal="left" wrapText="1"/>
    </xf>
    <xf numFmtId="0" fontId="46" fillId="0" borderId="10" xfId="52" applyFont="1" applyAlignment="1">
      <alignment horizontal="left" wrapText="1"/>
    </xf>
    <xf numFmtId="3" fontId="0" fillId="40" borderId="0" xfId="0" applyNumberFormat="1" applyFill="1"/>
    <xf numFmtId="173" fontId="24" fillId="0" borderId="10" xfId="53" applyFont="1" applyFill="1" applyBorder="1" applyAlignment="1"/>
    <xf numFmtId="164" fontId="32" fillId="0" borderId="17" xfId="52" quotePrefix="1" applyNumberFormat="1" applyFont="1" applyBorder="1" applyAlignment="1">
      <alignment horizontal="left" wrapText="1"/>
    </xf>
    <xf numFmtId="3" fontId="12" fillId="0" borderId="0" xfId="0" applyNumberFormat="1" applyFont="1"/>
    <xf numFmtId="0" fontId="0" fillId="0" borderId="17" xfId="0" applyBorder="1"/>
    <xf numFmtId="10" fontId="12" fillId="0" borderId="10" xfId="67" quotePrefix="1" applyNumberFormat="1" applyFont="1" applyBorder="1" applyAlignment="1">
      <alignment horizontal="left" wrapText="1"/>
    </xf>
    <xf numFmtId="164" fontId="12" fillId="0" borderId="10" xfId="52" quotePrefix="1" applyNumberFormat="1" applyFont="1" applyAlignment="1">
      <alignment horizontal="left" wrapText="1"/>
    </xf>
    <xf numFmtId="3" fontId="1" fillId="0" borderId="0" xfId="0" applyNumberFormat="1" applyFont="1"/>
    <xf numFmtId="10" fontId="12" fillId="0" borderId="10" xfId="67" applyNumberFormat="1" applyFont="1" applyFill="1" applyBorder="1"/>
    <xf numFmtId="3" fontId="1" fillId="40" borderId="10" xfId="14" applyNumberFormat="1" applyFill="1"/>
    <xf numFmtId="0" fontId="34" fillId="0" borderId="0" xfId="69" applyFont="1" applyFill="1" applyAlignment="1">
      <alignment horizontal="left" indent="1"/>
    </xf>
    <xf numFmtId="9" fontId="22" fillId="0" borderId="0" xfId="67" applyFont="1" applyFill="1" applyBorder="1" applyProtection="1">
      <protection locked="0"/>
    </xf>
    <xf numFmtId="10" fontId="1" fillId="0" borderId="0" xfId="67" applyNumberFormat="1" applyFont="1" applyFill="1"/>
    <xf numFmtId="173" fontId="47" fillId="0" borderId="10" xfId="13" applyNumberFormat="1" applyFont="1" applyAlignment="1">
      <protection locked="0"/>
    </xf>
    <xf numFmtId="9" fontId="22" fillId="0" borderId="10" xfId="67" applyFont="1" applyFill="1" applyBorder="1"/>
    <xf numFmtId="49" fontId="23" fillId="0" borderId="0" xfId="5" applyAlignment="1">
      <alignment horizontal="left"/>
    </xf>
    <xf numFmtId="49" fontId="14" fillId="0" borderId="0" xfId="6" applyFont="1" applyAlignment="1">
      <alignment horizontal="left"/>
    </xf>
    <xf numFmtId="0" fontId="0" fillId="0" borderId="0" xfId="0" applyAlignment="1">
      <alignment horizontal="left"/>
    </xf>
    <xf numFmtId="3" fontId="40" fillId="0" borderId="10" xfId="14" applyNumberFormat="1" applyFont="1" applyAlignment="1">
      <alignment horizontal="left"/>
    </xf>
    <xf numFmtId="49" fontId="14" fillId="0" borderId="0" xfId="6" applyFont="1" applyFill="1" applyAlignment="1">
      <alignment horizontal="left"/>
    </xf>
    <xf numFmtId="4" fontId="48" fillId="0" borderId="10" xfId="14" applyNumberFormat="1" applyFont="1"/>
    <xf numFmtId="190" fontId="12" fillId="0" borderId="10" xfId="67" applyNumberFormat="1" applyFont="1" applyFill="1" applyBorder="1"/>
    <xf numFmtId="3" fontId="48" fillId="0" borderId="14" xfId="14" applyNumberFormat="1" applyFont="1" applyBorder="1"/>
    <xf numFmtId="3" fontId="48" fillId="0" borderId="22" xfId="14" applyNumberFormat="1" applyFont="1" applyBorder="1"/>
    <xf numFmtId="10" fontId="48" fillId="0" borderId="10" xfId="67" quotePrefix="1" applyNumberFormat="1" applyFont="1" applyBorder="1" applyAlignment="1">
      <alignment horizontal="left" wrapText="1"/>
    </xf>
    <xf numFmtId="3" fontId="48" fillId="0" borderId="10" xfId="14" applyNumberFormat="1" applyFont="1"/>
    <xf numFmtId="189" fontId="0" fillId="0" borderId="0" xfId="0" applyNumberFormat="1"/>
    <xf numFmtId="3" fontId="12" fillId="0" borderId="14" xfId="14" applyNumberFormat="1" applyFont="1" applyBorder="1"/>
    <xf numFmtId="3" fontId="12" fillId="0" borderId="22" xfId="14" applyNumberFormat="1" applyFont="1" applyBorder="1"/>
    <xf numFmtId="3" fontId="49" fillId="0" borderId="14" xfId="14" applyNumberFormat="1" applyFont="1" applyBorder="1"/>
    <xf numFmtId="0" fontId="12" fillId="0" borderId="0" xfId="0" applyFont="1"/>
    <xf numFmtId="0" fontId="50" fillId="0" borderId="0" xfId="0" applyFont="1"/>
    <xf numFmtId="0" fontId="38" fillId="0" borderId="19" xfId="52" applyFont="1" applyBorder="1" applyAlignment="1">
      <alignment horizontal="left" wrapText="1"/>
    </xf>
    <xf numFmtId="0" fontId="12" fillId="0" borderId="0" xfId="0" applyFont="1" applyAlignment="1">
      <alignment horizontal="left"/>
    </xf>
    <xf numFmtId="164" fontId="32" fillId="0" borderId="22" xfId="52" quotePrefix="1" applyNumberFormat="1" applyFont="1" applyBorder="1" applyAlignment="1">
      <alignment horizontal="left" wrapText="1"/>
    </xf>
    <xf numFmtId="10" fontId="32" fillId="0" borderId="14" xfId="67" quotePrefix="1" applyNumberFormat="1" applyFont="1" applyBorder="1" applyAlignment="1">
      <alignment horizontal="left" wrapText="1"/>
    </xf>
    <xf numFmtId="3" fontId="48" fillId="40" borderId="10" xfId="14" applyNumberFormat="1" applyFont="1" applyFill="1"/>
    <xf numFmtId="3" fontId="48" fillId="40" borderId="22" xfId="14" applyNumberFormat="1" applyFont="1" applyFill="1" applyBorder="1"/>
    <xf numFmtId="3" fontId="1" fillId="40" borderId="22" xfId="14" applyNumberFormat="1" applyFill="1" applyBorder="1"/>
    <xf numFmtId="3" fontId="10" fillId="40" borderId="10" xfId="14" applyNumberFormat="1" applyFont="1" applyFill="1"/>
    <xf numFmtId="3" fontId="1" fillId="40" borderId="14" xfId="14" applyNumberFormat="1" applyFill="1" applyBorder="1"/>
    <xf numFmtId="10" fontId="48" fillId="0" borderId="22" xfId="67" quotePrefix="1" applyNumberFormat="1" applyFont="1" applyBorder="1" applyAlignment="1">
      <alignment horizontal="left" wrapText="1"/>
    </xf>
    <xf numFmtId="0" fontId="32" fillId="0" borderId="10" xfId="52" applyFont="1" applyAlignment="1">
      <alignment horizontal="left" vertical="center" wrapText="1"/>
    </xf>
    <xf numFmtId="2" fontId="32" fillId="0" borderId="22" xfId="52" applyNumberFormat="1" applyFont="1" applyBorder="1" applyAlignment="1">
      <alignment horizontal="left" wrapText="1"/>
    </xf>
    <xf numFmtId="2" fontId="32" fillId="0" borderId="14" xfId="52" applyNumberFormat="1" applyFont="1" applyBorder="1" applyAlignment="1">
      <alignment horizontal="left" wrapText="1"/>
    </xf>
    <xf numFmtId="2" fontId="24" fillId="0" borderId="0" xfId="67" applyNumberFormat="1" applyFont="1" applyFill="1" applyBorder="1"/>
    <xf numFmtId="10" fontId="32" fillId="0" borderId="10" xfId="67" applyNumberFormat="1" applyFont="1" applyFill="1" applyBorder="1"/>
    <xf numFmtId="10" fontId="32" fillId="0" borderId="10" xfId="67" applyNumberFormat="1" applyFont="1" applyFill="1" applyBorder="1" applyAlignment="1">
      <alignment wrapText="1"/>
    </xf>
    <xf numFmtId="0" fontId="32" fillId="0" borderId="10" xfId="52" applyFont="1" applyAlignment="1">
      <alignment horizontal="right" wrapText="1"/>
    </xf>
    <xf numFmtId="10" fontId="32" fillId="0" borderId="10" xfId="67" applyNumberFormat="1" applyFont="1" applyFill="1" applyBorder="1" applyAlignment="1">
      <alignment horizontal="right" wrapText="1"/>
    </xf>
    <xf numFmtId="184" fontId="12" fillId="0" borderId="10" xfId="13" applyNumberFormat="1" applyFont="1">
      <protection locked="0"/>
    </xf>
    <xf numFmtId="9" fontId="12" fillId="0" borderId="10" xfId="67" applyFont="1" applyFill="1" applyBorder="1" applyProtection="1">
      <protection locked="0"/>
    </xf>
    <xf numFmtId="190" fontId="22" fillId="0" borderId="10" xfId="67" applyNumberFormat="1" applyFont="1" applyFill="1" applyBorder="1" applyProtection="1">
      <protection locked="0"/>
    </xf>
    <xf numFmtId="190" fontId="12" fillId="40" borderId="10" xfId="14" applyNumberFormat="1" applyFont="1" applyFill="1"/>
    <xf numFmtId="9" fontId="51" fillId="0" borderId="10" xfId="67" applyFont="1" applyBorder="1" applyProtection="1">
      <protection locked="0"/>
    </xf>
    <xf numFmtId="9" fontId="51" fillId="0" borderId="10" xfId="67" applyFont="1" applyFill="1" applyBorder="1" applyProtection="1">
      <protection locked="0"/>
    </xf>
    <xf numFmtId="10" fontId="51" fillId="0" borderId="10" xfId="67" applyNumberFormat="1" applyFont="1" applyFill="1" applyBorder="1" applyProtection="1">
      <protection locked="0"/>
    </xf>
    <xf numFmtId="2" fontId="51" fillId="0" borderId="10" xfId="13" applyNumberFormat="1" applyFont="1">
      <protection locked="0"/>
    </xf>
    <xf numFmtId="10" fontId="51" fillId="0" borderId="10" xfId="67" applyNumberFormat="1" applyFont="1" applyBorder="1" applyProtection="1">
      <protection locked="0"/>
    </xf>
    <xf numFmtId="9" fontId="51" fillId="0" borderId="22" xfId="67" applyFont="1" applyBorder="1" applyProtection="1">
      <protection locked="0"/>
    </xf>
    <xf numFmtId="9" fontId="51" fillId="0" borderId="22" xfId="67" applyFont="1" applyFill="1" applyBorder="1" applyProtection="1">
      <protection locked="0"/>
    </xf>
    <xf numFmtId="10" fontId="51" fillId="0" borderId="22" xfId="67" applyNumberFormat="1" applyFont="1" applyBorder="1" applyProtection="1">
      <protection locked="0"/>
    </xf>
    <xf numFmtId="3" fontId="51" fillId="0" borderId="10" xfId="14" applyNumberFormat="1" applyFont="1"/>
    <xf numFmtId="3" fontId="0" fillId="0" borderId="22" xfId="0" applyNumberFormat="1" applyBorder="1"/>
    <xf numFmtId="185" fontId="12" fillId="0" borderId="0" xfId="13" applyNumberFormat="1" applyFont="1" applyBorder="1">
      <protection locked="0"/>
    </xf>
    <xf numFmtId="185" fontId="51" fillId="0" borderId="0" xfId="13" applyNumberFormat="1" applyFont="1" applyBorder="1">
      <protection locked="0"/>
    </xf>
    <xf numFmtId="185" fontId="12" fillId="32" borderId="0" xfId="13" applyNumberFormat="1" applyFont="1" applyFill="1" applyBorder="1">
      <protection locked="0"/>
    </xf>
    <xf numFmtId="184" fontId="12" fillId="32" borderId="0" xfId="13" applyNumberFormat="1" applyFont="1" applyFill="1" applyBorder="1">
      <protection locked="0"/>
    </xf>
    <xf numFmtId="0" fontId="0" fillId="32" borderId="0" xfId="0" applyFill="1"/>
    <xf numFmtId="184" fontId="22" fillId="32" borderId="0" xfId="13" applyNumberFormat="1" applyFill="1" applyBorder="1">
      <protection locked="0"/>
    </xf>
    <xf numFmtId="0" fontId="0" fillId="32" borderId="0" xfId="0" applyFill="1" applyAlignment="1">
      <alignment wrapText="1"/>
    </xf>
    <xf numFmtId="185" fontId="51" fillId="32" borderId="0" xfId="13" applyNumberFormat="1" applyFont="1" applyFill="1" applyBorder="1">
      <protection locked="0"/>
    </xf>
    <xf numFmtId="184" fontId="22" fillId="32" borderId="0" xfId="13" applyNumberFormat="1" applyFill="1" applyBorder="1" applyAlignment="1">
      <alignment horizontal="center"/>
      <protection locked="0"/>
    </xf>
    <xf numFmtId="184" fontId="0" fillId="32" borderId="0" xfId="0" applyNumberFormat="1" applyFill="1"/>
    <xf numFmtId="0" fontId="0" fillId="0" borderId="14" xfId="14" applyFont="1" applyBorder="1" applyAlignment="1">
      <alignment vertical="top" wrapText="1"/>
    </xf>
    <xf numFmtId="0" fontId="1" fillId="0" borderId="14" xfId="14" applyBorder="1" applyAlignment="1">
      <alignment wrapText="1"/>
    </xf>
  </cellXfs>
  <cellStyles count="8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9324336E-8C92-4F03-BCF4-4488D715A1A1}"/>
    <cellStyle name="Comma [0] 3" xfId="82" xr:uid="{EDECFAA2-9202-4E30-87B5-D30CA19C8AA8}"/>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Explanatory Text 2" xfId="69" xr:uid="{B1307C26-DC44-4BBD-A897-0BF294B252FA}"/>
    <cellStyle name="Explanatory Text 3" xfId="65" xr:uid="{9EA0B1FA-BB76-4B50-A9D9-96E13C099AF5}"/>
    <cellStyle name="Followed Hyperlink" xfId="61" builtinId="9" customBuiltin="1"/>
    <cellStyle name="Good" xfId="10" builtinId="26" hidden="1"/>
    <cellStyle name="Heading 1" xfId="6" builtinId="16" customBuiltin="1"/>
    <cellStyle name="Heading 1 2" xfId="70" xr:uid="{371243F4-6F5B-4791-A7CC-37EF24296CAA}"/>
    <cellStyle name="Heading 2" xfId="7" builtinId="17" customBuiltin="1"/>
    <cellStyle name="Heading 2 2" xfId="76" xr:uid="{9E3E1A61-0780-477F-A53B-386870D4E83C}"/>
    <cellStyle name="Heading 3" xfId="8" builtinId="18" customBuiltin="1"/>
    <cellStyle name="Heading 4" xfId="9" builtinId="19" hidden="1"/>
    <cellStyle name="Hyperlink" xfId="58" builtinId="8" customBuiltin="1"/>
    <cellStyle name="Input" xfId="13" builtinId="20" customBuiltin="1"/>
    <cellStyle name="Input 2" xfId="78" xr:uid="{B185D805-4E3A-4A87-A521-ABB7441B2DC0}"/>
    <cellStyle name="Input calculation" xfId="80" xr:uid="{DB2908ED-785F-42CE-A578-8B5782D93E74}"/>
    <cellStyle name="Input data" xfId="79" xr:uid="{7BBE55CD-BE25-42BB-BE61-BD2468D20FF7}"/>
    <cellStyle name="Input Link (different Worksheet)" xfId="81" xr:uid="{42363EB2-1432-43F9-ACD3-059F8B1D7794}"/>
    <cellStyle name="Label" xfId="52" xr:uid="{00000000-0005-0000-0000-00002B000000}"/>
    <cellStyle name="Label 2" xfId="71" xr:uid="{ADEBDDD1-1B20-4AAB-9A0B-1C7D8EF8F4DC}"/>
    <cellStyle name="Link" xfId="51" xr:uid="{00000000-0005-0000-0000-00002C000000}"/>
    <cellStyle name="Link 2" xfId="73" xr:uid="{4B1CE514-28A7-4423-A2FE-5831364C9CC9}"/>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D18A827E-FCDF-4EF5-9393-F014F632DBFB}"/>
    <cellStyle name="Percent" xfId="59" builtinId="5" hidden="1" customBuiltin="1"/>
    <cellStyle name="Percent" xfId="67"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Rt margin 2" xfId="77" xr:uid="{D02FDD80-45B1-452F-BCBB-66B6DBEC4E1B}"/>
    <cellStyle name="Text" xfId="56" xr:uid="{00000000-0005-0000-0000-000038000000}"/>
    <cellStyle name="Text 2" xfId="75" xr:uid="{E66BF284-AB94-4790-832B-E784C51AD4E5}"/>
    <cellStyle name="Title" xfId="5" builtinId="15" customBuiltin="1"/>
    <cellStyle name="Title 2" xfId="68" xr:uid="{CCD881BE-777C-459B-960A-BD698B1C6BD1}"/>
    <cellStyle name="Total" xfId="21" builtinId="25" hidden="1"/>
    <cellStyle name="Warning Text" xfId="18" builtinId="11" hidden="1"/>
    <cellStyle name="Year" xfId="46" xr:uid="{00000000-0005-0000-0000-00003C000000}"/>
  </cellStyles>
  <dxfs count="0"/>
  <tableStyles count="0" defaultTableStyle="TableStyleMedium2" defaultPivotStyle="PivotStyleLight16"/>
  <colors>
    <mruColors>
      <color rgb="FF63F828"/>
      <color rgb="FFB9FB25"/>
      <color rgb="FF0000FF"/>
      <color rgb="FFC9C4A3"/>
      <color rgb="FFEAE8DA"/>
      <color rgb="FFFFFFCC"/>
      <color rgb="FFC00000"/>
      <color rgb="FFB0A978"/>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as amended on 29 November 2021.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in the 'DCF'</a:t>
          </a:r>
          <a:r>
            <a:rPr lang="en-NZ" sz="1100" baseline="0">
              <a:latin typeface="Calibri" panose="020F0502020204030204" pitchFamily="34" charset="0"/>
              <a:cs typeface="Calibri" panose="020F0502020204030204" pitchFamily="34" charset="0"/>
            </a:rPr>
            <a:t> (discounted cash flow) worksheet </a:t>
          </a:r>
          <a:r>
            <a:rPr lang="en-NZ" sz="1100">
              <a:latin typeface="Calibri" panose="020F0502020204030204" pitchFamily="34" charset="0"/>
              <a:cs typeface="Calibri" panose="020F0502020204030204" pitchFamily="34" charset="0"/>
            </a:rPr>
            <a:t>are from</a:t>
          </a:r>
          <a:r>
            <a:rPr lang="en-NZ" sz="1100" baseline="0">
              <a:latin typeface="Calibri" panose="020F0502020204030204" pitchFamily="34" charset="0"/>
              <a:cs typeface="Calibri" panose="020F0502020204030204" pitchFamily="34" charset="0"/>
            </a:rPr>
            <a:t> the 'Model inputs'</a:t>
          </a:r>
          <a:r>
            <a:rPr lang="en-NZ" sz="1100">
              <a:latin typeface="Calibri" panose="020F0502020204030204" pitchFamily="34" charset="0"/>
              <a:cs typeface="Calibri" panose="020F0502020204030204" pitchFamily="34" charset="0"/>
            </a:rPr>
            <a:t> worksheet.</a:t>
          </a:r>
        </a:p>
        <a:p>
          <a:r>
            <a:rPr lang="en-NZ" sz="1100">
              <a:latin typeface="Calibri" panose="020F0502020204030204" pitchFamily="34" charset="0"/>
              <a:cs typeface="Calibri" panose="020F0502020204030204" pitchFamily="34" charset="0"/>
            </a:rPr>
            <a:t>4.   </a:t>
          </a:r>
          <a:r>
            <a:rPr lang="en-NZ" sz="1100" b="0">
              <a:solidFill>
                <a:schemeClr val="dk1"/>
              </a:solidFill>
              <a:effectLst/>
              <a:latin typeface="+mn-lt"/>
              <a:ea typeface="+mn-ea"/>
              <a:cs typeface="+mn-cs"/>
            </a:rPr>
            <a:t>Local</a:t>
          </a:r>
          <a:r>
            <a:rPr lang="en-NZ" sz="1100" b="0" baseline="0">
              <a:solidFill>
                <a:schemeClr val="dk1"/>
              </a:solidFill>
              <a:effectLst/>
              <a:latin typeface="+mn-lt"/>
              <a:ea typeface="+mn-ea"/>
              <a:cs typeface="+mn-cs"/>
            </a:rPr>
            <a:t> Fibre Companies</a:t>
          </a:r>
          <a:r>
            <a:rPr lang="en-NZ" sz="1100" b="0">
              <a:solidFill>
                <a:schemeClr val="dk1"/>
              </a:solidFill>
              <a:effectLst/>
              <a:latin typeface="+mn-lt"/>
              <a:ea typeface="+mn-ea"/>
              <a:cs typeface="+mn-cs"/>
            </a:rPr>
            <a:t> are to enter data in the </a:t>
          </a:r>
          <a:r>
            <a:rPr lang="en-NZ" sz="1100" b="0" baseline="0">
              <a:solidFill>
                <a:schemeClr val="dk1"/>
              </a:solidFill>
              <a:effectLst/>
              <a:latin typeface="+mn-lt"/>
              <a:ea typeface="+mn-ea"/>
              <a:cs typeface="+mn-cs"/>
            </a:rPr>
            <a:t>"LFC inputs" worksheet (replacing the dummy values in this worksheet which have been entered for illustrative purposes only). These data are inputs for the 'Model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5.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a:t>
          </a:r>
        </a:p>
        <a:p>
          <a:r>
            <a:rPr lang="en-NZ" sz="1100" baseline="0">
              <a:solidFill>
                <a:schemeClr val="dk1"/>
              </a:solidFill>
              <a:effectLst/>
              <a:latin typeface="+mn-lt"/>
              <a:ea typeface="+mn-ea"/>
              <a:cs typeface="+mn-cs"/>
            </a:rPr>
            <a:t>      A </a:t>
          </a:r>
          <a:r>
            <a:rPr lang="en-NZ" sz="1100" b="1" baseline="0">
              <a:solidFill>
                <a:srgbClr val="0000FF"/>
              </a:solidFill>
              <a:effectLst/>
              <a:latin typeface="+mn-lt"/>
              <a:ea typeface="+mn-ea"/>
              <a:cs typeface="+mn-cs"/>
            </a:rPr>
            <a:t>blue font </a:t>
          </a:r>
          <a:r>
            <a:rPr lang="en-NZ" sz="1100" baseline="0">
              <a:solidFill>
                <a:schemeClr val="dk1"/>
              </a:solidFill>
              <a:effectLst/>
              <a:latin typeface="+mn-lt"/>
              <a:ea typeface="+mn-ea"/>
              <a:cs typeface="+mn-cs"/>
            </a:rPr>
            <a:t>is applied to cells containing input values previously determined by the Commission (which should not be altered by users).</a:t>
          </a: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in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'Model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xdr:txBody>
    </xdr:sp>
    <xdr:clientData/>
  </xdr:twoCellAnchor>
</xdr:wsDr>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E11"/>
  <sheetViews>
    <sheetView showGridLines="0" zoomScaleNormal="100" zoomScaleSheetLayoutView="100" workbookViewId="0"/>
  </sheetViews>
  <sheetFormatPr defaultColWidth="9.140625" defaultRowHeight="15" x14ac:dyDescent="0.25"/>
  <cols>
    <col min="1" max="1" width="2.7109375" customWidth="1"/>
    <col min="2" max="2" width="34.7109375" customWidth="1"/>
    <col min="3" max="3" width="100.7109375" customWidth="1"/>
    <col min="4" max="5" width="14.7109375" customWidth="1"/>
    <col min="6" max="6" width="2.7109375" customWidth="1"/>
  </cols>
  <sheetData>
    <row r="1" spans="1:5" ht="26.25" x14ac:dyDescent="0.4">
      <c r="A1" s="1" t="s">
        <v>0</v>
      </c>
    </row>
    <row r="2" spans="1:5" x14ac:dyDescent="0.25">
      <c r="A2" s="3"/>
    </row>
    <row r="4" spans="1:5" ht="23.25" x14ac:dyDescent="0.35">
      <c r="B4" s="47" t="s">
        <v>1</v>
      </c>
    </row>
    <row r="5" spans="1:5" ht="34.5" customHeight="1" x14ac:dyDescent="0.25">
      <c r="B5" s="187" t="s">
        <v>2</v>
      </c>
      <c r="C5" s="188"/>
      <c r="D5" s="188"/>
      <c r="E5" s="188"/>
    </row>
    <row r="6" spans="1:5" ht="9" customHeight="1" x14ac:dyDescent="0.25"/>
    <row r="7" spans="1:5" ht="23.25" x14ac:dyDescent="0.35">
      <c r="B7" s="44" t="s">
        <v>3</v>
      </c>
      <c r="C7" s="4"/>
      <c r="D7" s="5"/>
      <c r="E7" s="6"/>
    </row>
    <row r="8" spans="1:5" ht="216" customHeight="1" x14ac:dyDescent="0.25">
      <c r="B8" s="43"/>
      <c r="C8" s="7"/>
      <c r="D8" s="7"/>
      <c r="E8" s="7"/>
    </row>
    <row r="9" spans="1:5" x14ac:dyDescent="0.25">
      <c r="B9" s="9"/>
      <c r="C9" s="9"/>
      <c r="D9" s="9"/>
      <c r="E9" s="9"/>
    </row>
    <row r="10" spans="1:5" x14ac:dyDescent="0.25">
      <c r="B10" s="8"/>
      <c r="C10" s="8"/>
      <c r="D10" s="8"/>
      <c r="E10" s="8"/>
    </row>
    <row r="11" spans="1:5" x14ac:dyDescent="0.25">
      <c r="B11" s="2"/>
      <c r="C11" s="2"/>
      <c r="D11" s="2"/>
      <c r="E11" s="2"/>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D47F5-0BD8-4A4C-9205-55200C16C812}">
  <sheetPr>
    <tabColor theme="3" tint="-0.249977111117893"/>
    <pageSetUpPr fitToPage="1"/>
  </sheetPr>
  <dimension ref="A1:AB46"/>
  <sheetViews>
    <sheetView showGridLines="0" zoomScale="90" zoomScaleNormal="90" zoomScaleSheetLayoutView="120" workbookViewId="0">
      <pane xSplit="1" ySplit="6" topLeftCell="B7" activePane="bottomRight" state="frozen"/>
      <selection pane="topRight" activeCell="B1" sqref="B1"/>
      <selection pane="bottomLeft" activeCell="A7" sqref="A7"/>
      <selection pane="bottomRight" activeCell="A5" sqref="A5"/>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5" width="13.42578125" customWidth="1"/>
    <col min="16" max="16" width="47.5703125" style="143" bestFit="1" customWidth="1"/>
    <col min="17" max="17" width="13.42578125" customWidth="1"/>
    <col min="18" max="18" width="8.28515625" customWidth="1"/>
    <col min="21" max="21" width="9.85546875" bestFit="1" customWidth="1"/>
  </cols>
  <sheetData>
    <row r="1" spans="1:28" ht="26.25" x14ac:dyDescent="0.4">
      <c r="A1" s="1" t="s">
        <v>4</v>
      </c>
      <c r="D1" s="37"/>
      <c r="E1" s="37"/>
      <c r="F1" s="37"/>
      <c r="G1" s="37"/>
      <c r="H1" s="37"/>
      <c r="I1" s="37"/>
      <c r="J1" s="37"/>
      <c r="K1" s="37"/>
      <c r="L1" s="38"/>
      <c r="M1" s="38"/>
      <c r="N1" s="38"/>
      <c r="O1" s="38"/>
      <c r="P1" s="177"/>
      <c r="Q1" s="38"/>
    </row>
    <row r="2" spans="1:28" x14ac:dyDescent="0.25">
      <c r="A2" s="64"/>
      <c r="D2" s="37"/>
      <c r="E2" s="37"/>
      <c r="F2" s="37"/>
      <c r="G2" s="37"/>
      <c r="H2" s="37"/>
      <c r="I2" s="37"/>
      <c r="J2" s="37"/>
      <c r="K2" s="37"/>
      <c r="L2" s="37"/>
      <c r="M2" s="37"/>
      <c r="N2" s="37"/>
      <c r="O2" s="38"/>
      <c r="P2" s="177"/>
      <c r="Q2" s="37"/>
    </row>
    <row r="3" spans="1:28" x14ac:dyDescent="0.25">
      <c r="A3" s="45"/>
      <c r="D3" s="37"/>
      <c r="E3" s="37"/>
      <c r="F3" s="37"/>
      <c r="G3" s="37"/>
      <c r="H3" s="37"/>
      <c r="I3" s="37"/>
      <c r="J3" s="37"/>
      <c r="K3" s="37"/>
      <c r="L3" s="37"/>
      <c r="M3" s="37"/>
      <c r="N3" s="37"/>
      <c r="O3" s="38"/>
      <c r="P3" s="177"/>
      <c r="Q3" s="37"/>
    </row>
    <row r="4" spans="1:28" ht="21" x14ac:dyDescent="0.35">
      <c r="A4" s="40"/>
      <c r="C4" s="62" t="s">
        <v>5</v>
      </c>
      <c r="D4" s="62" t="s">
        <v>6</v>
      </c>
      <c r="E4" s="62" t="s">
        <v>7</v>
      </c>
      <c r="F4" s="62" t="s">
        <v>7</v>
      </c>
      <c r="G4" s="62" t="s">
        <v>7</v>
      </c>
      <c r="H4" s="62" t="s">
        <v>7</v>
      </c>
      <c r="I4" s="62" t="s">
        <v>7</v>
      </c>
      <c r="J4" s="62" t="s">
        <v>7</v>
      </c>
      <c r="K4" s="62" t="s">
        <v>7</v>
      </c>
      <c r="L4" s="62" t="s">
        <v>7</v>
      </c>
      <c r="M4" s="62" t="s">
        <v>7</v>
      </c>
      <c r="N4" s="62" t="s">
        <v>8</v>
      </c>
      <c r="O4" s="38"/>
      <c r="P4" s="179"/>
      <c r="Q4" s="180"/>
      <c r="R4" s="180"/>
      <c r="S4" s="181"/>
      <c r="T4" s="181"/>
      <c r="U4" s="181"/>
      <c r="V4" s="181"/>
      <c r="W4" s="181"/>
      <c r="X4" s="181"/>
      <c r="Y4" s="181"/>
      <c r="Z4" s="181"/>
      <c r="AA4" s="181"/>
      <c r="AB4" s="181"/>
    </row>
    <row r="5" spans="1:28" ht="18.75" x14ac:dyDescent="0.3">
      <c r="A5" s="49"/>
      <c r="B5" s="49"/>
      <c r="C5" s="63">
        <v>40878</v>
      </c>
      <c r="D5" s="63">
        <v>41090</v>
      </c>
      <c r="E5" s="63">
        <v>41455</v>
      </c>
      <c r="F5" s="63">
        <v>41820</v>
      </c>
      <c r="G5" s="63">
        <v>42185</v>
      </c>
      <c r="H5" s="63">
        <v>42551</v>
      </c>
      <c r="I5" s="63">
        <v>42916</v>
      </c>
      <c r="J5" s="63">
        <v>43281</v>
      </c>
      <c r="K5" s="63">
        <v>43646</v>
      </c>
      <c r="L5" s="63">
        <v>44012</v>
      </c>
      <c r="M5" s="63">
        <v>44377</v>
      </c>
      <c r="N5" s="63">
        <v>44561</v>
      </c>
      <c r="O5" s="38"/>
      <c r="P5" s="179"/>
      <c r="Q5" s="182"/>
      <c r="R5" s="181"/>
      <c r="S5" s="181"/>
      <c r="T5" s="181"/>
      <c r="U5" s="181"/>
      <c r="V5" s="181"/>
      <c r="W5" s="181"/>
      <c r="X5" s="181"/>
      <c r="Y5" s="181"/>
      <c r="Z5" s="181"/>
      <c r="AA5" s="181"/>
      <c r="AB5" s="181"/>
    </row>
    <row r="6" spans="1:28" s="13" customFormat="1" ht="18.75" x14ac:dyDescent="0.3">
      <c r="A6" s="33" t="s">
        <v>9</v>
      </c>
      <c r="O6" s="38"/>
      <c r="P6" s="179"/>
      <c r="Q6" s="182"/>
      <c r="R6" s="181"/>
      <c r="S6" s="181"/>
      <c r="T6" s="181"/>
      <c r="U6" s="181"/>
      <c r="V6" s="181"/>
      <c r="W6" s="181"/>
      <c r="X6" s="181"/>
      <c r="Y6" s="181"/>
      <c r="Z6" s="183"/>
      <c r="AA6" s="183"/>
      <c r="AB6" s="183"/>
    </row>
    <row r="7" spans="1:28" x14ac:dyDescent="0.25">
      <c r="A7" s="35" t="s">
        <v>10</v>
      </c>
      <c r="B7" s="35" t="s">
        <v>11</v>
      </c>
      <c r="C7" s="14"/>
      <c r="D7" s="14">
        <v>1018</v>
      </c>
      <c r="E7" s="14">
        <v>3753</v>
      </c>
      <c r="F7" s="14">
        <v>4789</v>
      </c>
      <c r="G7" s="14">
        <v>8408</v>
      </c>
      <c r="H7" s="14">
        <v>15255</v>
      </c>
      <c r="I7" s="14">
        <v>25880</v>
      </c>
      <c r="J7" s="14">
        <v>39993</v>
      </c>
      <c r="K7" s="14">
        <v>55370</v>
      </c>
      <c r="L7" s="14">
        <v>68261</v>
      </c>
      <c r="M7" s="14">
        <v>80243</v>
      </c>
      <c r="N7" s="14">
        <v>44216</v>
      </c>
      <c r="O7" s="38"/>
      <c r="P7" s="184"/>
      <c r="Q7" s="185"/>
      <c r="R7" s="181"/>
      <c r="S7" s="181"/>
      <c r="T7" s="181"/>
      <c r="U7" s="181"/>
      <c r="V7" s="181"/>
      <c r="W7" s="181"/>
      <c r="X7" s="181"/>
      <c r="Y7" s="181"/>
      <c r="Z7" s="181"/>
      <c r="AA7" s="181"/>
      <c r="AB7" s="181"/>
    </row>
    <row r="8" spans="1:28" ht="26.25" x14ac:dyDescent="0.25">
      <c r="A8" s="35" t="s">
        <v>12</v>
      </c>
      <c r="B8" s="35" t="s">
        <v>11</v>
      </c>
      <c r="C8" s="14">
        <v>0</v>
      </c>
      <c r="D8" s="14"/>
      <c r="E8" s="14"/>
      <c r="F8" s="14"/>
      <c r="G8" s="14"/>
      <c r="H8" s="14"/>
      <c r="I8" s="14"/>
      <c r="J8" s="14"/>
      <c r="K8" s="14"/>
      <c r="L8" s="14"/>
      <c r="M8" s="14"/>
      <c r="N8" s="14"/>
      <c r="O8" s="38"/>
      <c r="P8" s="184"/>
      <c r="Q8" s="185"/>
      <c r="R8" s="181"/>
      <c r="S8" s="181"/>
      <c r="T8" s="181"/>
      <c r="U8" s="181"/>
      <c r="V8" s="181"/>
      <c r="W8" s="181"/>
      <c r="X8" s="181"/>
      <c r="Y8" s="181"/>
      <c r="Z8" s="181"/>
      <c r="AA8" s="181"/>
      <c r="AB8" s="181"/>
    </row>
    <row r="9" spans="1:28" x14ac:dyDescent="0.25">
      <c r="A9" s="35" t="s">
        <v>13</v>
      </c>
      <c r="B9" s="35" t="s">
        <v>11</v>
      </c>
      <c r="C9" s="14"/>
      <c r="D9" s="14">
        <v>33011.682710000008</v>
      </c>
      <c r="E9" s="14">
        <v>16777</v>
      </c>
      <c r="F9" s="14">
        <v>42616</v>
      </c>
      <c r="G9" s="14">
        <v>53389</v>
      </c>
      <c r="H9" s="14">
        <v>139344</v>
      </c>
      <c r="I9" s="14">
        <v>92618</v>
      </c>
      <c r="J9" s="14">
        <v>83352</v>
      </c>
      <c r="K9" s="14">
        <v>65582</v>
      </c>
      <c r="L9" s="14">
        <v>39181</v>
      </c>
      <c r="M9" s="14">
        <v>36946.731740000003</v>
      </c>
      <c r="N9" s="14">
        <v>14411</v>
      </c>
      <c r="O9" s="38"/>
      <c r="P9" s="184"/>
      <c r="Q9" s="185"/>
      <c r="R9" s="181"/>
      <c r="S9" s="181"/>
      <c r="T9" s="181"/>
      <c r="U9" s="186"/>
      <c r="V9" s="181"/>
      <c r="W9" s="181"/>
      <c r="X9" s="181"/>
      <c r="Y9" s="181"/>
      <c r="Z9" s="181"/>
      <c r="AA9" s="181"/>
      <c r="AB9" s="181"/>
    </row>
    <row r="10" spans="1:28" x14ac:dyDescent="0.25">
      <c r="A10" s="35" t="s">
        <v>14</v>
      </c>
      <c r="B10" s="35" t="s">
        <v>11</v>
      </c>
      <c r="C10" s="14">
        <v>0</v>
      </c>
      <c r="D10" s="14"/>
      <c r="E10" s="14"/>
      <c r="F10" s="14"/>
      <c r="G10" s="14"/>
      <c r="H10" s="14"/>
      <c r="I10" s="14"/>
      <c r="J10" s="14"/>
      <c r="K10" s="14"/>
      <c r="L10" s="14"/>
      <c r="M10" s="14"/>
      <c r="N10" s="14"/>
      <c r="O10" s="38"/>
      <c r="P10" s="184"/>
      <c r="Q10" s="185"/>
      <c r="R10" s="181"/>
      <c r="S10" s="181"/>
      <c r="T10" s="181"/>
      <c r="U10" s="186"/>
      <c r="V10" s="181"/>
      <c r="W10" s="181"/>
      <c r="X10" s="181"/>
      <c r="Y10" s="181"/>
      <c r="Z10" s="181"/>
      <c r="AA10" s="181"/>
      <c r="AB10" s="181"/>
    </row>
    <row r="11" spans="1:28" x14ac:dyDescent="0.25">
      <c r="A11" s="35" t="s">
        <v>15</v>
      </c>
      <c r="B11" s="35" t="s">
        <v>11</v>
      </c>
      <c r="C11" s="14"/>
      <c r="D11" s="14">
        <f t="shared" ref="D11:J11" si="0">D9</f>
        <v>33011.682710000008</v>
      </c>
      <c r="E11" s="14">
        <f t="shared" si="0"/>
        <v>16777</v>
      </c>
      <c r="F11" s="14">
        <f t="shared" si="0"/>
        <v>42616</v>
      </c>
      <c r="G11" s="14">
        <f t="shared" si="0"/>
        <v>53389</v>
      </c>
      <c r="H11" s="14">
        <f t="shared" si="0"/>
        <v>139344</v>
      </c>
      <c r="I11" s="14">
        <f t="shared" si="0"/>
        <v>92618</v>
      </c>
      <c r="J11" s="14">
        <f t="shared" si="0"/>
        <v>83352</v>
      </c>
      <c r="K11" s="14">
        <f>K9</f>
        <v>65582</v>
      </c>
      <c r="L11" s="14">
        <f t="shared" ref="L11:N11" si="1">L9</f>
        <v>39181</v>
      </c>
      <c r="M11" s="14">
        <f t="shared" si="1"/>
        <v>36946.731740000003</v>
      </c>
      <c r="N11" s="14">
        <f t="shared" si="1"/>
        <v>14411</v>
      </c>
      <c r="O11" s="38"/>
      <c r="P11" s="184"/>
      <c r="Q11" s="185"/>
      <c r="R11" s="181"/>
      <c r="S11" s="181"/>
      <c r="T11" s="181"/>
      <c r="U11" s="186"/>
      <c r="V11" s="181"/>
      <c r="W11" s="181"/>
      <c r="X11" s="181"/>
      <c r="Y11" s="181"/>
      <c r="Z11" s="181"/>
      <c r="AA11" s="181"/>
      <c r="AB11" s="181"/>
    </row>
    <row r="12" spans="1:28" x14ac:dyDescent="0.25">
      <c r="A12" s="103" t="s">
        <v>16</v>
      </c>
      <c r="B12" s="35" t="s">
        <v>11</v>
      </c>
      <c r="C12" s="14"/>
      <c r="D12" s="14">
        <v>2609</v>
      </c>
      <c r="E12" s="14">
        <v>2369</v>
      </c>
      <c r="F12" s="14">
        <v>12804</v>
      </c>
      <c r="G12" s="14">
        <v>10317</v>
      </c>
      <c r="H12" s="14">
        <v>7212</v>
      </c>
      <c r="I12" s="14">
        <v>15646</v>
      </c>
      <c r="J12" s="14">
        <v>20233</v>
      </c>
      <c r="K12" s="14">
        <v>21015</v>
      </c>
      <c r="L12" s="14">
        <v>21660</v>
      </c>
      <c r="M12" s="14">
        <v>20034.280490000001</v>
      </c>
      <c r="N12" s="14">
        <v>10517.0484</v>
      </c>
      <c r="O12" s="38"/>
      <c r="P12" s="184"/>
      <c r="Q12" s="185"/>
      <c r="R12" s="181"/>
      <c r="S12" s="181"/>
      <c r="T12" s="181"/>
      <c r="U12" s="181"/>
      <c r="V12" s="181"/>
      <c r="W12" s="181"/>
      <c r="X12" s="181"/>
      <c r="Y12" s="181"/>
      <c r="Z12" s="181"/>
      <c r="AA12" s="181"/>
      <c r="AB12" s="181"/>
    </row>
    <row r="13" spans="1:28" x14ac:dyDescent="0.25">
      <c r="A13" s="35" t="s">
        <v>17</v>
      </c>
      <c r="B13" s="35" t="s">
        <v>18</v>
      </c>
      <c r="C13" s="14"/>
      <c r="D13" s="165">
        <v>1</v>
      </c>
      <c r="E13" s="165">
        <v>1</v>
      </c>
      <c r="F13" s="165">
        <v>1</v>
      </c>
      <c r="G13" s="165">
        <v>1</v>
      </c>
      <c r="H13" s="165">
        <v>1</v>
      </c>
      <c r="I13" s="165">
        <v>1</v>
      </c>
      <c r="J13" s="165">
        <v>1</v>
      </c>
      <c r="K13" s="165">
        <v>1</v>
      </c>
      <c r="L13" s="165">
        <v>1</v>
      </c>
      <c r="M13" s="165">
        <v>1</v>
      </c>
      <c r="N13" s="165">
        <v>1</v>
      </c>
      <c r="O13" s="38"/>
      <c r="P13" s="184"/>
      <c r="Q13" s="185"/>
      <c r="R13" s="181"/>
      <c r="S13" s="181"/>
      <c r="T13" s="181"/>
      <c r="U13" s="181"/>
      <c r="V13" s="181"/>
      <c r="W13" s="181"/>
      <c r="X13" s="181"/>
      <c r="Y13" s="181"/>
      <c r="Z13" s="181"/>
      <c r="AA13" s="181"/>
      <c r="AB13" s="181"/>
    </row>
    <row r="14" spans="1:28" x14ac:dyDescent="0.25">
      <c r="A14" s="35" t="s">
        <v>19</v>
      </c>
      <c r="B14" s="35" t="s">
        <v>18</v>
      </c>
      <c r="C14" s="14"/>
      <c r="D14" s="165">
        <v>1</v>
      </c>
      <c r="E14" s="165">
        <v>1</v>
      </c>
      <c r="F14" s="165">
        <v>1</v>
      </c>
      <c r="G14" s="165">
        <v>1</v>
      </c>
      <c r="H14" s="165">
        <v>1</v>
      </c>
      <c r="I14" s="165">
        <v>1</v>
      </c>
      <c r="J14" s="165">
        <v>1</v>
      </c>
      <c r="K14" s="165">
        <v>1</v>
      </c>
      <c r="L14" s="165">
        <v>1</v>
      </c>
      <c r="M14" s="165">
        <v>1</v>
      </c>
      <c r="N14" s="165">
        <v>1</v>
      </c>
      <c r="O14" s="38"/>
      <c r="P14" s="184"/>
      <c r="Q14" s="185"/>
      <c r="R14" s="181"/>
      <c r="S14" s="181"/>
      <c r="T14" s="181"/>
      <c r="U14" s="181"/>
      <c r="V14" s="181"/>
      <c r="W14" s="181"/>
      <c r="X14" s="181"/>
      <c r="Y14" s="181"/>
      <c r="Z14" s="181"/>
      <c r="AA14" s="181"/>
      <c r="AB14" s="181"/>
    </row>
    <row r="15" spans="1:28" x14ac:dyDescent="0.25">
      <c r="A15" s="23"/>
      <c r="B15" s="42"/>
      <c r="C15" s="91"/>
      <c r="O15" s="38"/>
      <c r="P15" s="184"/>
      <c r="Q15" s="185"/>
      <c r="R15" s="181"/>
      <c r="S15" s="181"/>
      <c r="T15" s="181"/>
      <c r="U15" s="181"/>
      <c r="V15" s="181"/>
      <c r="W15" s="181"/>
      <c r="X15" s="181"/>
      <c r="Y15" s="181"/>
      <c r="Z15" s="181"/>
      <c r="AA15" s="181"/>
      <c r="AB15" s="181"/>
    </row>
    <row r="16" spans="1:28" ht="18.75" x14ac:dyDescent="0.3">
      <c r="A16" s="28" t="s">
        <v>20</v>
      </c>
      <c r="B16" s="36"/>
      <c r="C16" s="36"/>
      <c r="D16" s="36"/>
      <c r="E16" s="36"/>
      <c r="F16" s="36"/>
      <c r="G16" s="36"/>
      <c r="H16" s="36"/>
      <c r="I16" s="36"/>
      <c r="J16" s="36"/>
      <c r="K16" s="36"/>
      <c r="O16" s="38"/>
      <c r="P16" s="184"/>
      <c r="Q16" s="185"/>
      <c r="R16" s="181"/>
      <c r="S16" s="181"/>
      <c r="T16" s="181"/>
      <c r="U16" s="181"/>
      <c r="V16" s="181"/>
      <c r="W16" s="181"/>
      <c r="X16" s="181"/>
      <c r="Y16" s="181"/>
      <c r="Z16" s="181"/>
      <c r="AA16" s="181"/>
      <c r="AB16" s="181"/>
    </row>
    <row r="17" spans="1:28" x14ac:dyDescent="0.25">
      <c r="A17" s="35" t="s">
        <v>21</v>
      </c>
      <c r="B17" s="35" t="s">
        <v>11</v>
      </c>
      <c r="C17" s="14"/>
      <c r="D17" s="14">
        <v>402</v>
      </c>
      <c r="E17" s="14">
        <v>1475</v>
      </c>
      <c r="F17" s="14">
        <v>2689</v>
      </c>
      <c r="G17" s="14">
        <v>4488</v>
      </c>
      <c r="H17" s="14">
        <v>6123</v>
      </c>
      <c r="I17" s="14">
        <v>13882</v>
      </c>
      <c r="J17" s="14">
        <v>18139</v>
      </c>
      <c r="K17" s="14">
        <v>20034</v>
      </c>
      <c r="L17" s="14">
        <v>22982</v>
      </c>
      <c r="M17" s="14">
        <v>22790</v>
      </c>
      <c r="N17" s="14">
        <v>11812</v>
      </c>
      <c r="O17" s="38"/>
      <c r="P17" s="184"/>
      <c r="Q17" s="185"/>
      <c r="R17" s="181"/>
      <c r="S17" s="181"/>
      <c r="T17" s="181"/>
      <c r="U17" s="181"/>
      <c r="V17" s="181"/>
      <c r="W17" s="181"/>
      <c r="X17" s="181"/>
      <c r="Y17" s="181"/>
      <c r="Z17" s="181"/>
      <c r="AA17" s="181"/>
      <c r="AB17" s="181"/>
    </row>
    <row r="18" spans="1:28" x14ac:dyDescent="0.25">
      <c r="A18" s="35" t="s">
        <v>22</v>
      </c>
      <c r="B18" s="35" t="s">
        <v>11</v>
      </c>
      <c r="C18" s="14"/>
      <c r="D18" s="14">
        <f>D17</f>
        <v>402</v>
      </c>
      <c r="E18" s="14">
        <f t="shared" ref="E18:N18" si="2">E17</f>
        <v>1475</v>
      </c>
      <c r="F18" s="14">
        <f t="shared" si="2"/>
        <v>2689</v>
      </c>
      <c r="G18" s="14">
        <f t="shared" si="2"/>
        <v>4488</v>
      </c>
      <c r="H18" s="14">
        <f t="shared" si="2"/>
        <v>6123</v>
      </c>
      <c r="I18" s="14">
        <f t="shared" si="2"/>
        <v>13882</v>
      </c>
      <c r="J18" s="14">
        <f t="shared" si="2"/>
        <v>18139</v>
      </c>
      <c r="K18" s="14">
        <f t="shared" si="2"/>
        <v>20034</v>
      </c>
      <c r="L18" s="14">
        <f t="shared" si="2"/>
        <v>22982</v>
      </c>
      <c r="M18" s="14">
        <f t="shared" si="2"/>
        <v>22790</v>
      </c>
      <c r="N18" s="14">
        <f t="shared" si="2"/>
        <v>11812</v>
      </c>
      <c r="O18" s="38"/>
      <c r="P18" s="184"/>
      <c r="Q18" s="185"/>
      <c r="R18" s="181"/>
      <c r="S18" s="181"/>
      <c r="T18" s="181"/>
      <c r="U18" s="181"/>
      <c r="V18" s="181"/>
      <c r="W18" s="181"/>
      <c r="X18" s="181"/>
      <c r="Y18" s="181"/>
      <c r="Z18" s="181"/>
      <c r="AA18" s="181"/>
      <c r="AB18" s="181"/>
    </row>
    <row r="19" spans="1:28" x14ac:dyDescent="0.25">
      <c r="O19" s="38"/>
      <c r="P19" s="184"/>
      <c r="Q19" s="185"/>
      <c r="R19" s="181"/>
      <c r="S19" s="181"/>
      <c r="T19" s="181"/>
      <c r="U19" s="181"/>
      <c r="V19" s="181"/>
      <c r="W19" s="181"/>
      <c r="X19" s="181"/>
      <c r="Y19" s="181"/>
      <c r="Z19" s="181"/>
      <c r="AA19" s="181"/>
      <c r="AB19" s="181"/>
    </row>
    <row r="20" spans="1:28" ht="18.75" x14ac:dyDescent="0.3">
      <c r="A20" s="28" t="s">
        <v>23</v>
      </c>
      <c r="O20" s="38"/>
      <c r="P20" s="184"/>
      <c r="Q20" s="185"/>
      <c r="R20" s="181"/>
      <c r="S20" s="181"/>
      <c r="T20" s="181"/>
      <c r="U20" s="181"/>
      <c r="V20" s="181"/>
      <c r="W20" s="181"/>
      <c r="X20" s="181"/>
      <c r="Y20" s="181"/>
      <c r="Z20" s="181"/>
      <c r="AA20" s="181"/>
      <c r="AB20" s="181"/>
    </row>
    <row r="21" spans="1:28" x14ac:dyDescent="0.25">
      <c r="A21" s="35" t="s">
        <v>24</v>
      </c>
      <c r="B21" s="35" t="s">
        <v>11</v>
      </c>
      <c r="C21" s="14">
        <v>0</v>
      </c>
      <c r="D21" s="14"/>
      <c r="E21" s="14"/>
      <c r="F21" s="14"/>
      <c r="G21" s="14"/>
      <c r="H21" s="14"/>
      <c r="I21" s="14"/>
      <c r="J21" s="14"/>
      <c r="K21" s="14"/>
      <c r="L21" s="14"/>
      <c r="M21" s="14"/>
      <c r="N21" s="14"/>
      <c r="O21" s="38"/>
      <c r="P21" s="184"/>
      <c r="Q21" s="185"/>
      <c r="R21" s="181"/>
      <c r="S21" s="181"/>
      <c r="T21" s="181"/>
      <c r="U21" s="181"/>
      <c r="V21" s="181"/>
      <c r="W21" s="181"/>
      <c r="X21" s="181"/>
      <c r="Y21" s="181"/>
      <c r="Z21" s="181"/>
      <c r="AA21" s="181"/>
      <c r="AB21" s="181"/>
    </row>
    <row r="22" spans="1:28" x14ac:dyDescent="0.25">
      <c r="A22" s="35" t="s">
        <v>25</v>
      </c>
      <c r="B22" s="35" t="s">
        <v>11</v>
      </c>
      <c r="C22" s="14">
        <v>0</v>
      </c>
      <c r="D22" s="14"/>
      <c r="E22" s="14"/>
      <c r="F22" s="14"/>
      <c r="G22" s="14"/>
      <c r="H22" s="14"/>
      <c r="I22" s="14"/>
      <c r="J22" s="14"/>
      <c r="K22" s="14"/>
      <c r="L22" s="14"/>
      <c r="M22" s="14"/>
      <c r="N22" s="14"/>
      <c r="O22" s="38"/>
      <c r="P22" s="184"/>
      <c r="Q22" s="185"/>
      <c r="R22" s="181"/>
      <c r="S22" s="181"/>
      <c r="T22" s="181"/>
      <c r="U22" s="181"/>
      <c r="V22" s="181"/>
      <c r="W22" s="181"/>
      <c r="X22" s="181"/>
      <c r="Y22" s="181"/>
      <c r="Z22" s="181"/>
      <c r="AA22" s="181"/>
      <c r="AB22" s="181"/>
    </row>
    <row r="23" spans="1:28" x14ac:dyDescent="0.25">
      <c r="A23" s="35" t="s">
        <v>26</v>
      </c>
      <c r="B23" s="35" t="s">
        <v>11</v>
      </c>
      <c r="C23" s="14"/>
      <c r="D23" s="14">
        <v>33012</v>
      </c>
      <c r="E23" s="14">
        <v>16777</v>
      </c>
      <c r="F23" s="14">
        <v>43914</v>
      </c>
      <c r="G23" s="14">
        <v>53390</v>
      </c>
      <c r="H23" s="14">
        <v>137578</v>
      </c>
      <c r="I23" s="14">
        <v>94781</v>
      </c>
      <c r="J23" s="14">
        <v>82498</v>
      </c>
      <c r="K23" s="14">
        <v>65318</v>
      </c>
      <c r="L23" s="14">
        <v>40950</v>
      </c>
      <c r="M23" s="14">
        <v>34517</v>
      </c>
      <c r="N23" s="14">
        <v>14954</v>
      </c>
      <c r="O23" s="38"/>
      <c r="P23" s="184"/>
      <c r="Q23" s="185"/>
      <c r="R23" s="181"/>
      <c r="S23" s="181"/>
      <c r="T23" s="181"/>
      <c r="U23" s="181"/>
      <c r="V23" s="181"/>
      <c r="W23" s="181"/>
      <c r="X23" s="181"/>
      <c r="Y23" s="181"/>
      <c r="Z23" s="181"/>
      <c r="AA23" s="181"/>
      <c r="AB23" s="181"/>
    </row>
    <row r="24" spans="1:28" x14ac:dyDescent="0.25">
      <c r="A24" s="35" t="s">
        <v>27</v>
      </c>
      <c r="B24" s="35" t="s">
        <v>11</v>
      </c>
      <c r="C24" s="14"/>
      <c r="D24" s="14">
        <v>33012</v>
      </c>
      <c r="E24" s="14">
        <v>16777</v>
      </c>
      <c r="F24" s="14">
        <v>43914</v>
      </c>
      <c r="G24" s="14">
        <v>53390</v>
      </c>
      <c r="H24" s="14">
        <v>137578</v>
      </c>
      <c r="I24" s="14">
        <v>94781</v>
      </c>
      <c r="J24" s="14">
        <v>82498</v>
      </c>
      <c r="K24" s="14">
        <v>65318</v>
      </c>
      <c r="L24" s="14">
        <v>40950</v>
      </c>
      <c r="M24" s="14">
        <v>34517</v>
      </c>
      <c r="N24" s="14">
        <v>14954</v>
      </c>
      <c r="O24" s="38"/>
      <c r="P24" s="184"/>
      <c r="Q24" s="185"/>
      <c r="R24" s="181"/>
      <c r="S24" s="181"/>
      <c r="T24" s="181"/>
      <c r="U24" s="181"/>
      <c r="V24" s="181"/>
      <c r="W24" s="181"/>
      <c r="X24" s="181"/>
      <c r="Y24" s="181"/>
      <c r="Z24" s="181"/>
      <c r="AA24" s="181"/>
      <c r="AB24" s="181"/>
    </row>
    <row r="25" spans="1:28" x14ac:dyDescent="0.25">
      <c r="A25" s="35" t="s">
        <v>28</v>
      </c>
      <c r="B25" s="35" t="s">
        <v>11</v>
      </c>
      <c r="C25" s="14"/>
      <c r="D25" s="14">
        <f>D7</f>
        <v>1018</v>
      </c>
      <c r="E25" s="14">
        <f>E7</f>
        <v>3753</v>
      </c>
      <c r="F25" s="14">
        <f t="shared" ref="F25:N25" si="3">F7</f>
        <v>4789</v>
      </c>
      <c r="G25" s="14">
        <f t="shared" si="3"/>
        <v>8408</v>
      </c>
      <c r="H25" s="14">
        <f t="shared" si="3"/>
        <v>15255</v>
      </c>
      <c r="I25" s="14">
        <f t="shared" si="3"/>
        <v>25880</v>
      </c>
      <c r="J25" s="14">
        <f t="shared" si="3"/>
        <v>39993</v>
      </c>
      <c r="K25" s="14">
        <f t="shared" si="3"/>
        <v>55370</v>
      </c>
      <c r="L25" s="14">
        <f t="shared" si="3"/>
        <v>68261</v>
      </c>
      <c r="M25" s="14">
        <f t="shared" si="3"/>
        <v>80243</v>
      </c>
      <c r="N25" s="14">
        <f t="shared" si="3"/>
        <v>44216</v>
      </c>
      <c r="O25" s="38"/>
      <c r="P25" s="184"/>
      <c r="Q25" s="185"/>
      <c r="R25" s="181"/>
      <c r="S25" s="181"/>
      <c r="T25" s="181"/>
      <c r="U25" s="181"/>
      <c r="V25" s="181"/>
      <c r="W25" s="181"/>
      <c r="X25" s="181"/>
      <c r="Y25" s="181"/>
      <c r="Z25" s="181"/>
      <c r="AA25" s="181"/>
      <c r="AB25" s="181"/>
    </row>
    <row r="26" spans="1:28" x14ac:dyDescent="0.25">
      <c r="A26" s="35" t="s">
        <v>29</v>
      </c>
      <c r="B26" s="35" t="s">
        <v>11</v>
      </c>
      <c r="C26" s="14"/>
      <c r="D26" s="14">
        <v>2609</v>
      </c>
      <c r="E26" s="14">
        <v>2369</v>
      </c>
      <c r="F26" s="14">
        <v>12776</v>
      </c>
      <c r="G26" s="14">
        <v>10334</v>
      </c>
      <c r="H26" s="14">
        <v>7136</v>
      </c>
      <c r="I26" s="14">
        <v>16423</v>
      </c>
      <c r="J26" s="14">
        <v>20161</v>
      </c>
      <c r="K26" s="14">
        <v>21279</v>
      </c>
      <c r="L26" s="14">
        <v>21762</v>
      </c>
      <c r="M26" s="14">
        <v>19987</v>
      </c>
      <c r="N26" s="14">
        <v>10230</v>
      </c>
      <c r="O26" s="38"/>
      <c r="P26" s="184"/>
      <c r="Q26" s="185"/>
      <c r="R26" s="181"/>
      <c r="S26" s="181"/>
      <c r="T26" s="181"/>
      <c r="U26" s="181"/>
      <c r="V26" s="181"/>
      <c r="W26" s="181"/>
      <c r="X26" s="181"/>
      <c r="Y26" s="181"/>
      <c r="Z26" s="181"/>
      <c r="AA26" s="181"/>
      <c r="AB26" s="181"/>
    </row>
    <row r="27" spans="1:28" x14ac:dyDescent="0.25">
      <c r="A27" s="35" t="s">
        <v>30</v>
      </c>
      <c r="B27" s="35" t="s">
        <v>11</v>
      </c>
      <c r="C27" s="14"/>
      <c r="D27" s="14">
        <v>549</v>
      </c>
      <c r="E27" s="14">
        <v>1928</v>
      </c>
      <c r="F27" s="14">
        <v>3302</v>
      </c>
      <c r="G27" s="14">
        <v>5315</v>
      </c>
      <c r="H27" s="14">
        <v>8034</v>
      </c>
      <c r="I27" s="14">
        <v>17135</v>
      </c>
      <c r="J27" s="14">
        <v>22386</v>
      </c>
      <c r="K27" s="14">
        <v>26391</v>
      </c>
      <c r="L27" s="14">
        <v>28877</v>
      </c>
      <c r="M27" s="14">
        <v>28919</v>
      </c>
      <c r="N27" s="14">
        <v>14277</v>
      </c>
      <c r="O27" s="38"/>
      <c r="P27" s="184"/>
      <c r="Q27" s="185"/>
      <c r="R27" s="181"/>
      <c r="S27" s="181"/>
      <c r="T27" s="181"/>
      <c r="U27" s="181"/>
      <c r="V27" s="181"/>
      <c r="W27" s="181"/>
      <c r="X27" s="181"/>
      <c r="Y27" s="181"/>
      <c r="Z27" s="181"/>
      <c r="AA27" s="181"/>
      <c r="AB27" s="181"/>
    </row>
    <row r="28" spans="1:28" x14ac:dyDescent="0.25">
      <c r="A28" s="35" t="s">
        <v>31</v>
      </c>
      <c r="B28" s="35" t="s">
        <v>11</v>
      </c>
      <c r="C28" s="14"/>
      <c r="D28" s="14">
        <v>549</v>
      </c>
      <c r="E28" s="14">
        <v>1928</v>
      </c>
      <c r="F28" s="14">
        <v>3302</v>
      </c>
      <c r="G28" s="14">
        <v>5315</v>
      </c>
      <c r="H28" s="14">
        <v>8034</v>
      </c>
      <c r="I28" s="14">
        <v>17135</v>
      </c>
      <c r="J28" s="14">
        <v>22386</v>
      </c>
      <c r="K28" s="14">
        <v>26391</v>
      </c>
      <c r="L28" s="14">
        <v>28877</v>
      </c>
      <c r="M28" s="14">
        <v>28919</v>
      </c>
      <c r="N28" s="14">
        <v>14277</v>
      </c>
      <c r="O28" s="38"/>
      <c r="P28" s="184"/>
      <c r="Q28" s="185"/>
      <c r="R28" s="181"/>
      <c r="S28" s="181"/>
      <c r="T28" s="181"/>
      <c r="U28" s="181"/>
      <c r="V28" s="181"/>
      <c r="W28" s="181"/>
      <c r="X28" s="181"/>
      <c r="Y28" s="181"/>
      <c r="Z28" s="181"/>
      <c r="AA28" s="181"/>
      <c r="AB28" s="181"/>
    </row>
    <row r="29" spans="1:28" x14ac:dyDescent="0.25">
      <c r="A29" s="35" t="s">
        <v>32</v>
      </c>
      <c r="B29" s="35" t="s">
        <v>18</v>
      </c>
      <c r="C29" s="14"/>
      <c r="D29" s="165">
        <v>1</v>
      </c>
      <c r="E29" s="165">
        <v>1</v>
      </c>
      <c r="F29" s="165">
        <v>1</v>
      </c>
      <c r="G29" s="165">
        <v>1</v>
      </c>
      <c r="H29" s="165">
        <v>1</v>
      </c>
      <c r="I29" s="165">
        <v>1</v>
      </c>
      <c r="J29" s="165">
        <v>1</v>
      </c>
      <c r="K29" s="165">
        <v>1</v>
      </c>
      <c r="L29" s="165">
        <v>1</v>
      </c>
      <c r="M29" s="165">
        <v>1</v>
      </c>
      <c r="N29" s="165">
        <v>1</v>
      </c>
      <c r="O29" s="38"/>
      <c r="P29" s="184"/>
      <c r="Q29" s="185"/>
      <c r="R29" s="181"/>
      <c r="S29" s="181"/>
      <c r="T29" s="181"/>
      <c r="U29" s="181"/>
      <c r="V29" s="181"/>
      <c r="W29" s="181"/>
      <c r="X29" s="181"/>
      <c r="Y29" s="181"/>
      <c r="Z29" s="181"/>
      <c r="AA29" s="181"/>
      <c r="AB29" s="181"/>
    </row>
    <row r="30" spans="1:28" x14ac:dyDescent="0.25">
      <c r="A30" s="35" t="s">
        <v>33</v>
      </c>
      <c r="B30" s="35" t="s">
        <v>18</v>
      </c>
      <c r="C30" s="14"/>
      <c r="D30" s="165">
        <v>1</v>
      </c>
      <c r="E30" s="165">
        <v>1</v>
      </c>
      <c r="F30" s="165">
        <v>1</v>
      </c>
      <c r="G30" s="165">
        <v>1</v>
      </c>
      <c r="H30" s="165">
        <v>1</v>
      </c>
      <c r="I30" s="165">
        <v>1</v>
      </c>
      <c r="J30" s="165">
        <v>1</v>
      </c>
      <c r="K30" s="165">
        <v>1</v>
      </c>
      <c r="L30" s="165">
        <v>1</v>
      </c>
      <c r="M30" s="165">
        <v>1</v>
      </c>
      <c r="N30" s="165">
        <v>1</v>
      </c>
      <c r="O30" s="38"/>
      <c r="P30" s="184"/>
      <c r="Q30" s="185"/>
      <c r="R30" s="181"/>
      <c r="S30" s="181"/>
      <c r="T30" s="181"/>
      <c r="U30" s="181"/>
      <c r="V30" s="181"/>
      <c r="W30" s="181"/>
      <c r="X30" s="181"/>
      <c r="Y30" s="181"/>
      <c r="Z30" s="181"/>
      <c r="AA30" s="181"/>
      <c r="AB30" s="181"/>
    </row>
    <row r="31" spans="1:28" x14ac:dyDescent="0.25">
      <c r="A31" s="35"/>
      <c r="B31" s="35"/>
      <c r="C31" s="35"/>
      <c r="D31" s="14"/>
      <c r="E31" s="14"/>
      <c r="F31" s="14"/>
      <c r="G31" s="14"/>
      <c r="H31" s="14"/>
      <c r="I31" s="14"/>
      <c r="J31" s="14"/>
      <c r="K31" s="14"/>
      <c r="L31" s="14"/>
      <c r="M31" s="14"/>
      <c r="N31" s="14"/>
      <c r="O31" s="38"/>
      <c r="P31" s="184"/>
      <c r="Q31" s="185"/>
      <c r="R31" s="181"/>
      <c r="S31" s="181"/>
      <c r="T31" s="181"/>
      <c r="U31" s="181"/>
      <c r="V31" s="181"/>
      <c r="W31" s="181"/>
      <c r="X31" s="181"/>
      <c r="Y31" s="181"/>
      <c r="Z31" s="181"/>
      <c r="AA31" s="181"/>
      <c r="AB31" s="181"/>
    </row>
    <row r="32" spans="1:28" ht="18.75" x14ac:dyDescent="0.3">
      <c r="A32" s="33" t="s">
        <v>34</v>
      </c>
      <c r="O32" s="38"/>
      <c r="P32" s="184"/>
      <c r="Q32" s="185"/>
      <c r="R32" s="181"/>
      <c r="S32" s="181"/>
      <c r="T32" s="181"/>
      <c r="U32" s="181"/>
      <c r="V32" s="181"/>
      <c r="W32" s="181"/>
      <c r="X32" s="181"/>
      <c r="Y32" s="181"/>
      <c r="Z32" s="181"/>
      <c r="AA32" s="181"/>
      <c r="AB32" s="181"/>
    </row>
    <row r="33" spans="1:28" x14ac:dyDescent="0.25">
      <c r="A33" s="102" t="s">
        <v>35</v>
      </c>
      <c r="B33" s="35" t="s">
        <v>11</v>
      </c>
      <c r="C33" s="14">
        <v>0</v>
      </c>
      <c r="D33" s="14">
        <v>2227</v>
      </c>
      <c r="E33" s="14">
        <v>10052</v>
      </c>
      <c r="F33" s="14">
        <v>23897</v>
      </c>
      <c r="G33" s="14">
        <v>19630</v>
      </c>
      <c r="H33" s="14">
        <v>28089</v>
      </c>
      <c r="I33" s="14">
        <v>36607</v>
      </c>
      <c r="J33" s="14">
        <v>29493</v>
      </c>
      <c r="K33" s="14">
        <v>4206</v>
      </c>
      <c r="L33" s="14">
        <v>5592</v>
      </c>
      <c r="M33" s="14">
        <v>0</v>
      </c>
      <c r="N33" s="14">
        <v>0</v>
      </c>
      <c r="O33" s="38"/>
      <c r="P33" s="184"/>
      <c r="Q33" s="185"/>
      <c r="R33" s="181"/>
      <c r="S33" s="181"/>
      <c r="T33" s="181"/>
      <c r="U33" s="181"/>
      <c r="V33" s="181"/>
      <c r="W33" s="181"/>
      <c r="X33" s="181"/>
      <c r="Y33" s="181"/>
      <c r="Z33" s="181"/>
      <c r="AA33" s="181"/>
      <c r="AB33" s="181"/>
    </row>
    <row r="34" spans="1:28" x14ac:dyDescent="0.25">
      <c r="A34" s="102" t="s">
        <v>36</v>
      </c>
      <c r="B34" s="35" t="s">
        <v>11</v>
      </c>
      <c r="C34" s="35"/>
      <c r="D34" s="14">
        <v>0</v>
      </c>
      <c r="E34" s="14">
        <v>0</v>
      </c>
      <c r="F34" s="14">
        <v>0</v>
      </c>
      <c r="G34" s="14">
        <v>0</v>
      </c>
      <c r="H34" s="14">
        <v>0</v>
      </c>
      <c r="I34" s="14">
        <v>0</v>
      </c>
      <c r="J34" s="14">
        <v>0</v>
      </c>
      <c r="K34" s="14">
        <v>0</v>
      </c>
      <c r="L34" s="14">
        <v>0</v>
      </c>
      <c r="M34" s="14">
        <v>159793.465</v>
      </c>
      <c r="N34" s="14">
        <v>0</v>
      </c>
      <c r="O34" s="38"/>
      <c r="P34" s="184"/>
      <c r="Q34" s="185"/>
      <c r="R34" s="181"/>
      <c r="S34" s="181"/>
      <c r="T34" s="181"/>
      <c r="U34" s="181"/>
      <c r="V34" s="181"/>
      <c r="W34" s="181"/>
      <c r="X34" s="181"/>
      <c r="Y34" s="181"/>
      <c r="Z34" s="181"/>
      <c r="AA34" s="181"/>
      <c r="AB34" s="181"/>
    </row>
    <row r="35" spans="1:28" x14ac:dyDescent="0.25">
      <c r="A35" s="102" t="s">
        <v>37</v>
      </c>
      <c r="B35" s="32" t="s">
        <v>18</v>
      </c>
      <c r="C35" s="59"/>
      <c r="D35" s="127">
        <v>0.82801975752132917</v>
      </c>
      <c r="E35" s="127">
        <v>0.85027855153203347</v>
      </c>
      <c r="F35" s="127">
        <v>0.81951709419592422</v>
      </c>
      <c r="G35" s="127">
        <v>0.65043301069791137</v>
      </c>
      <c r="H35" s="127">
        <v>0.75809035565523875</v>
      </c>
      <c r="I35" s="127">
        <v>1</v>
      </c>
      <c r="J35" s="127">
        <v>1</v>
      </c>
      <c r="K35" s="127">
        <v>1</v>
      </c>
      <c r="L35" s="127">
        <v>1</v>
      </c>
      <c r="M35" s="127">
        <v>1</v>
      </c>
      <c r="N35" s="127">
        <v>1</v>
      </c>
      <c r="O35" s="38"/>
      <c r="P35" s="184"/>
      <c r="Q35" s="182"/>
      <c r="R35" s="181"/>
      <c r="S35" s="181"/>
      <c r="T35" s="181"/>
      <c r="U35" s="181"/>
      <c r="V35" s="181"/>
      <c r="W35" s="181"/>
      <c r="X35" s="181"/>
      <c r="Y35" s="181"/>
      <c r="Z35" s="181"/>
      <c r="AA35" s="181"/>
      <c r="AB35" s="181"/>
    </row>
    <row r="36" spans="1:28" x14ac:dyDescent="0.25">
      <c r="A36" s="102"/>
      <c r="B36" s="59"/>
      <c r="C36" s="59"/>
      <c r="D36" s="92"/>
      <c r="E36" s="92"/>
      <c r="F36" s="92"/>
      <c r="G36" s="92"/>
      <c r="H36" s="92"/>
      <c r="I36" s="92"/>
      <c r="J36" s="92"/>
      <c r="K36" s="92"/>
      <c r="L36" s="92"/>
      <c r="M36" s="92"/>
      <c r="N36" s="92"/>
      <c r="O36" s="38"/>
      <c r="P36" s="178"/>
      <c r="Q36" s="37"/>
    </row>
    <row r="37" spans="1:28" x14ac:dyDescent="0.25">
      <c r="O37" s="38"/>
      <c r="P37" s="177"/>
    </row>
    <row r="38" spans="1:28" x14ac:dyDescent="0.25">
      <c r="O38" s="38"/>
      <c r="P38" s="177"/>
    </row>
    <row r="39" spans="1:28" x14ac:dyDescent="0.25">
      <c r="O39" s="38"/>
      <c r="P39" s="177"/>
    </row>
    <row r="40" spans="1:28" x14ac:dyDescent="0.25">
      <c r="O40" s="38"/>
      <c r="P40" s="177"/>
    </row>
    <row r="41" spans="1:28" x14ac:dyDescent="0.25">
      <c r="O41" s="38"/>
      <c r="P41" s="177"/>
    </row>
    <row r="42" spans="1:28" x14ac:dyDescent="0.25">
      <c r="O42" s="38"/>
      <c r="P42" s="177"/>
    </row>
    <row r="43" spans="1:28" x14ac:dyDescent="0.25">
      <c r="O43" s="38"/>
      <c r="P43" s="177"/>
    </row>
    <row r="44" spans="1:28" x14ac:dyDescent="0.25">
      <c r="P44" s="177"/>
    </row>
    <row r="45" spans="1:28" x14ac:dyDescent="0.25">
      <c r="P45" s="177"/>
    </row>
    <row r="46" spans="1:28" x14ac:dyDescent="0.25">
      <c r="P46" s="177"/>
    </row>
  </sheetData>
  <phoneticPr fontId="43" type="noConversion"/>
  <pageMargins left="0.7" right="0.7" top="0.75" bottom="0.75" header="0.3" footer="0.3"/>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33C6-ACA5-4222-88F1-9B353F7AD99F}">
  <sheetPr>
    <tabColor theme="3" tint="-0.249977111117893"/>
    <pageSetUpPr fitToPage="1"/>
  </sheetPr>
  <dimension ref="A1:AC103"/>
  <sheetViews>
    <sheetView showGridLines="0" zoomScale="75" zoomScaleNormal="75" zoomScaleSheetLayoutView="120" workbookViewId="0">
      <pane xSplit="1" ySplit="6" topLeftCell="B32" activePane="bottomRight" state="frozen"/>
      <selection pane="topRight" activeCell="B1" sqref="B1"/>
      <selection pane="bottomLeft" activeCell="A7" sqref="A7"/>
      <selection pane="bottomRight" activeCell="M9" sqref="M9"/>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x14ac:dyDescent="0.4">
      <c r="A1" s="1" t="s">
        <v>38</v>
      </c>
      <c r="D1" s="37"/>
      <c r="E1" s="37"/>
      <c r="F1" s="37"/>
      <c r="G1" s="37"/>
      <c r="H1" s="37"/>
      <c r="I1" s="37"/>
      <c r="J1" s="37"/>
      <c r="K1" s="37"/>
      <c r="L1" s="38"/>
      <c r="M1" s="38"/>
      <c r="N1" s="38"/>
      <c r="O1" s="38"/>
    </row>
    <row r="2" spans="1:29" x14ac:dyDescent="0.25">
      <c r="D2" s="37"/>
      <c r="E2" s="37"/>
      <c r="F2" s="37"/>
      <c r="G2" s="37"/>
      <c r="H2" s="37"/>
      <c r="I2" s="37"/>
      <c r="J2" s="37"/>
      <c r="K2" s="37"/>
      <c r="L2" s="37"/>
      <c r="M2" s="37"/>
      <c r="N2" s="37"/>
      <c r="O2" s="37"/>
    </row>
    <row r="3" spans="1:29" x14ac:dyDescent="0.25">
      <c r="A3" s="64"/>
      <c r="D3" s="37"/>
      <c r="E3" s="37"/>
      <c r="F3" s="37"/>
      <c r="G3" s="37"/>
      <c r="H3" s="37"/>
      <c r="I3" s="37"/>
      <c r="J3" s="37"/>
      <c r="K3" s="37"/>
      <c r="L3" s="37"/>
      <c r="M3" s="37"/>
      <c r="N3" s="37"/>
      <c r="O3" s="37"/>
    </row>
    <row r="4" spans="1:29" x14ac:dyDescent="0.25">
      <c r="A4" s="64"/>
      <c r="C4" s="62" t="s">
        <v>5</v>
      </c>
      <c r="D4" s="62" t="s">
        <v>6</v>
      </c>
      <c r="E4" s="62" t="s">
        <v>7</v>
      </c>
      <c r="F4" s="62" t="s">
        <v>7</v>
      </c>
      <c r="G4" s="62" t="s">
        <v>7</v>
      </c>
      <c r="H4" s="62" t="s">
        <v>7</v>
      </c>
      <c r="I4" s="62" t="s">
        <v>7</v>
      </c>
      <c r="J4" s="62" t="s">
        <v>7</v>
      </c>
      <c r="K4" s="62" t="s">
        <v>7</v>
      </c>
      <c r="L4" s="62" t="s">
        <v>7</v>
      </c>
      <c r="M4" s="62" t="s">
        <v>7</v>
      </c>
      <c r="N4" s="62" t="s">
        <v>8</v>
      </c>
      <c r="O4" s="37"/>
    </row>
    <row r="5" spans="1:29" ht="18.75" x14ac:dyDescent="0.3">
      <c r="A5" s="64"/>
      <c r="B5" s="49"/>
      <c r="C5" s="63">
        <f>$C$53</f>
        <v>40878</v>
      </c>
      <c r="D5" s="63">
        <f>$D$53</f>
        <v>41090</v>
      </c>
      <c r="E5" s="63">
        <f>$E$53</f>
        <v>41455</v>
      </c>
      <c r="F5" s="63">
        <f>$F$53</f>
        <v>41820</v>
      </c>
      <c r="G5" s="63">
        <f>$G$53</f>
        <v>42185</v>
      </c>
      <c r="H5" s="63">
        <f>$H$53</f>
        <v>42551</v>
      </c>
      <c r="I5" s="63">
        <f>$I$53</f>
        <v>42916</v>
      </c>
      <c r="J5" s="63">
        <f>$J$53</f>
        <v>43281</v>
      </c>
      <c r="K5" s="63">
        <f>$K$53</f>
        <v>43646</v>
      </c>
      <c r="L5" s="63">
        <f>$L$53</f>
        <v>44012</v>
      </c>
      <c r="M5" s="63">
        <f>$M$53</f>
        <v>44377</v>
      </c>
      <c r="N5" s="63">
        <f>N$53</f>
        <v>44561</v>
      </c>
      <c r="O5" s="37"/>
    </row>
    <row r="6" spans="1:29" s="13" customFormat="1" ht="18.75" x14ac:dyDescent="0.3">
      <c r="A6" s="33" t="s">
        <v>9</v>
      </c>
      <c r="O6" s="37"/>
      <c r="P6"/>
      <c r="Q6"/>
      <c r="R6"/>
      <c r="S6"/>
      <c r="T6"/>
      <c r="U6"/>
      <c r="V6"/>
      <c r="W6"/>
      <c r="X6"/>
      <c r="Y6"/>
      <c r="Z6"/>
      <c r="AA6"/>
      <c r="AB6"/>
      <c r="AC6"/>
    </row>
    <row r="7" spans="1:29" x14ac:dyDescent="0.25">
      <c r="A7" s="35" t="s">
        <v>10</v>
      </c>
      <c r="B7" s="35" t="s">
        <v>11</v>
      </c>
      <c r="C7" s="14"/>
      <c r="D7" s="163">
        <f>'LFC inputs'!D7</f>
        <v>1018</v>
      </c>
      <c r="E7" s="163">
        <f>'LFC inputs'!E7</f>
        <v>3753</v>
      </c>
      <c r="F7" s="163">
        <f>'LFC inputs'!F7</f>
        <v>4789</v>
      </c>
      <c r="G7" s="163">
        <f>'LFC inputs'!G7</f>
        <v>8408</v>
      </c>
      <c r="H7" s="163">
        <f>'LFC inputs'!H7</f>
        <v>15255</v>
      </c>
      <c r="I7" s="163">
        <f>'LFC inputs'!I7</f>
        <v>25880</v>
      </c>
      <c r="J7" s="163">
        <f>'LFC inputs'!J7</f>
        <v>39993</v>
      </c>
      <c r="K7" s="163">
        <f>'LFC inputs'!K7</f>
        <v>55370</v>
      </c>
      <c r="L7" s="163">
        <f>'LFC inputs'!L7</f>
        <v>68261</v>
      </c>
      <c r="M7" s="163">
        <f>'LFC inputs'!M7</f>
        <v>80243</v>
      </c>
      <c r="N7" s="163">
        <f>'LFC inputs'!N7</f>
        <v>44216</v>
      </c>
      <c r="O7" s="37"/>
    </row>
    <row r="8" spans="1:29" ht="26.25" x14ac:dyDescent="0.25">
      <c r="A8" s="35" t="s">
        <v>39</v>
      </c>
      <c r="B8" s="35" t="s">
        <v>11</v>
      </c>
      <c r="C8" s="163">
        <f>'LFC inputs'!C8</f>
        <v>0</v>
      </c>
      <c r="D8" s="14"/>
      <c r="E8" s="14"/>
      <c r="F8" s="14"/>
      <c r="G8" s="14"/>
      <c r="H8" s="14"/>
      <c r="I8" s="14"/>
      <c r="J8" s="14"/>
      <c r="K8" s="14"/>
      <c r="L8" s="14"/>
      <c r="M8" s="14"/>
      <c r="N8" s="14"/>
      <c r="O8" s="37"/>
    </row>
    <row r="9" spans="1:29" x14ac:dyDescent="0.25">
      <c r="A9" s="35" t="s">
        <v>13</v>
      </c>
      <c r="B9" s="35" t="s">
        <v>11</v>
      </c>
      <c r="C9" s="14"/>
      <c r="D9" s="163">
        <f>'LFC inputs'!D9</f>
        <v>33011.682710000008</v>
      </c>
      <c r="E9" s="163">
        <f>'LFC inputs'!E9</f>
        <v>16777</v>
      </c>
      <c r="F9" s="163">
        <f>'LFC inputs'!F9</f>
        <v>42616</v>
      </c>
      <c r="G9" s="163">
        <f>'LFC inputs'!G9</f>
        <v>53389</v>
      </c>
      <c r="H9" s="163">
        <f>'LFC inputs'!H9</f>
        <v>139344</v>
      </c>
      <c r="I9" s="163">
        <f>'LFC inputs'!I9</f>
        <v>92618</v>
      </c>
      <c r="J9" s="163">
        <f>'LFC inputs'!J9</f>
        <v>83352</v>
      </c>
      <c r="K9" s="163">
        <f>'LFC inputs'!K9</f>
        <v>65582</v>
      </c>
      <c r="L9" s="163">
        <f>'LFC inputs'!L9</f>
        <v>39181</v>
      </c>
      <c r="M9" s="163">
        <f>'LFC inputs'!M9</f>
        <v>36946.731740000003</v>
      </c>
      <c r="N9" s="163">
        <f>'LFC inputs'!N9</f>
        <v>14411</v>
      </c>
      <c r="O9" s="37"/>
    </row>
    <row r="10" spans="1:29" x14ac:dyDescent="0.25">
      <c r="A10" s="35" t="s">
        <v>14</v>
      </c>
      <c r="B10" s="35" t="s">
        <v>11</v>
      </c>
      <c r="C10" s="163">
        <f>'LFC inputs'!C10</f>
        <v>0</v>
      </c>
      <c r="D10" s="14"/>
      <c r="E10" s="14"/>
      <c r="F10" s="14"/>
      <c r="G10" s="14"/>
      <c r="H10" s="14"/>
      <c r="I10" s="14"/>
      <c r="J10" s="14"/>
      <c r="K10" s="14"/>
      <c r="L10" s="14"/>
      <c r="M10" s="14"/>
      <c r="N10" s="14"/>
      <c r="O10" s="37"/>
    </row>
    <row r="11" spans="1:29" x14ac:dyDescent="0.25">
      <c r="A11" s="35" t="s">
        <v>15</v>
      </c>
      <c r="B11" s="35" t="s">
        <v>11</v>
      </c>
      <c r="C11" s="14"/>
      <c r="D11" s="163">
        <f>'LFC inputs'!D11</f>
        <v>33011.682710000008</v>
      </c>
      <c r="E11" s="163">
        <f>'LFC inputs'!E11</f>
        <v>16777</v>
      </c>
      <c r="F11" s="163">
        <f>'LFC inputs'!F11</f>
        <v>42616</v>
      </c>
      <c r="G11" s="163">
        <f>'LFC inputs'!G11</f>
        <v>53389</v>
      </c>
      <c r="H11" s="163">
        <f>'LFC inputs'!H11</f>
        <v>139344</v>
      </c>
      <c r="I11" s="163">
        <f>'LFC inputs'!I11</f>
        <v>92618</v>
      </c>
      <c r="J11" s="163">
        <f>'LFC inputs'!J11</f>
        <v>83352</v>
      </c>
      <c r="K11" s="163">
        <f>'LFC inputs'!K11</f>
        <v>65582</v>
      </c>
      <c r="L11" s="163">
        <f>'LFC inputs'!L11</f>
        <v>39181</v>
      </c>
      <c r="M11" s="163">
        <f>'LFC inputs'!M11</f>
        <v>36946.731740000003</v>
      </c>
      <c r="N11" s="163">
        <f>'LFC inputs'!N11</f>
        <v>14411</v>
      </c>
      <c r="O11" s="37"/>
    </row>
    <row r="12" spans="1:29" x14ac:dyDescent="0.25">
      <c r="A12" s="35" t="s">
        <v>40</v>
      </c>
      <c r="B12" s="35" t="s">
        <v>11</v>
      </c>
      <c r="C12" s="14"/>
      <c r="D12" s="163">
        <f>('LFC inputs'!D14-'LFC inputs'!D13)*DCF!D47</f>
        <v>0</v>
      </c>
      <c r="E12" s="163">
        <f>('LFC inputs'!E14-'LFC inputs'!E13)*DCF!E47</f>
        <v>0</v>
      </c>
      <c r="F12" s="163">
        <f>('LFC inputs'!F14-'LFC inputs'!F13)*DCF!F47</f>
        <v>0</v>
      </c>
      <c r="G12" s="163">
        <f>('LFC inputs'!G14-'LFC inputs'!G13)*DCF!G47</f>
        <v>0</v>
      </c>
      <c r="H12" s="163">
        <f>('LFC inputs'!H14-'LFC inputs'!H13)*DCF!H47</f>
        <v>0</v>
      </c>
      <c r="I12" s="163">
        <f>('LFC inputs'!I14-'LFC inputs'!I13)*DCF!I47</f>
        <v>0</v>
      </c>
      <c r="J12" s="163">
        <f>('LFC inputs'!J14-'LFC inputs'!J13)*DCF!J47</f>
        <v>0</v>
      </c>
      <c r="K12" s="163">
        <f>('LFC inputs'!K14-'LFC inputs'!K13)*DCF!K47</f>
        <v>0</v>
      </c>
      <c r="L12" s="163">
        <f>('LFC inputs'!L14-'LFC inputs'!L13)*DCF!L47</f>
        <v>0</v>
      </c>
      <c r="M12" s="163">
        <f>('LFC inputs'!M14-'LFC inputs'!M13)*DCF!M47</f>
        <v>0</v>
      </c>
      <c r="N12" s="163">
        <f>('LFC inputs'!N14-'LFC inputs'!N13)*DCF!N47</f>
        <v>0</v>
      </c>
      <c r="O12" s="37"/>
    </row>
    <row r="13" spans="1:29" x14ac:dyDescent="0.25">
      <c r="A13" s="103" t="s">
        <v>16</v>
      </c>
      <c r="B13" s="35" t="s">
        <v>11</v>
      </c>
      <c r="C13" s="14"/>
      <c r="D13" s="163">
        <f>'LFC inputs'!D12</f>
        <v>2609</v>
      </c>
      <c r="E13" s="163">
        <f>'LFC inputs'!E12</f>
        <v>2369</v>
      </c>
      <c r="F13" s="163">
        <f>'LFC inputs'!F12</f>
        <v>12804</v>
      </c>
      <c r="G13" s="163">
        <f>'LFC inputs'!G12</f>
        <v>10317</v>
      </c>
      <c r="H13" s="163">
        <f>'LFC inputs'!H12</f>
        <v>7212</v>
      </c>
      <c r="I13" s="163">
        <f>'LFC inputs'!I12</f>
        <v>15646</v>
      </c>
      <c r="J13" s="163">
        <f>'LFC inputs'!J12</f>
        <v>20233</v>
      </c>
      <c r="K13" s="163">
        <f>'LFC inputs'!K12</f>
        <v>21015</v>
      </c>
      <c r="L13" s="163">
        <f>'LFC inputs'!L12</f>
        <v>21660</v>
      </c>
      <c r="M13" s="163">
        <f>'LFC inputs'!M12</f>
        <v>20034.280490000001</v>
      </c>
      <c r="N13" s="163">
        <f>'LFC inputs'!N12</f>
        <v>10517.0484</v>
      </c>
      <c r="O13" s="37"/>
    </row>
    <row r="14" spans="1:29" x14ac:dyDescent="0.25">
      <c r="A14" s="23"/>
      <c r="B14" s="42"/>
      <c r="C14" s="91"/>
      <c r="O14" s="37"/>
    </row>
    <row r="15" spans="1:29" ht="18.75" x14ac:dyDescent="0.3">
      <c r="A15" s="28" t="s">
        <v>20</v>
      </c>
      <c r="B15" s="36"/>
      <c r="C15" s="36"/>
      <c r="D15" s="36"/>
      <c r="E15" s="36"/>
      <c r="F15" s="36"/>
      <c r="G15" s="36"/>
      <c r="H15" s="36"/>
      <c r="I15" s="36"/>
      <c r="J15" s="36"/>
      <c r="K15" s="36"/>
      <c r="O15" s="37"/>
    </row>
    <row r="16" spans="1:29" x14ac:dyDescent="0.25">
      <c r="A16" s="35" t="s">
        <v>21</v>
      </c>
      <c r="B16" s="35" t="s">
        <v>11</v>
      </c>
      <c r="C16" s="14"/>
      <c r="D16" s="163">
        <f>'LFC inputs'!D17</f>
        <v>402</v>
      </c>
      <c r="E16" s="163">
        <f>'LFC inputs'!E17</f>
        <v>1475</v>
      </c>
      <c r="F16" s="163">
        <f>'LFC inputs'!F17</f>
        <v>2689</v>
      </c>
      <c r="G16" s="163">
        <f>'LFC inputs'!G17</f>
        <v>4488</v>
      </c>
      <c r="H16" s="163">
        <f>'LFC inputs'!H17</f>
        <v>6123</v>
      </c>
      <c r="I16" s="163">
        <f>'LFC inputs'!I17</f>
        <v>13882</v>
      </c>
      <c r="J16" s="163">
        <f>'LFC inputs'!J17</f>
        <v>18139</v>
      </c>
      <c r="K16" s="163">
        <f>'LFC inputs'!K17</f>
        <v>20034</v>
      </c>
      <c r="L16" s="163">
        <f>'LFC inputs'!L17</f>
        <v>22982</v>
      </c>
      <c r="M16" s="163">
        <f>'LFC inputs'!M17</f>
        <v>22790</v>
      </c>
      <c r="N16" s="163">
        <f>'LFC inputs'!N17</f>
        <v>11812</v>
      </c>
      <c r="O16" s="37"/>
    </row>
    <row r="17" spans="1:15" x14ac:dyDescent="0.25">
      <c r="A17" s="35" t="s">
        <v>22</v>
      </c>
      <c r="B17" s="35" t="s">
        <v>11</v>
      </c>
      <c r="C17" s="14"/>
      <c r="D17" s="163">
        <f>'LFC inputs'!D18</f>
        <v>402</v>
      </c>
      <c r="E17" s="163">
        <f>'LFC inputs'!E18</f>
        <v>1475</v>
      </c>
      <c r="F17" s="163">
        <f>'LFC inputs'!F18</f>
        <v>2689</v>
      </c>
      <c r="G17" s="163">
        <f>'LFC inputs'!G18</f>
        <v>4488</v>
      </c>
      <c r="H17" s="163">
        <f>'LFC inputs'!H18</f>
        <v>6123</v>
      </c>
      <c r="I17" s="163">
        <f>'LFC inputs'!I18</f>
        <v>13882</v>
      </c>
      <c r="J17" s="163">
        <f>'LFC inputs'!J18</f>
        <v>18139</v>
      </c>
      <c r="K17" s="163">
        <f>'LFC inputs'!K18</f>
        <v>20034</v>
      </c>
      <c r="L17" s="163">
        <f>'LFC inputs'!L18</f>
        <v>22982</v>
      </c>
      <c r="M17" s="163">
        <f>'LFC inputs'!M18</f>
        <v>22790</v>
      </c>
      <c r="N17" s="163">
        <f>'LFC inputs'!N18</f>
        <v>11812</v>
      </c>
      <c r="O17" s="37"/>
    </row>
    <row r="18" spans="1:15" x14ac:dyDescent="0.25">
      <c r="O18" s="37"/>
    </row>
    <row r="19" spans="1:15" ht="18.75" x14ac:dyDescent="0.3">
      <c r="A19" s="28" t="s">
        <v>23</v>
      </c>
      <c r="O19" s="37"/>
    </row>
    <row r="20" spans="1:15" x14ac:dyDescent="0.25">
      <c r="A20" s="35" t="s">
        <v>24</v>
      </c>
      <c r="B20" s="35" t="s">
        <v>11</v>
      </c>
      <c r="C20" s="163">
        <f>'LFC inputs'!C21</f>
        <v>0</v>
      </c>
      <c r="D20" s="14"/>
      <c r="E20" s="14"/>
      <c r="F20" s="14"/>
      <c r="G20" s="14"/>
      <c r="H20" s="14"/>
      <c r="I20" s="14"/>
      <c r="J20" s="14"/>
      <c r="K20" s="14"/>
      <c r="L20" s="14"/>
      <c r="M20" s="14"/>
      <c r="N20" s="14"/>
      <c r="O20" s="37"/>
    </row>
    <row r="21" spans="1:15" x14ac:dyDescent="0.25">
      <c r="A21" s="35" t="s">
        <v>25</v>
      </c>
      <c r="B21" s="35" t="s">
        <v>11</v>
      </c>
      <c r="C21" s="163">
        <f>'LFC inputs'!C22</f>
        <v>0</v>
      </c>
      <c r="D21" s="14"/>
      <c r="E21" s="14"/>
      <c r="F21" s="14"/>
      <c r="G21" s="14"/>
      <c r="H21" s="14"/>
      <c r="I21" s="14"/>
      <c r="J21" s="14"/>
      <c r="K21" s="14"/>
      <c r="L21" s="14"/>
      <c r="M21" s="14"/>
      <c r="N21" s="14"/>
      <c r="O21" s="37"/>
    </row>
    <row r="22" spans="1:15" x14ac:dyDescent="0.25">
      <c r="A22" s="35" t="s">
        <v>26</v>
      </c>
      <c r="B22" s="35" t="s">
        <v>11</v>
      </c>
      <c r="C22" s="14"/>
      <c r="D22" s="163">
        <f>'LFC inputs'!D23</f>
        <v>33012</v>
      </c>
      <c r="E22" s="163">
        <f>'LFC inputs'!E23</f>
        <v>16777</v>
      </c>
      <c r="F22" s="163">
        <f>'LFC inputs'!F23</f>
        <v>43914</v>
      </c>
      <c r="G22" s="163">
        <f>'LFC inputs'!G23</f>
        <v>53390</v>
      </c>
      <c r="H22" s="163">
        <f>'LFC inputs'!H23</f>
        <v>137578</v>
      </c>
      <c r="I22" s="163">
        <f>'LFC inputs'!I23</f>
        <v>94781</v>
      </c>
      <c r="J22" s="163">
        <f>'LFC inputs'!J23</f>
        <v>82498</v>
      </c>
      <c r="K22" s="163">
        <f>'LFC inputs'!K23</f>
        <v>65318</v>
      </c>
      <c r="L22" s="163">
        <f>'LFC inputs'!L23</f>
        <v>40950</v>
      </c>
      <c r="M22" s="163">
        <f>'LFC inputs'!M23</f>
        <v>34517</v>
      </c>
      <c r="N22" s="163">
        <f>'LFC inputs'!N23</f>
        <v>14954</v>
      </c>
      <c r="O22" s="37"/>
    </row>
    <row r="23" spans="1:15" x14ac:dyDescent="0.25">
      <c r="A23" s="35" t="s">
        <v>27</v>
      </c>
      <c r="B23" s="35" t="s">
        <v>11</v>
      </c>
      <c r="C23" s="14"/>
      <c r="D23" s="163">
        <f>'LFC inputs'!D24</f>
        <v>33012</v>
      </c>
      <c r="E23" s="163">
        <f>'LFC inputs'!E24</f>
        <v>16777</v>
      </c>
      <c r="F23" s="163">
        <f>'LFC inputs'!F24</f>
        <v>43914</v>
      </c>
      <c r="G23" s="163">
        <f>'LFC inputs'!G24</f>
        <v>53390</v>
      </c>
      <c r="H23" s="163">
        <f>'LFC inputs'!H24</f>
        <v>137578</v>
      </c>
      <c r="I23" s="163">
        <f>'LFC inputs'!I24</f>
        <v>94781</v>
      </c>
      <c r="J23" s="163">
        <f>'LFC inputs'!J24</f>
        <v>82498</v>
      </c>
      <c r="K23" s="163">
        <f>'LFC inputs'!K24</f>
        <v>65318</v>
      </c>
      <c r="L23" s="163">
        <f>'LFC inputs'!L24</f>
        <v>40950</v>
      </c>
      <c r="M23" s="163">
        <f>'LFC inputs'!M24</f>
        <v>34517</v>
      </c>
      <c r="N23" s="163">
        <f>'LFC inputs'!N24</f>
        <v>14954</v>
      </c>
      <c r="O23" s="37"/>
    </row>
    <row r="24" spans="1:15" x14ac:dyDescent="0.25">
      <c r="A24" s="35" t="s">
        <v>28</v>
      </c>
      <c r="B24" s="35" t="s">
        <v>11</v>
      </c>
      <c r="C24" s="14"/>
      <c r="D24" s="163">
        <f>'LFC inputs'!D25</f>
        <v>1018</v>
      </c>
      <c r="E24" s="163">
        <f>'LFC inputs'!E25</f>
        <v>3753</v>
      </c>
      <c r="F24" s="163">
        <f>'LFC inputs'!F25</f>
        <v>4789</v>
      </c>
      <c r="G24" s="163">
        <f>'LFC inputs'!G25</f>
        <v>8408</v>
      </c>
      <c r="H24" s="163">
        <f>'LFC inputs'!H25</f>
        <v>15255</v>
      </c>
      <c r="I24" s="163">
        <f>'LFC inputs'!I25</f>
        <v>25880</v>
      </c>
      <c r="J24" s="163">
        <f>'LFC inputs'!J25</f>
        <v>39993</v>
      </c>
      <c r="K24" s="163">
        <f>'LFC inputs'!K25</f>
        <v>55370</v>
      </c>
      <c r="L24" s="163">
        <f>'LFC inputs'!L25</f>
        <v>68261</v>
      </c>
      <c r="M24" s="163">
        <f>'LFC inputs'!M25</f>
        <v>80243</v>
      </c>
      <c r="N24" s="163">
        <f>'LFC inputs'!N25</f>
        <v>44216</v>
      </c>
      <c r="O24" s="37"/>
    </row>
    <row r="25" spans="1:15" x14ac:dyDescent="0.25">
      <c r="A25" s="35" t="s">
        <v>29</v>
      </c>
      <c r="B25" s="35" t="s">
        <v>11</v>
      </c>
      <c r="C25" s="14"/>
      <c r="D25" s="163">
        <f>'LFC inputs'!D26</f>
        <v>2609</v>
      </c>
      <c r="E25" s="163">
        <f>'LFC inputs'!E26</f>
        <v>2369</v>
      </c>
      <c r="F25" s="163">
        <f>'LFC inputs'!F26</f>
        <v>12776</v>
      </c>
      <c r="G25" s="163">
        <f>'LFC inputs'!G26</f>
        <v>10334</v>
      </c>
      <c r="H25" s="163">
        <f>'LFC inputs'!H26</f>
        <v>7136</v>
      </c>
      <c r="I25" s="163">
        <f>'LFC inputs'!I26</f>
        <v>16423</v>
      </c>
      <c r="J25" s="163">
        <f>'LFC inputs'!J26</f>
        <v>20161</v>
      </c>
      <c r="K25" s="163">
        <f>'LFC inputs'!K26</f>
        <v>21279</v>
      </c>
      <c r="L25" s="163">
        <f>'LFC inputs'!L26</f>
        <v>21762</v>
      </c>
      <c r="M25" s="163">
        <f>'LFC inputs'!M26</f>
        <v>19987</v>
      </c>
      <c r="N25" s="163">
        <f>'LFC inputs'!N26</f>
        <v>10230</v>
      </c>
      <c r="O25" s="37"/>
    </row>
    <row r="26" spans="1:15" x14ac:dyDescent="0.25">
      <c r="A26" s="35" t="s">
        <v>30</v>
      </c>
      <c r="B26" s="35" t="s">
        <v>11</v>
      </c>
      <c r="C26" s="14"/>
      <c r="D26" s="163">
        <f>'LFC inputs'!D27</f>
        <v>549</v>
      </c>
      <c r="E26" s="163">
        <f>'LFC inputs'!E27</f>
        <v>1928</v>
      </c>
      <c r="F26" s="163">
        <f>'LFC inputs'!F27</f>
        <v>3302</v>
      </c>
      <c r="G26" s="163">
        <f>'LFC inputs'!G27</f>
        <v>5315</v>
      </c>
      <c r="H26" s="163">
        <f>'LFC inputs'!H27</f>
        <v>8034</v>
      </c>
      <c r="I26" s="163">
        <f>'LFC inputs'!I27</f>
        <v>17135</v>
      </c>
      <c r="J26" s="163">
        <f>'LFC inputs'!J27</f>
        <v>22386</v>
      </c>
      <c r="K26" s="163">
        <f>'LFC inputs'!K27</f>
        <v>26391</v>
      </c>
      <c r="L26" s="163">
        <f>'LFC inputs'!L27</f>
        <v>28877</v>
      </c>
      <c r="M26" s="163">
        <f>'LFC inputs'!M27</f>
        <v>28919</v>
      </c>
      <c r="N26" s="163">
        <f>'LFC inputs'!N27</f>
        <v>14277</v>
      </c>
      <c r="O26" s="37"/>
    </row>
    <row r="27" spans="1:15" x14ac:dyDescent="0.25">
      <c r="A27" s="35" t="s">
        <v>31</v>
      </c>
      <c r="B27" s="35" t="s">
        <v>11</v>
      </c>
      <c r="C27" s="14"/>
      <c r="D27" s="163">
        <f>'LFC inputs'!D28</f>
        <v>549</v>
      </c>
      <c r="E27" s="163">
        <f>'LFC inputs'!E28</f>
        <v>1928</v>
      </c>
      <c r="F27" s="163">
        <f>'LFC inputs'!F28</f>
        <v>3302</v>
      </c>
      <c r="G27" s="163">
        <f>'LFC inputs'!G28</f>
        <v>5315</v>
      </c>
      <c r="H27" s="163">
        <f>'LFC inputs'!H28</f>
        <v>8034</v>
      </c>
      <c r="I27" s="163">
        <f>'LFC inputs'!I28</f>
        <v>17135</v>
      </c>
      <c r="J27" s="163">
        <f>'LFC inputs'!J28</f>
        <v>22386</v>
      </c>
      <c r="K27" s="163">
        <f>'LFC inputs'!K28</f>
        <v>26391</v>
      </c>
      <c r="L27" s="163">
        <f>'LFC inputs'!L28</f>
        <v>28877</v>
      </c>
      <c r="M27" s="163">
        <f>'LFC inputs'!M28</f>
        <v>28919</v>
      </c>
      <c r="N27" s="163">
        <f>'LFC inputs'!N28</f>
        <v>14277</v>
      </c>
      <c r="O27" s="37"/>
    </row>
    <row r="28" spans="1:15" x14ac:dyDescent="0.25">
      <c r="A28" s="35" t="s">
        <v>41</v>
      </c>
      <c r="B28" s="35" t="s">
        <v>11</v>
      </c>
      <c r="D28" s="163">
        <f>('LFC inputs'!D30-'LFC inputs'!D29)*DCF!D81</f>
        <v>0</v>
      </c>
      <c r="E28" s="163">
        <f>('LFC inputs'!E30-'LFC inputs'!E29)*DCF!E81</f>
        <v>0</v>
      </c>
      <c r="F28" s="163">
        <f>('LFC inputs'!F30-'LFC inputs'!F29)*DCF!F81</f>
        <v>0</v>
      </c>
      <c r="G28" s="163">
        <f>('LFC inputs'!G30-'LFC inputs'!G29)*DCF!G81</f>
        <v>0</v>
      </c>
      <c r="H28" s="163">
        <f>('LFC inputs'!H30-'LFC inputs'!H29)*DCF!H81</f>
        <v>0</v>
      </c>
      <c r="I28" s="163">
        <f>('LFC inputs'!I30-'LFC inputs'!I29)*DCF!I81</f>
        <v>0</v>
      </c>
      <c r="J28" s="163">
        <f>('LFC inputs'!J30-'LFC inputs'!J29)*DCF!J81</f>
        <v>0</v>
      </c>
      <c r="K28" s="163">
        <f>('LFC inputs'!K30-'LFC inputs'!K29)*DCF!K81</f>
        <v>0</v>
      </c>
      <c r="L28" s="163">
        <f>('LFC inputs'!L30-'LFC inputs'!L29)*DCF!L81</f>
        <v>0</v>
      </c>
      <c r="M28" s="163">
        <f>('LFC inputs'!M30-'LFC inputs'!M29)*DCF!M81</f>
        <v>0</v>
      </c>
      <c r="N28" s="163">
        <f>('LFC inputs'!N30-'LFC inputs'!N29)*DCF!N81</f>
        <v>0</v>
      </c>
      <c r="O28" s="37"/>
    </row>
    <row r="29" spans="1:15" x14ac:dyDescent="0.25">
      <c r="A29" s="35" t="s">
        <v>42</v>
      </c>
      <c r="B29" s="15" t="s">
        <v>18</v>
      </c>
      <c r="C29" s="167">
        <v>0.28000000000000003</v>
      </c>
      <c r="D29" s="168">
        <v>0.28000000000000003</v>
      </c>
      <c r="E29" s="168">
        <v>0.28000000000000003</v>
      </c>
      <c r="F29" s="168">
        <v>0.28000000000000003</v>
      </c>
      <c r="G29" s="168">
        <v>0.28000000000000003</v>
      </c>
      <c r="H29" s="168">
        <v>0.28000000000000003</v>
      </c>
      <c r="I29" s="168">
        <v>0.28000000000000003</v>
      </c>
      <c r="J29" s="168">
        <v>0.28000000000000003</v>
      </c>
      <c r="K29" s="168">
        <v>0.28000000000000003</v>
      </c>
      <c r="L29" s="168">
        <v>0.28000000000000003</v>
      </c>
      <c r="M29" s="168">
        <v>0.28000000000000003</v>
      </c>
      <c r="N29" s="168">
        <v>0.28000000000000003</v>
      </c>
      <c r="O29" s="37"/>
    </row>
    <row r="30" spans="1:15" x14ac:dyDescent="0.25">
      <c r="O30" s="37"/>
    </row>
    <row r="31" spans="1:15" ht="21" x14ac:dyDescent="0.35">
      <c r="A31" s="40" t="s">
        <v>43</v>
      </c>
      <c r="C31" s="63"/>
      <c r="D31" s="63"/>
      <c r="E31" s="63"/>
      <c r="F31" s="63"/>
      <c r="G31" s="63"/>
      <c r="H31" s="63"/>
      <c r="I31" s="63"/>
      <c r="J31" s="63"/>
      <c r="K31" s="63"/>
      <c r="L31" s="63"/>
      <c r="M31" s="63"/>
      <c r="N31" s="63"/>
      <c r="O31" s="37"/>
    </row>
    <row r="32" spans="1:15" ht="18.75" x14ac:dyDescent="0.3">
      <c r="A32" s="33"/>
      <c r="C32" s="63">
        <f>$C$53</f>
        <v>40878</v>
      </c>
      <c r="D32" s="63">
        <f t="shared" ref="D32:M32" si="0">D58</f>
        <v>40985</v>
      </c>
      <c r="E32" s="63">
        <f t="shared" si="0"/>
        <v>41274</v>
      </c>
      <c r="F32" s="63">
        <f t="shared" si="0"/>
        <v>41639</v>
      </c>
      <c r="G32" s="63">
        <f t="shared" si="0"/>
        <v>42004</v>
      </c>
      <c r="H32" s="63">
        <f t="shared" si="0"/>
        <v>42369</v>
      </c>
      <c r="I32" s="63">
        <f t="shared" si="0"/>
        <v>42735</v>
      </c>
      <c r="J32" s="63">
        <f t="shared" si="0"/>
        <v>43100</v>
      </c>
      <c r="K32" s="63">
        <f t="shared" si="0"/>
        <v>43465</v>
      </c>
      <c r="L32" s="63">
        <f t="shared" si="0"/>
        <v>43830</v>
      </c>
      <c r="M32" s="63">
        <f t="shared" si="0"/>
        <v>44196</v>
      </c>
      <c r="N32" s="63">
        <f>N58</f>
        <v>44470</v>
      </c>
      <c r="O32" s="37"/>
    </row>
    <row r="33" spans="1:15" ht="18.75" x14ac:dyDescent="0.3">
      <c r="A33" s="33" t="s">
        <v>44</v>
      </c>
      <c r="O33" s="37"/>
    </row>
    <row r="34" spans="1:15" x14ac:dyDescent="0.25">
      <c r="A34" s="102" t="s">
        <v>45</v>
      </c>
      <c r="B34" s="39" t="s">
        <v>18</v>
      </c>
      <c r="C34" s="169">
        <v>3.4439355589869901E-2</v>
      </c>
      <c r="D34" s="169">
        <v>3.5926867547209723E-2</v>
      </c>
      <c r="E34" s="169">
        <v>2.9491233427637539E-2</v>
      </c>
      <c r="F34" s="169">
        <v>4.2810564262641598E-2</v>
      </c>
      <c r="G34" s="169">
        <v>3.7107340817272856E-2</v>
      </c>
      <c r="H34" s="169">
        <v>2.9666588558104414E-2</v>
      </c>
      <c r="I34" s="169">
        <v>2.7463493132139596E-2</v>
      </c>
      <c r="J34" s="169">
        <v>2.3080720370542783E-2</v>
      </c>
      <c r="K34" s="169">
        <v>2.0192888091034443E-2</v>
      </c>
      <c r="L34" s="169">
        <v>1.269775575319749E-2</v>
      </c>
      <c r="M34" s="169">
        <v>4.1481536760010857E-3</v>
      </c>
      <c r="N34" s="169">
        <v>1.552481461E-2</v>
      </c>
      <c r="O34" s="37"/>
    </row>
    <row r="35" spans="1:15" x14ac:dyDescent="0.25">
      <c r="A35" s="102" t="s">
        <v>46</v>
      </c>
      <c r="B35" s="39"/>
      <c r="C35" s="170">
        <v>0.5</v>
      </c>
      <c r="D35" s="170">
        <v>0.5</v>
      </c>
      <c r="E35" s="170">
        <v>0.5</v>
      </c>
      <c r="F35" s="170">
        <v>0.5</v>
      </c>
      <c r="G35" s="170">
        <v>0.5</v>
      </c>
      <c r="H35" s="170">
        <v>0.5</v>
      </c>
      <c r="I35" s="170">
        <v>0.5</v>
      </c>
      <c r="J35" s="170">
        <v>0.5</v>
      </c>
      <c r="K35" s="170">
        <v>0.5</v>
      </c>
      <c r="L35" s="170">
        <v>0.5</v>
      </c>
      <c r="M35" s="170">
        <v>0.5</v>
      </c>
      <c r="N35" s="170">
        <v>0.5</v>
      </c>
      <c r="O35" s="37"/>
    </row>
    <row r="36" spans="1:15" x14ac:dyDescent="0.25">
      <c r="A36" s="102" t="s">
        <v>47</v>
      </c>
      <c r="B36" s="16"/>
      <c r="C36" s="170">
        <v>0.7</v>
      </c>
      <c r="D36" s="170">
        <v>0.7</v>
      </c>
      <c r="E36" s="170">
        <v>0.7</v>
      </c>
      <c r="F36" s="170">
        <v>0.7</v>
      </c>
      <c r="G36" s="170">
        <v>0.7</v>
      </c>
      <c r="H36" s="170">
        <v>0.7</v>
      </c>
      <c r="I36" s="170">
        <v>0.7</v>
      </c>
      <c r="J36" s="170">
        <v>0.7</v>
      </c>
      <c r="K36" s="170">
        <v>0.7</v>
      </c>
      <c r="L36" s="170">
        <v>0.7</v>
      </c>
      <c r="M36" s="170">
        <v>0.7</v>
      </c>
      <c r="N36" s="170">
        <v>0.7</v>
      </c>
      <c r="O36" s="37"/>
    </row>
    <row r="37" spans="1:15" x14ac:dyDescent="0.25">
      <c r="A37" s="102" t="s">
        <v>48</v>
      </c>
      <c r="B37" s="39" t="s">
        <v>18</v>
      </c>
      <c r="C37" s="171">
        <v>7.0000000000000007E-2</v>
      </c>
      <c r="D37" s="171">
        <v>7.0000000000000007E-2</v>
      </c>
      <c r="E37" s="171">
        <v>7.0000000000000007E-2</v>
      </c>
      <c r="F37" s="171">
        <v>7.0000000000000007E-2</v>
      </c>
      <c r="G37" s="169">
        <v>7.0000000000000007E-2</v>
      </c>
      <c r="H37" s="169">
        <v>7.0000000000000007E-2</v>
      </c>
      <c r="I37" s="169">
        <v>7.0000000000000007E-2</v>
      </c>
      <c r="J37" s="169">
        <v>7.0000000000000007E-2</v>
      </c>
      <c r="K37" s="169">
        <v>7.0000000000000007E-2</v>
      </c>
      <c r="L37" s="169">
        <v>7.0000000000000007E-2</v>
      </c>
      <c r="M37" s="169">
        <v>7.3561643835616405E-2</v>
      </c>
      <c r="N37" s="169">
        <v>7.4999999999999997E-2</v>
      </c>
      <c r="O37" s="37"/>
    </row>
    <row r="38" spans="1:15" x14ac:dyDescent="0.25">
      <c r="A38" s="156" t="s">
        <v>49</v>
      </c>
      <c r="B38" s="57" t="s">
        <v>18</v>
      </c>
      <c r="C38" s="172">
        <v>0.28000000000000003</v>
      </c>
      <c r="D38" s="172">
        <v>0.28000000000000003</v>
      </c>
      <c r="E38" s="172">
        <v>0.28000000000000003</v>
      </c>
      <c r="F38" s="172">
        <v>0.28000000000000003</v>
      </c>
      <c r="G38" s="173">
        <v>0.28000000000000003</v>
      </c>
      <c r="H38" s="173">
        <v>0.28000000000000003</v>
      </c>
      <c r="I38" s="173">
        <v>0.28000000000000003</v>
      </c>
      <c r="J38" s="173">
        <v>0.28000000000000003</v>
      </c>
      <c r="K38" s="173">
        <v>0.28000000000000003</v>
      </c>
      <c r="L38" s="173">
        <v>0.28000000000000003</v>
      </c>
      <c r="M38" s="173">
        <v>0.28000000000000003</v>
      </c>
      <c r="N38" s="172">
        <v>0.28000000000000003</v>
      </c>
      <c r="O38" s="37"/>
    </row>
    <row r="39" spans="1:15" x14ac:dyDescent="0.25">
      <c r="A39" s="157" t="s">
        <v>44</v>
      </c>
      <c r="B39" s="55" t="s">
        <v>18</v>
      </c>
      <c r="C39" s="56">
        <f>C34*(1-C38)+C36*C37</f>
        <v>7.3796336024706324E-2</v>
      </c>
      <c r="D39" s="56">
        <f t="shared" ref="D39:N39" si="1">D34*(1-D38)+D36*D37</f>
        <v>7.4867344633991001E-2</v>
      </c>
      <c r="E39" s="56">
        <f t="shared" si="1"/>
        <v>7.0233688067899036E-2</v>
      </c>
      <c r="F39" s="56">
        <f t="shared" si="1"/>
        <v>7.9823606269101954E-2</v>
      </c>
      <c r="G39" s="56">
        <f t="shared" si="1"/>
        <v>7.5717285388436459E-2</v>
      </c>
      <c r="H39" s="56">
        <f t="shared" si="1"/>
        <v>7.0359943761835186E-2</v>
      </c>
      <c r="I39" s="56">
        <f t="shared" si="1"/>
        <v>6.8773715055140516E-2</v>
      </c>
      <c r="J39" s="56">
        <f t="shared" si="1"/>
        <v>6.5618118666790806E-2</v>
      </c>
      <c r="K39" s="56">
        <f t="shared" si="1"/>
        <v>6.35388794255448E-2</v>
      </c>
      <c r="L39" s="56">
        <f t="shared" si="1"/>
        <v>5.8142384142302196E-2</v>
      </c>
      <c r="M39" s="56">
        <f t="shared" si="1"/>
        <v>5.4479821331652266E-2</v>
      </c>
      <c r="N39" s="56">
        <f t="shared" si="1"/>
        <v>6.3677866519200002E-2</v>
      </c>
      <c r="O39" s="37"/>
    </row>
    <row r="40" spans="1:15" ht="18.75" x14ac:dyDescent="0.3">
      <c r="A40" s="33"/>
      <c r="O40" s="37"/>
    </row>
    <row r="41" spans="1:15" ht="18.75" x14ac:dyDescent="0.3">
      <c r="A41" s="33" t="s">
        <v>50</v>
      </c>
      <c r="C41" s="84"/>
      <c r="D41" s="84"/>
      <c r="E41" s="84"/>
      <c r="F41" s="84"/>
      <c r="G41" s="84"/>
      <c r="H41" s="84"/>
      <c r="I41" s="84"/>
      <c r="J41" s="84"/>
      <c r="K41" s="84"/>
      <c r="L41" s="84"/>
      <c r="M41" s="84"/>
      <c r="N41" s="84"/>
      <c r="O41" s="37"/>
    </row>
    <row r="42" spans="1:15" x14ac:dyDescent="0.25">
      <c r="A42" s="102" t="s">
        <v>45</v>
      </c>
      <c r="B42" s="39" t="s">
        <v>18</v>
      </c>
      <c r="C42" s="48">
        <f t="shared" ref="C42" si="2">C34</f>
        <v>3.4439355589869901E-2</v>
      </c>
      <c r="D42" s="48">
        <f t="shared" ref="D42:N42" si="3">D34</f>
        <v>3.5926867547209723E-2</v>
      </c>
      <c r="E42" s="48">
        <f t="shared" si="3"/>
        <v>2.9491233427637539E-2</v>
      </c>
      <c r="F42" s="48">
        <f t="shared" si="3"/>
        <v>4.2810564262641598E-2</v>
      </c>
      <c r="G42" s="78">
        <f t="shared" si="3"/>
        <v>3.7107340817272856E-2</v>
      </c>
      <c r="H42" s="78">
        <f t="shared" si="3"/>
        <v>2.9666588558104414E-2</v>
      </c>
      <c r="I42" s="78">
        <f t="shared" si="3"/>
        <v>2.7463493132139596E-2</v>
      </c>
      <c r="J42" s="78">
        <f t="shared" si="3"/>
        <v>2.3080720370542783E-2</v>
      </c>
      <c r="K42" s="78">
        <f t="shared" si="3"/>
        <v>2.0192888091034443E-2</v>
      </c>
      <c r="L42" s="78">
        <f t="shared" si="3"/>
        <v>1.269775575319749E-2</v>
      </c>
      <c r="M42" s="78">
        <f t="shared" si="3"/>
        <v>4.1481536760010857E-3</v>
      </c>
      <c r="N42" s="48">
        <f t="shared" si="3"/>
        <v>1.552481461E-2</v>
      </c>
      <c r="O42" s="37"/>
    </row>
    <row r="43" spans="1:15" x14ac:dyDescent="0.25">
      <c r="A43" s="102" t="s">
        <v>51</v>
      </c>
      <c r="B43" s="39" t="s">
        <v>18</v>
      </c>
      <c r="C43" s="169">
        <v>2.6499999999999999E-2</v>
      </c>
      <c r="D43" s="169">
        <v>2.7E-2</v>
      </c>
      <c r="E43" s="169">
        <v>2.1500000000000019E-2</v>
      </c>
      <c r="F43" s="169">
        <v>2.1000000000000001E-2</v>
      </c>
      <c r="G43" s="169">
        <v>1.7500000000000002E-2</v>
      </c>
      <c r="H43" s="169">
        <v>1.7500000000000002E-2</v>
      </c>
      <c r="I43" s="169">
        <v>1.8499999999999999E-2</v>
      </c>
      <c r="J43" s="169">
        <v>1.7999999999999999E-2</v>
      </c>
      <c r="K43" s="169">
        <v>1.9E-2</v>
      </c>
      <c r="L43" s="169">
        <v>1.55E-2</v>
      </c>
      <c r="M43" s="169">
        <v>1.4500000000000001E-2</v>
      </c>
      <c r="N43" s="169">
        <v>0.01</v>
      </c>
      <c r="O43" s="37"/>
    </row>
    <row r="44" spans="1:15" x14ac:dyDescent="0.25">
      <c r="A44" s="156" t="s">
        <v>52</v>
      </c>
      <c r="B44" s="57" t="s">
        <v>18</v>
      </c>
      <c r="C44" s="174">
        <v>1.4E-3</v>
      </c>
      <c r="D44" s="174">
        <v>1.4E-3</v>
      </c>
      <c r="E44" s="174">
        <v>1.4E-3</v>
      </c>
      <c r="F44" s="174">
        <v>1.4E-3</v>
      </c>
      <c r="G44" s="174">
        <v>1.4E-3</v>
      </c>
      <c r="H44" s="174">
        <v>1.4E-3</v>
      </c>
      <c r="I44" s="174">
        <v>1.4E-3</v>
      </c>
      <c r="J44" s="174">
        <v>1.4E-3</v>
      </c>
      <c r="K44" s="174">
        <v>1.4E-3</v>
      </c>
      <c r="L44" s="174">
        <v>1.4E-3</v>
      </c>
      <c r="M44" s="174">
        <v>1.4E-3</v>
      </c>
      <c r="N44" s="174">
        <v>1.4E-3</v>
      </c>
      <c r="O44" s="37"/>
    </row>
    <row r="45" spans="1:15" x14ac:dyDescent="0.25">
      <c r="A45" s="157" t="s">
        <v>50</v>
      </c>
      <c r="B45" s="55" t="s">
        <v>18</v>
      </c>
      <c r="C45" s="56">
        <f>C42+C43+C44</f>
        <v>6.2339355589869902E-2</v>
      </c>
      <c r="D45" s="56">
        <f t="shared" ref="D45:N45" si="4">D42+D43+D44</f>
        <v>6.4326867547209718E-2</v>
      </c>
      <c r="E45" s="56">
        <f t="shared" si="4"/>
        <v>5.239123342763756E-2</v>
      </c>
      <c r="F45" s="56">
        <f t="shared" si="4"/>
        <v>6.5210564262641602E-2</v>
      </c>
      <c r="G45" s="56">
        <f t="shared" si="4"/>
        <v>5.6007340817272856E-2</v>
      </c>
      <c r="H45" s="56">
        <f t="shared" si="4"/>
        <v>4.8566588558104418E-2</v>
      </c>
      <c r="I45" s="56">
        <f t="shared" si="4"/>
        <v>4.7363493132139597E-2</v>
      </c>
      <c r="J45" s="56">
        <f t="shared" si="4"/>
        <v>4.2480720370542777E-2</v>
      </c>
      <c r="K45" s="56">
        <f t="shared" si="4"/>
        <v>4.0592888091034438E-2</v>
      </c>
      <c r="L45" s="56">
        <f t="shared" si="4"/>
        <v>2.9597755753197487E-2</v>
      </c>
      <c r="M45" s="56">
        <f t="shared" si="4"/>
        <v>2.0048153676001084E-2</v>
      </c>
      <c r="N45" s="56">
        <f t="shared" si="4"/>
        <v>2.692481461E-2</v>
      </c>
      <c r="O45" s="37"/>
    </row>
    <row r="46" spans="1:15" ht="18.75" x14ac:dyDescent="0.3">
      <c r="A46" s="33"/>
      <c r="D46" s="29"/>
      <c r="E46" s="29"/>
      <c r="F46" s="29"/>
      <c r="G46" s="29"/>
      <c r="H46" s="29"/>
      <c r="I46" s="29"/>
      <c r="J46" s="29"/>
      <c r="K46" s="29"/>
      <c r="L46" s="29"/>
      <c r="M46" s="29"/>
      <c r="N46" s="29"/>
      <c r="O46" s="37"/>
    </row>
    <row r="47" spans="1:15" ht="18.75" x14ac:dyDescent="0.3">
      <c r="A47" s="33" t="s">
        <v>53</v>
      </c>
      <c r="O47" s="37"/>
    </row>
    <row r="48" spans="1:15" x14ac:dyDescent="0.25">
      <c r="A48" s="102" t="s">
        <v>54</v>
      </c>
      <c r="B48" s="34" t="s">
        <v>18</v>
      </c>
      <c r="C48" s="168">
        <v>0.28999999999999998</v>
      </c>
      <c r="D48" s="168">
        <v>0.28999999999999998</v>
      </c>
      <c r="E48" s="168">
        <v>0.28999999999999998</v>
      </c>
      <c r="F48" s="168">
        <v>0.28999999999999998</v>
      </c>
      <c r="G48" s="168">
        <v>0.28999999999999998</v>
      </c>
      <c r="H48" s="168">
        <v>0.28999999999999998</v>
      </c>
      <c r="I48" s="168">
        <v>0.28999999999999998</v>
      </c>
      <c r="J48" s="168">
        <v>0.28999999999999998</v>
      </c>
      <c r="K48" s="168">
        <v>0.28999999999999998</v>
      </c>
      <c r="L48" s="168">
        <v>0.28999999999999998</v>
      </c>
      <c r="M48" s="168">
        <v>0.28999999999999998</v>
      </c>
      <c r="N48" s="168">
        <v>0.28999999999999998</v>
      </c>
      <c r="O48" s="37"/>
    </row>
    <row r="49" spans="1:15" x14ac:dyDescent="0.25">
      <c r="A49" s="102"/>
      <c r="B49" s="34"/>
      <c r="C49" s="85"/>
      <c r="D49" s="85"/>
      <c r="E49" s="85"/>
      <c r="F49" s="85"/>
      <c r="G49" s="85"/>
      <c r="H49" s="85"/>
      <c r="I49" s="85"/>
      <c r="J49" s="85"/>
      <c r="K49" s="85"/>
      <c r="L49" s="85"/>
      <c r="M49" s="85"/>
      <c r="N49" s="85"/>
      <c r="O49" s="37"/>
    </row>
    <row r="50" spans="1:15" x14ac:dyDescent="0.25">
      <c r="A50" s="159" t="s">
        <v>43</v>
      </c>
      <c r="B50" s="39" t="s">
        <v>18</v>
      </c>
      <c r="C50" s="121">
        <f t="shared" ref="C50:N50" si="5">ROUND(C45*C48+C39*(1-C48),4)</f>
        <v>7.0499999999999993E-2</v>
      </c>
      <c r="D50" s="121">
        <f t="shared" si="5"/>
        <v>7.1800000000000003E-2</v>
      </c>
      <c r="E50" s="78">
        <f t="shared" si="5"/>
        <v>6.5100000000000005E-2</v>
      </c>
      <c r="F50" s="78">
        <f t="shared" si="5"/>
        <v>7.5600000000000001E-2</v>
      </c>
      <c r="G50" s="78">
        <f t="shared" si="5"/>
        <v>7.0000000000000007E-2</v>
      </c>
      <c r="H50" s="78">
        <f t="shared" si="5"/>
        <v>6.4000000000000001E-2</v>
      </c>
      <c r="I50" s="78">
        <f t="shared" si="5"/>
        <v>6.2600000000000003E-2</v>
      </c>
      <c r="J50" s="78">
        <f t="shared" si="5"/>
        <v>5.8900000000000001E-2</v>
      </c>
      <c r="K50" s="78">
        <f t="shared" si="5"/>
        <v>5.6899999999999999E-2</v>
      </c>
      <c r="L50" s="78">
        <f t="shared" si="5"/>
        <v>4.99E-2</v>
      </c>
      <c r="M50" s="78">
        <f t="shared" si="5"/>
        <v>4.4499999999999998E-2</v>
      </c>
      <c r="N50" s="78">
        <f t="shared" si="5"/>
        <v>5.2999999999999999E-2</v>
      </c>
      <c r="O50" s="37"/>
    </row>
    <row r="51" spans="1:15" x14ac:dyDescent="0.25">
      <c r="A51"/>
      <c r="O51" s="37"/>
    </row>
    <row r="52" spans="1:15" ht="21" x14ac:dyDescent="0.35">
      <c r="A52" s="40" t="s">
        <v>55</v>
      </c>
      <c r="C52" s="62" t="s">
        <v>5</v>
      </c>
      <c r="D52" s="62" t="s">
        <v>6</v>
      </c>
      <c r="E52" s="62" t="s">
        <v>7</v>
      </c>
      <c r="F52" s="62" t="s">
        <v>7</v>
      </c>
      <c r="G52" s="62" t="s">
        <v>7</v>
      </c>
      <c r="H52" s="62" t="s">
        <v>7</v>
      </c>
      <c r="I52" s="62" t="s">
        <v>7</v>
      </c>
      <c r="J52" s="62" t="s">
        <v>7</v>
      </c>
      <c r="K52" s="62" t="s">
        <v>7</v>
      </c>
      <c r="L52" s="62" t="s">
        <v>7</v>
      </c>
      <c r="M52" s="62" t="s">
        <v>7</v>
      </c>
      <c r="N52" s="62" t="s">
        <v>8</v>
      </c>
      <c r="O52" s="37"/>
    </row>
    <row r="53" spans="1:15" ht="15.75" customHeight="1" x14ac:dyDescent="0.25">
      <c r="A53" s="123"/>
      <c r="C53" s="63">
        <v>40878</v>
      </c>
      <c r="D53" s="63">
        <v>41090</v>
      </c>
      <c r="E53" s="63">
        <v>41455</v>
      </c>
      <c r="F53" s="63">
        <v>41820</v>
      </c>
      <c r="G53" s="63">
        <v>42185</v>
      </c>
      <c r="H53" s="63">
        <v>42551</v>
      </c>
      <c r="I53" s="63">
        <v>42916</v>
      </c>
      <c r="J53" s="63">
        <v>43281</v>
      </c>
      <c r="K53" s="63">
        <v>43646</v>
      </c>
      <c r="L53" s="63">
        <v>44012</v>
      </c>
      <c r="M53" s="63">
        <v>44377</v>
      </c>
      <c r="N53" s="63">
        <v>44561</v>
      </c>
      <c r="O53" s="37"/>
    </row>
    <row r="54" spans="1:15" x14ac:dyDescent="0.25">
      <c r="A54" s="102" t="s">
        <v>56</v>
      </c>
      <c r="B54" s="59" t="s">
        <v>57</v>
      </c>
      <c r="C54" s="59"/>
      <c r="D54" s="82">
        <f>D53-C53+1</f>
        <v>213</v>
      </c>
      <c r="E54" s="82">
        <f t="shared" ref="E54:N54" si="6">E53-D53</f>
        <v>365</v>
      </c>
      <c r="F54" s="82">
        <f t="shared" si="6"/>
        <v>365</v>
      </c>
      <c r="G54" s="82">
        <f t="shared" si="6"/>
        <v>365</v>
      </c>
      <c r="H54" s="82">
        <f t="shared" si="6"/>
        <v>366</v>
      </c>
      <c r="I54" s="82">
        <f t="shared" si="6"/>
        <v>365</v>
      </c>
      <c r="J54" s="82">
        <f t="shared" si="6"/>
        <v>365</v>
      </c>
      <c r="K54" s="82">
        <f t="shared" si="6"/>
        <v>365</v>
      </c>
      <c r="L54" s="82">
        <f t="shared" si="6"/>
        <v>366</v>
      </c>
      <c r="M54" s="82">
        <f t="shared" si="6"/>
        <v>365</v>
      </c>
      <c r="N54" s="82">
        <f t="shared" si="6"/>
        <v>184</v>
      </c>
      <c r="O54" s="37"/>
    </row>
    <row r="55" spans="1:15" ht="11.25" customHeight="1" x14ac:dyDescent="0.25">
      <c r="A55"/>
      <c r="E55" s="124"/>
      <c r="F55" s="124"/>
      <c r="G55" s="124"/>
      <c r="H55" s="124"/>
      <c r="I55" s="124"/>
      <c r="J55" s="124"/>
      <c r="K55" s="124"/>
      <c r="L55" s="124"/>
      <c r="M55" s="124"/>
      <c r="O55" s="37"/>
    </row>
    <row r="56" spans="1:15" ht="18.75" x14ac:dyDescent="0.3">
      <c r="A56" s="33" t="s">
        <v>58</v>
      </c>
      <c r="B56" s="158"/>
      <c r="C56" s="158"/>
      <c r="D56" s="158"/>
      <c r="E56" s="158"/>
      <c r="F56" s="158"/>
      <c r="G56" s="158"/>
      <c r="H56" s="158"/>
      <c r="I56" s="158"/>
      <c r="J56" s="158"/>
      <c r="K56" s="158"/>
      <c r="L56" s="158"/>
      <c r="M56" s="158"/>
      <c r="N56" s="158"/>
      <c r="O56" s="37"/>
    </row>
    <row r="57" spans="1:15" x14ac:dyDescent="0.25">
      <c r="A57" s="102" t="s">
        <v>59</v>
      </c>
      <c r="B57" s="59" t="s">
        <v>57</v>
      </c>
      <c r="C57" s="59"/>
      <c r="D57" s="82">
        <f t="shared" ref="D57:N57" si="7">ROUNDDOWN((D54/2),0)</f>
        <v>106</v>
      </c>
      <c r="E57" s="82">
        <f t="shared" si="7"/>
        <v>182</v>
      </c>
      <c r="F57" s="82">
        <f t="shared" si="7"/>
        <v>182</v>
      </c>
      <c r="G57" s="82">
        <f t="shared" si="7"/>
        <v>182</v>
      </c>
      <c r="H57" s="82">
        <f t="shared" si="7"/>
        <v>183</v>
      </c>
      <c r="I57" s="82">
        <f t="shared" si="7"/>
        <v>182</v>
      </c>
      <c r="J57" s="82">
        <f t="shared" si="7"/>
        <v>182</v>
      </c>
      <c r="K57" s="82">
        <f t="shared" si="7"/>
        <v>182</v>
      </c>
      <c r="L57" s="82">
        <f t="shared" si="7"/>
        <v>183</v>
      </c>
      <c r="M57" s="82">
        <f t="shared" si="7"/>
        <v>182</v>
      </c>
      <c r="N57" s="82">
        <f t="shared" si="7"/>
        <v>92</v>
      </c>
      <c r="O57" s="37"/>
    </row>
    <row r="58" spans="1:15" x14ac:dyDescent="0.25">
      <c r="A58" s="102" t="s">
        <v>60</v>
      </c>
      <c r="B58" s="59" t="s">
        <v>61</v>
      </c>
      <c r="C58" s="59"/>
      <c r="D58" s="114">
        <f t="shared" ref="D58:N58" si="8">D53-D57+1</f>
        <v>40985</v>
      </c>
      <c r="E58" s="114">
        <f t="shared" si="8"/>
        <v>41274</v>
      </c>
      <c r="F58" s="114">
        <f t="shared" si="8"/>
        <v>41639</v>
      </c>
      <c r="G58" s="114">
        <f t="shared" si="8"/>
        <v>42004</v>
      </c>
      <c r="H58" s="114">
        <f t="shared" si="8"/>
        <v>42369</v>
      </c>
      <c r="I58" s="114">
        <f t="shared" si="8"/>
        <v>42735</v>
      </c>
      <c r="J58" s="114">
        <f t="shared" si="8"/>
        <v>43100</v>
      </c>
      <c r="K58" s="114">
        <f t="shared" si="8"/>
        <v>43465</v>
      </c>
      <c r="L58" s="114">
        <f t="shared" si="8"/>
        <v>43830</v>
      </c>
      <c r="M58" s="114">
        <f t="shared" si="8"/>
        <v>44196</v>
      </c>
      <c r="N58" s="114">
        <f t="shared" si="8"/>
        <v>44470</v>
      </c>
      <c r="O58" s="37"/>
    </row>
    <row r="59" spans="1:15" x14ac:dyDescent="0.25">
      <c r="A59" s="102" t="s">
        <v>62</v>
      </c>
      <c r="B59" s="59" t="s">
        <v>57</v>
      </c>
      <c r="C59" s="59"/>
      <c r="D59" s="82">
        <f t="shared" ref="D59:M59" si="9">$N$53-D58</f>
        <v>3576</v>
      </c>
      <c r="E59" s="82">
        <f t="shared" si="9"/>
        <v>3287</v>
      </c>
      <c r="F59" s="82">
        <f t="shared" si="9"/>
        <v>2922</v>
      </c>
      <c r="G59" s="82">
        <f t="shared" si="9"/>
        <v>2557</v>
      </c>
      <c r="H59" s="82">
        <f t="shared" si="9"/>
        <v>2192</v>
      </c>
      <c r="I59" s="82">
        <f t="shared" si="9"/>
        <v>1826</v>
      </c>
      <c r="J59" s="82">
        <f t="shared" si="9"/>
        <v>1461</v>
      </c>
      <c r="K59" s="82">
        <f t="shared" si="9"/>
        <v>1096</v>
      </c>
      <c r="L59" s="82">
        <f t="shared" si="9"/>
        <v>731</v>
      </c>
      <c r="M59" s="82">
        <f t="shared" si="9"/>
        <v>365</v>
      </c>
      <c r="N59" s="82">
        <f>$N$53-N58</f>
        <v>91</v>
      </c>
      <c r="O59" s="37"/>
    </row>
    <row r="60" spans="1:15" x14ac:dyDescent="0.25">
      <c r="A60" s="102" t="s">
        <v>63</v>
      </c>
      <c r="B60" s="59" t="s">
        <v>64</v>
      </c>
      <c r="C60" s="59"/>
      <c r="D60" s="83">
        <f>D59/365.25</f>
        <v>9.7905544147843937</v>
      </c>
      <c r="E60" s="83">
        <f t="shared" ref="E60:N60" si="10">E59/365.25</f>
        <v>8.9993155373032163</v>
      </c>
      <c r="F60" s="83">
        <f t="shared" si="10"/>
        <v>8</v>
      </c>
      <c r="G60" s="83">
        <f t="shared" si="10"/>
        <v>7.0006844626967828</v>
      </c>
      <c r="H60" s="83">
        <f t="shared" si="10"/>
        <v>6.0013689253935665</v>
      </c>
      <c r="I60" s="83">
        <f t="shared" si="10"/>
        <v>4.9993155373032172</v>
      </c>
      <c r="J60" s="83">
        <f t="shared" si="10"/>
        <v>4</v>
      </c>
      <c r="K60" s="83">
        <f t="shared" si="10"/>
        <v>3.0006844626967832</v>
      </c>
      <c r="L60" s="83">
        <f t="shared" si="10"/>
        <v>2.001368925393566</v>
      </c>
      <c r="M60" s="83">
        <f t="shared" si="10"/>
        <v>0.99931553730321698</v>
      </c>
      <c r="N60" s="83">
        <f t="shared" si="10"/>
        <v>0.24914442162902123</v>
      </c>
      <c r="O60" s="37"/>
    </row>
    <row r="61" spans="1:15" ht="18.75" x14ac:dyDescent="0.3">
      <c r="A61" s="33"/>
      <c r="E61" s="124"/>
      <c r="F61" s="124"/>
      <c r="G61" s="124"/>
      <c r="H61" s="124"/>
      <c r="I61" s="124"/>
      <c r="J61" s="124"/>
      <c r="K61" s="124"/>
      <c r="L61" s="124"/>
      <c r="M61" s="124"/>
      <c r="O61" s="37"/>
    </row>
    <row r="62" spans="1:15" ht="18.75" x14ac:dyDescent="0.3">
      <c r="A62" s="33" t="s">
        <v>65</v>
      </c>
      <c r="N62" s="125"/>
      <c r="O62" s="37"/>
    </row>
    <row r="63" spans="1:15" x14ac:dyDescent="0.25">
      <c r="A63" s="102" t="s">
        <v>5</v>
      </c>
      <c r="B63" s="59" t="s">
        <v>61</v>
      </c>
      <c r="C63" s="114">
        <f>C53</f>
        <v>40878</v>
      </c>
      <c r="D63" s="50"/>
      <c r="E63" s="58"/>
      <c r="F63" s="58"/>
      <c r="G63" s="58"/>
      <c r="H63" s="58"/>
      <c r="I63" s="58"/>
      <c r="J63" s="58"/>
      <c r="K63" s="58"/>
      <c r="L63" s="58"/>
      <c r="M63" s="58"/>
      <c r="N63" s="58"/>
      <c r="O63" s="37"/>
    </row>
    <row r="64" spans="1:15" x14ac:dyDescent="0.25">
      <c r="A64" s="102" t="s">
        <v>66</v>
      </c>
      <c r="B64" s="59" t="s">
        <v>57</v>
      </c>
      <c r="C64" s="82">
        <f>$N$53-C63+1</f>
        <v>3684</v>
      </c>
      <c r="D64" s="50"/>
      <c r="E64" s="58"/>
      <c r="F64" s="58"/>
      <c r="G64" s="58"/>
      <c r="H64" s="58"/>
      <c r="I64" s="58"/>
      <c r="J64" s="58"/>
      <c r="K64" s="58"/>
      <c r="L64" s="58"/>
      <c r="M64" s="58"/>
      <c r="N64" s="58"/>
      <c r="O64" s="37"/>
    </row>
    <row r="65" spans="1:15" x14ac:dyDescent="0.25">
      <c r="A65" s="102" t="s">
        <v>63</v>
      </c>
      <c r="B65" s="59" t="s">
        <v>64</v>
      </c>
      <c r="C65" s="83">
        <f>C64/365.25</f>
        <v>10.086242299794661</v>
      </c>
      <c r="D65" s="82"/>
      <c r="E65" s="58"/>
      <c r="F65" s="58"/>
      <c r="G65" s="58"/>
      <c r="H65" s="58"/>
      <c r="I65" s="58"/>
      <c r="J65" s="58"/>
      <c r="K65" s="58"/>
      <c r="L65" s="58"/>
      <c r="M65" s="58"/>
      <c r="N65" s="58"/>
      <c r="O65" s="37"/>
    </row>
    <row r="66" spans="1:15" ht="18.75" x14ac:dyDescent="0.3">
      <c r="A66" s="33"/>
      <c r="E66" s="124"/>
      <c r="F66" s="124"/>
      <c r="G66" s="124"/>
      <c r="H66" s="124"/>
      <c r="I66" s="124"/>
      <c r="J66" s="124"/>
      <c r="K66" s="124"/>
      <c r="L66" s="124"/>
      <c r="M66" s="124"/>
      <c r="O66" s="37"/>
    </row>
    <row r="67" spans="1:15" ht="18.75" x14ac:dyDescent="0.3">
      <c r="A67" s="33" t="s">
        <v>67</v>
      </c>
      <c r="N67" s="125"/>
      <c r="O67" s="37"/>
    </row>
    <row r="68" spans="1:15" x14ac:dyDescent="0.25">
      <c r="A68" s="102" t="s">
        <v>68</v>
      </c>
      <c r="B68" s="59" t="s">
        <v>57</v>
      </c>
      <c r="C68" s="59"/>
      <c r="D68" s="82">
        <f t="shared" ref="D68:N68" si="11">ROUNDDOWN((D53-D69),0)</f>
        <v>72</v>
      </c>
      <c r="E68" s="82">
        <f t="shared" si="11"/>
        <v>148</v>
      </c>
      <c r="F68" s="82">
        <f t="shared" si="11"/>
        <v>148</v>
      </c>
      <c r="G68" s="82">
        <f t="shared" si="11"/>
        <v>148</v>
      </c>
      <c r="H68" s="82">
        <f t="shared" si="11"/>
        <v>149</v>
      </c>
      <c r="I68" s="82">
        <f t="shared" si="11"/>
        <v>148</v>
      </c>
      <c r="J68" s="82">
        <f t="shared" si="11"/>
        <v>148</v>
      </c>
      <c r="K68" s="82">
        <f t="shared" si="11"/>
        <v>148</v>
      </c>
      <c r="L68" s="82">
        <f t="shared" si="11"/>
        <v>149</v>
      </c>
      <c r="M68" s="82">
        <f t="shared" si="11"/>
        <v>148</v>
      </c>
      <c r="N68" s="82">
        <f t="shared" si="11"/>
        <v>58</v>
      </c>
      <c r="O68" s="37"/>
    </row>
    <row r="69" spans="1:15" x14ac:dyDescent="0.25">
      <c r="A69" s="102" t="s">
        <v>69</v>
      </c>
      <c r="B69" s="59" t="s">
        <v>61</v>
      </c>
      <c r="C69" s="59"/>
      <c r="D69" s="114">
        <f t="shared" ref="D69:N69" si="12">D$5-(INT(D$54/2))+34</f>
        <v>41018</v>
      </c>
      <c r="E69" s="126">
        <f t="shared" si="12"/>
        <v>41307</v>
      </c>
      <c r="F69" s="126">
        <f t="shared" si="12"/>
        <v>41672</v>
      </c>
      <c r="G69" s="126">
        <f t="shared" si="12"/>
        <v>42037</v>
      </c>
      <c r="H69" s="126">
        <f t="shared" si="12"/>
        <v>42402</v>
      </c>
      <c r="I69" s="126">
        <f t="shared" si="12"/>
        <v>42768</v>
      </c>
      <c r="J69" s="126">
        <f t="shared" si="12"/>
        <v>43133</v>
      </c>
      <c r="K69" s="126">
        <f t="shared" si="12"/>
        <v>43498</v>
      </c>
      <c r="L69" s="126">
        <f t="shared" si="12"/>
        <v>43863</v>
      </c>
      <c r="M69" s="126">
        <f t="shared" si="12"/>
        <v>44229</v>
      </c>
      <c r="N69" s="126">
        <f t="shared" si="12"/>
        <v>44503</v>
      </c>
      <c r="O69" s="37"/>
    </row>
    <row r="70" spans="1:15" x14ac:dyDescent="0.25">
      <c r="A70" s="102" t="s">
        <v>70</v>
      </c>
      <c r="B70" s="59" t="s">
        <v>57</v>
      </c>
      <c r="C70" s="59"/>
      <c r="D70" s="82">
        <f t="shared" ref="D70:M70" si="13">$N$53-D69</f>
        <v>3543</v>
      </c>
      <c r="E70" s="82">
        <f t="shared" si="13"/>
        <v>3254</v>
      </c>
      <c r="F70" s="82">
        <f t="shared" si="13"/>
        <v>2889</v>
      </c>
      <c r="G70" s="82">
        <f t="shared" si="13"/>
        <v>2524</v>
      </c>
      <c r="H70" s="82">
        <f t="shared" si="13"/>
        <v>2159</v>
      </c>
      <c r="I70" s="82">
        <f t="shared" si="13"/>
        <v>1793</v>
      </c>
      <c r="J70" s="82">
        <f t="shared" si="13"/>
        <v>1428</v>
      </c>
      <c r="K70" s="82">
        <f t="shared" si="13"/>
        <v>1063</v>
      </c>
      <c r="L70" s="82">
        <f t="shared" si="13"/>
        <v>698</v>
      </c>
      <c r="M70" s="82">
        <f t="shared" si="13"/>
        <v>332</v>
      </c>
      <c r="N70" s="82">
        <f>$N$53-N69</f>
        <v>58</v>
      </c>
      <c r="O70" s="37"/>
    </row>
    <row r="71" spans="1:15" x14ac:dyDescent="0.25">
      <c r="A71" s="102" t="s">
        <v>63</v>
      </c>
      <c r="B71" s="59" t="s">
        <v>64</v>
      </c>
      <c r="C71" s="59"/>
      <c r="D71" s="83">
        <f>D70/365.25</f>
        <v>9.7002053388090346</v>
      </c>
      <c r="E71" s="83">
        <f t="shared" ref="E71:M71" si="14">E70/365.25</f>
        <v>8.9089664613278572</v>
      </c>
      <c r="F71" s="83">
        <f t="shared" si="14"/>
        <v>7.9096509240246409</v>
      </c>
      <c r="G71" s="83">
        <f t="shared" si="14"/>
        <v>6.9103353867214237</v>
      </c>
      <c r="H71" s="83">
        <f t="shared" si="14"/>
        <v>5.9110198494182065</v>
      </c>
      <c r="I71" s="83">
        <f t="shared" si="14"/>
        <v>4.9089664613278572</v>
      </c>
      <c r="J71" s="83">
        <f t="shared" si="14"/>
        <v>3.9096509240246409</v>
      </c>
      <c r="K71" s="83">
        <f t="shared" si="14"/>
        <v>2.9103353867214237</v>
      </c>
      <c r="L71" s="83">
        <f t="shared" si="14"/>
        <v>1.9110198494182067</v>
      </c>
      <c r="M71" s="83">
        <f t="shared" si="14"/>
        <v>0.90896646132785763</v>
      </c>
      <c r="N71" s="83">
        <f t="shared" ref="N71" si="15">N70/365.25</f>
        <v>0.15879534565366188</v>
      </c>
      <c r="O71" s="37"/>
    </row>
    <row r="72" spans="1:15" x14ac:dyDescent="0.25">
      <c r="A72" s="32"/>
      <c r="B72" s="59"/>
      <c r="C72" s="59"/>
      <c r="D72" s="59"/>
      <c r="E72" s="50"/>
      <c r="F72" s="59"/>
      <c r="G72" s="59"/>
      <c r="H72" s="59"/>
      <c r="I72" s="59"/>
      <c r="J72" s="59"/>
      <c r="K72" s="59"/>
      <c r="L72" s="59"/>
      <c r="M72" s="59"/>
      <c r="N72" s="59"/>
      <c r="O72" s="37"/>
    </row>
    <row r="73" spans="1:15" ht="21" x14ac:dyDescent="0.35">
      <c r="A73" s="40" t="s">
        <v>71</v>
      </c>
      <c r="C73" s="62"/>
      <c r="D73" s="62"/>
      <c r="E73" s="62"/>
      <c r="F73" s="62"/>
      <c r="G73" s="62"/>
      <c r="H73" s="62"/>
      <c r="I73" s="62"/>
      <c r="J73" s="62"/>
      <c r="K73" s="62"/>
      <c r="L73" s="62"/>
      <c r="M73" s="62"/>
      <c r="N73" s="62"/>
      <c r="O73" s="37"/>
    </row>
    <row r="74" spans="1:15" ht="18.75" x14ac:dyDescent="0.3">
      <c r="A74" s="33"/>
      <c r="C74" s="63">
        <f>C53</f>
        <v>40878</v>
      </c>
      <c r="D74" s="63">
        <f t="shared" ref="D74:N74" si="16">D32</f>
        <v>40985</v>
      </c>
      <c r="E74" s="63">
        <f t="shared" si="16"/>
        <v>41274</v>
      </c>
      <c r="F74" s="63">
        <f t="shared" si="16"/>
        <v>41639</v>
      </c>
      <c r="G74" s="63">
        <f t="shared" si="16"/>
        <v>42004</v>
      </c>
      <c r="H74" s="63">
        <f t="shared" si="16"/>
        <v>42369</v>
      </c>
      <c r="I74" s="63">
        <f t="shared" si="16"/>
        <v>42735</v>
      </c>
      <c r="J74" s="63">
        <f t="shared" si="16"/>
        <v>43100</v>
      </c>
      <c r="K74" s="63">
        <f t="shared" si="16"/>
        <v>43465</v>
      </c>
      <c r="L74" s="63">
        <f t="shared" si="16"/>
        <v>43830</v>
      </c>
      <c r="M74" s="63">
        <f t="shared" si="16"/>
        <v>44196</v>
      </c>
      <c r="N74" s="63">
        <f t="shared" si="16"/>
        <v>44470</v>
      </c>
      <c r="O74" s="37"/>
    </row>
    <row r="75" spans="1:15" ht="14.25" customHeight="1" x14ac:dyDescent="0.3">
      <c r="A75" s="33"/>
      <c r="O75" s="37"/>
    </row>
    <row r="76" spans="1:15" ht="18.75" x14ac:dyDescent="0.3">
      <c r="A76" s="33" t="s">
        <v>72</v>
      </c>
      <c r="B76" s="39"/>
      <c r="C76" s="48"/>
      <c r="D76" s="48"/>
      <c r="E76" s="48"/>
      <c r="F76" s="48"/>
      <c r="G76" s="48"/>
      <c r="H76" s="48"/>
      <c r="I76" s="48"/>
      <c r="J76" s="48"/>
      <c r="K76" s="48"/>
      <c r="L76" s="48"/>
      <c r="M76" s="48"/>
      <c r="N76" s="48"/>
      <c r="O76" s="37"/>
    </row>
    <row r="77" spans="1:15" x14ac:dyDescent="0.25">
      <c r="A77" s="102" t="s">
        <v>63</v>
      </c>
      <c r="B77" s="59" t="s">
        <v>64</v>
      </c>
      <c r="C77" s="61"/>
      <c r="D77" s="61">
        <f t="shared" ref="D77:N77" si="17">D60</f>
        <v>9.7905544147843937</v>
      </c>
      <c r="E77" s="61">
        <f t="shared" si="17"/>
        <v>8.9993155373032163</v>
      </c>
      <c r="F77" s="61">
        <f t="shared" si="17"/>
        <v>8</v>
      </c>
      <c r="G77" s="61">
        <f t="shared" si="17"/>
        <v>7.0006844626967828</v>
      </c>
      <c r="H77" s="61">
        <f t="shared" si="17"/>
        <v>6.0013689253935665</v>
      </c>
      <c r="I77" s="61">
        <f t="shared" si="17"/>
        <v>4.9993155373032172</v>
      </c>
      <c r="J77" s="61">
        <f t="shared" si="17"/>
        <v>4</v>
      </c>
      <c r="K77" s="61">
        <f t="shared" si="17"/>
        <v>3.0006844626967832</v>
      </c>
      <c r="L77" s="61">
        <f t="shared" si="17"/>
        <v>2.001368925393566</v>
      </c>
      <c r="M77" s="61">
        <f t="shared" si="17"/>
        <v>0.99931553730321698</v>
      </c>
      <c r="N77" s="61">
        <f t="shared" si="17"/>
        <v>0.24914442162902123</v>
      </c>
      <c r="O77" s="37"/>
    </row>
    <row r="78" spans="1:15" x14ac:dyDescent="0.25">
      <c r="A78" s="102" t="s">
        <v>73</v>
      </c>
      <c r="B78" s="59" t="s">
        <v>74</v>
      </c>
      <c r="C78" s="73"/>
      <c r="D78" s="61">
        <f t="shared" ref="D78:N78" si="18">1+D50</f>
        <v>1.0718000000000001</v>
      </c>
      <c r="E78" s="61">
        <f t="shared" si="18"/>
        <v>1.0650999999999999</v>
      </c>
      <c r="F78" s="61">
        <f t="shared" si="18"/>
        <v>1.0756000000000001</v>
      </c>
      <c r="G78" s="61">
        <f t="shared" si="18"/>
        <v>1.07</v>
      </c>
      <c r="H78" s="61">
        <f t="shared" si="18"/>
        <v>1.0640000000000001</v>
      </c>
      <c r="I78" s="61">
        <f t="shared" si="18"/>
        <v>1.0626</v>
      </c>
      <c r="J78" s="61">
        <f t="shared" si="18"/>
        <v>1.0589</v>
      </c>
      <c r="K78" s="61">
        <f t="shared" si="18"/>
        <v>1.0569</v>
      </c>
      <c r="L78" s="61">
        <f t="shared" si="18"/>
        <v>1.0499000000000001</v>
      </c>
      <c r="M78" s="61">
        <f t="shared" si="18"/>
        <v>1.0445</v>
      </c>
      <c r="N78" s="61">
        <f t="shared" si="18"/>
        <v>1.0529999999999999</v>
      </c>
      <c r="O78" s="37"/>
    </row>
    <row r="79" spans="1:15" x14ac:dyDescent="0.25">
      <c r="A79" s="102" t="s">
        <v>75</v>
      </c>
      <c r="B79" s="59" t="s">
        <v>76</v>
      </c>
      <c r="C79" s="59"/>
      <c r="D79" s="61">
        <f t="shared" ref="D79:N79" si="19">D78^D77</f>
        <v>1.9716523217775115</v>
      </c>
      <c r="E79" s="61">
        <f t="shared" si="19"/>
        <v>1.76398429597453</v>
      </c>
      <c r="F79" s="61">
        <f t="shared" si="19"/>
        <v>1.7914568352908242</v>
      </c>
      <c r="G79" s="61">
        <f t="shared" si="19"/>
        <v>1.6058558416530693</v>
      </c>
      <c r="H79" s="61">
        <f t="shared" si="19"/>
        <v>1.4510642711998849</v>
      </c>
      <c r="I79" s="61">
        <f t="shared" si="19"/>
        <v>1.3546621879514464</v>
      </c>
      <c r="J79" s="61">
        <f t="shared" si="19"/>
        <v>1.2572446412940239</v>
      </c>
      <c r="K79" s="61">
        <f t="shared" si="19"/>
        <v>1.1806417697833558</v>
      </c>
      <c r="L79" s="61">
        <f t="shared" si="19"/>
        <v>1.1023634907865856</v>
      </c>
      <c r="M79" s="61">
        <f t="shared" si="19"/>
        <v>1.0444688740048842</v>
      </c>
      <c r="N79" s="83">
        <f t="shared" si="19"/>
        <v>1.0129497546107082</v>
      </c>
      <c r="O79" s="37"/>
    </row>
    <row r="80" spans="1:15" x14ac:dyDescent="0.25">
      <c r="A80" s="32"/>
      <c r="B80" s="59"/>
      <c r="C80" s="59"/>
      <c r="D80" s="65"/>
      <c r="E80" s="65"/>
      <c r="F80" s="65"/>
      <c r="G80" s="65"/>
      <c r="H80" s="65"/>
      <c r="I80" s="65"/>
      <c r="J80" s="65"/>
      <c r="K80" s="65"/>
      <c r="L80" s="65"/>
      <c r="M80" s="65"/>
      <c r="N80" s="65"/>
      <c r="O80" s="37"/>
    </row>
    <row r="81" spans="1:15" ht="18.75" x14ac:dyDescent="0.3">
      <c r="A81" s="33" t="s">
        <v>77</v>
      </c>
      <c r="N81" s="54"/>
      <c r="O81" s="37"/>
    </row>
    <row r="82" spans="1:15" x14ac:dyDescent="0.25">
      <c r="A82" s="102" t="s">
        <v>63</v>
      </c>
      <c r="B82" s="59" t="s">
        <v>64</v>
      </c>
      <c r="C82" s="83">
        <f>C65</f>
        <v>10.086242299794661</v>
      </c>
      <c r="D82" s="60"/>
      <c r="E82" s="58"/>
      <c r="F82" s="58"/>
      <c r="G82" s="58"/>
      <c r="H82" s="58"/>
      <c r="I82" s="58"/>
      <c r="J82" s="58"/>
      <c r="K82" s="58"/>
      <c r="L82" s="58"/>
      <c r="M82" s="58"/>
      <c r="N82" s="58"/>
      <c r="O82" s="37"/>
    </row>
    <row r="83" spans="1:15" x14ac:dyDescent="0.25">
      <c r="A83" s="102" t="s">
        <v>73</v>
      </c>
      <c r="B83" s="59" t="s">
        <v>74</v>
      </c>
      <c r="C83" s="83">
        <f>1+C50</f>
        <v>1.0705</v>
      </c>
      <c r="D83" s="74"/>
      <c r="E83" s="74"/>
      <c r="F83" s="74"/>
      <c r="G83" s="74"/>
      <c r="H83" s="74"/>
      <c r="I83" s="74"/>
      <c r="J83" s="74"/>
      <c r="K83" s="74"/>
      <c r="L83" s="74"/>
      <c r="M83" s="74"/>
      <c r="N83" s="74"/>
      <c r="O83" s="37"/>
    </row>
    <row r="84" spans="1:15" x14ac:dyDescent="0.25">
      <c r="A84" s="102" t="s">
        <v>78</v>
      </c>
      <c r="B84" s="59" t="s">
        <v>76</v>
      </c>
      <c r="C84" s="83">
        <f>C83^C82</f>
        <v>1.9880089667234626</v>
      </c>
      <c r="D84" s="74"/>
      <c r="E84" s="74"/>
      <c r="F84" s="74"/>
      <c r="G84" s="74"/>
      <c r="H84" s="74"/>
      <c r="I84" s="74"/>
      <c r="J84" s="74"/>
      <c r="K84" s="74"/>
      <c r="L84" s="74"/>
      <c r="M84" s="74"/>
      <c r="N84" s="74"/>
      <c r="O84" s="37"/>
    </row>
    <row r="85" spans="1:15" x14ac:dyDescent="0.25">
      <c r="A85" s="32"/>
      <c r="B85" s="59"/>
      <c r="C85" s="59"/>
      <c r="D85" s="59"/>
      <c r="E85" s="59"/>
      <c r="F85" s="59"/>
      <c r="G85" s="59"/>
      <c r="H85" s="59"/>
      <c r="I85" s="59"/>
      <c r="J85" s="59"/>
      <c r="K85" s="59"/>
      <c r="L85" s="59"/>
      <c r="M85" s="59"/>
      <c r="N85" s="59"/>
      <c r="O85" s="37"/>
    </row>
    <row r="86" spans="1:15" ht="18.75" x14ac:dyDescent="0.3">
      <c r="A86" s="33" t="s">
        <v>79</v>
      </c>
      <c r="N86" s="54"/>
      <c r="O86" s="37"/>
    </row>
    <row r="87" spans="1:15" x14ac:dyDescent="0.25">
      <c r="A87" s="102" t="s">
        <v>63</v>
      </c>
      <c r="B87" s="59" t="s">
        <v>64</v>
      </c>
      <c r="C87" s="59"/>
      <c r="D87" s="61">
        <f t="shared" ref="D87:N87" si="20">D71</f>
        <v>9.7002053388090346</v>
      </c>
      <c r="E87" s="61">
        <f t="shared" si="20"/>
        <v>8.9089664613278572</v>
      </c>
      <c r="F87" s="61">
        <f t="shared" si="20"/>
        <v>7.9096509240246409</v>
      </c>
      <c r="G87" s="61">
        <f t="shared" si="20"/>
        <v>6.9103353867214237</v>
      </c>
      <c r="H87" s="61">
        <f t="shared" si="20"/>
        <v>5.9110198494182065</v>
      </c>
      <c r="I87" s="61">
        <f t="shared" si="20"/>
        <v>4.9089664613278572</v>
      </c>
      <c r="J87" s="61">
        <f t="shared" si="20"/>
        <v>3.9096509240246409</v>
      </c>
      <c r="K87" s="61">
        <f t="shared" si="20"/>
        <v>2.9103353867214237</v>
      </c>
      <c r="L87" s="61">
        <f t="shared" si="20"/>
        <v>1.9110198494182067</v>
      </c>
      <c r="M87" s="61">
        <f t="shared" si="20"/>
        <v>0.90896646132785763</v>
      </c>
      <c r="N87" s="61">
        <f t="shared" si="20"/>
        <v>0.15879534565366188</v>
      </c>
      <c r="O87" s="37"/>
    </row>
    <row r="88" spans="1:15" x14ac:dyDescent="0.25">
      <c r="A88" s="102" t="s">
        <v>73</v>
      </c>
      <c r="B88" s="59" t="s">
        <v>74</v>
      </c>
      <c r="C88" s="59"/>
      <c r="D88" s="61">
        <f t="shared" ref="D88:N88" si="21">1+D50</f>
        <v>1.0718000000000001</v>
      </c>
      <c r="E88" s="61">
        <f t="shared" si="21"/>
        <v>1.0650999999999999</v>
      </c>
      <c r="F88" s="61">
        <f t="shared" si="21"/>
        <v>1.0756000000000001</v>
      </c>
      <c r="G88" s="61">
        <f t="shared" si="21"/>
        <v>1.07</v>
      </c>
      <c r="H88" s="61">
        <f t="shared" si="21"/>
        <v>1.0640000000000001</v>
      </c>
      <c r="I88" s="61">
        <f t="shared" si="21"/>
        <v>1.0626</v>
      </c>
      <c r="J88" s="61">
        <f t="shared" si="21"/>
        <v>1.0589</v>
      </c>
      <c r="K88" s="61">
        <f t="shared" si="21"/>
        <v>1.0569</v>
      </c>
      <c r="L88" s="61">
        <f t="shared" si="21"/>
        <v>1.0499000000000001</v>
      </c>
      <c r="M88" s="61">
        <f t="shared" si="21"/>
        <v>1.0445</v>
      </c>
      <c r="N88" s="61">
        <f t="shared" si="21"/>
        <v>1.0529999999999999</v>
      </c>
      <c r="O88" s="37"/>
    </row>
    <row r="89" spans="1:15" x14ac:dyDescent="0.25">
      <c r="A89" s="102" t="s">
        <v>80</v>
      </c>
      <c r="B89" s="59" t="s">
        <v>76</v>
      </c>
      <c r="C89" s="59"/>
      <c r="D89" s="61">
        <f t="shared" ref="D89:N89" si="22">D88^D87</f>
        <v>1.9593390078055666</v>
      </c>
      <c r="E89" s="61">
        <f t="shared" si="22"/>
        <v>1.7539613476843365</v>
      </c>
      <c r="F89" s="61">
        <f t="shared" si="22"/>
        <v>1.7796997050243895</v>
      </c>
      <c r="G89" s="61">
        <f t="shared" si="22"/>
        <v>1.5960693536738424</v>
      </c>
      <c r="H89" s="61">
        <f t="shared" si="22"/>
        <v>1.4429540372853003</v>
      </c>
      <c r="I89" s="61">
        <f t="shared" si="22"/>
        <v>1.3472510185593161</v>
      </c>
      <c r="J89" s="61">
        <f t="shared" si="22"/>
        <v>1.2507605408411417</v>
      </c>
      <c r="K89" s="61">
        <f t="shared" si="22"/>
        <v>1.1747533807929349</v>
      </c>
      <c r="L89" s="61">
        <f t="shared" si="22"/>
        <v>1.0975242502539282</v>
      </c>
      <c r="M89" s="61">
        <f t="shared" si="22"/>
        <v>1.0403683741122254</v>
      </c>
      <c r="N89" s="83">
        <f t="shared" si="22"/>
        <v>1.0082344229478826</v>
      </c>
      <c r="O89" s="37"/>
    </row>
    <row r="90" spans="1:15" x14ac:dyDescent="0.25">
      <c r="A90" s="32"/>
      <c r="B90" s="59"/>
      <c r="C90" s="59"/>
      <c r="D90" s="86"/>
      <c r="E90" s="86"/>
      <c r="F90" s="86"/>
      <c r="G90" s="86"/>
      <c r="H90" s="86"/>
      <c r="I90" s="86"/>
      <c r="J90" s="86"/>
      <c r="K90" s="86"/>
      <c r="L90" s="86"/>
      <c r="M90" s="86"/>
      <c r="N90" s="86"/>
      <c r="O90" s="37"/>
    </row>
    <row r="91" spans="1:15" ht="21" x14ac:dyDescent="0.35">
      <c r="A91" s="40" t="s">
        <v>81</v>
      </c>
      <c r="C91" s="62" t="s">
        <v>5</v>
      </c>
      <c r="D91" s="62" t="s">
        <v>6</v>
      </c>
      <c r="E91" s="62" t="s">
        <v>7</v>
      </c>
      <c r="F91" s="62" t="s">
        <v>7</v>
      </c>
      <c r="G91" s="62" t="s">
        <v>7</v>
      </c>
      <c r="H91" s="62" t="s">
        <v>7</v>
      </c>
      <c r="I91" s="62" t="s">
        <v>7</v>
      </c>
      <c r="J91" s="62" t="s">
        <v>7</v>
      </c>
      <c r="K91" s="62" t="s">
        <v>7</v>
      </c>
      <c r="L91" s="62" t="s">
        <v>7</v>
      </c>
      <c r="M91" s="62" t="s">
        <v>7</v>
      </c>
      <c r="N91" s="62" t="s">
        <v>8</v>
      </c>
      <c r="O91" s="37"/>
    </row>
    <row r="92" spans="1:15" ht="18.75" x14ac:dyDescent="0.3">
      <c r="A92" s="33"/>
      <c r="C92" s="63">
        <f>$C$53</f>
        <v>40878</v>
      </c>
      <c r="D92" s="63">
        <f>$D$53</f>
        <v>41090</v>
      </c>
      <c r="E92" s="63">
        <f>$E$53</f>
        <v>41455</v>
      </c>
      <c r="F92" s="63">
        <f>$F$53</f>
        <v>41820</v>
      </c>
      <c r="G92" s="63">
        <f>$G$53</f>
        <v>42185</v>
      </c>
      <c r="H92" s="63">
        <f>$H$53</f>
        <v>42551</v>
      </c>
      <c r="I92" s="63">
        <f>$I$53</f>
        <v>42916</v>
      </c>
      <c r="J92" s="63">
        <f>$J$53</f>
        <v>43281</v>
      </c>
      <c r="K92" s="63">
        <f>$K$53</f>
        <v>43646</v>
      </c>
      <c r="L92" s="63">
        <f>$L$53</f>
        <v>44012</v>
      </c>
      <c r="M92" s="63">
        <f>$M$53</f>
        <v>44377</v>
      </c>
      <c r="N92" s="63">
        <f>N$53</f>
        <v>44561</v>
      </c>
      <c r="O92" s="37"/>
    </row>
    <row r="93" spans="1:15" ht="18.75" x14ac:dyDescent="0.3">
      <c r="A93" s="33" t="s">
        <v>34</v>
      </c>
      <c r="O93" s="37"/>
    </row>
    <row r="94" spans="1:15" x14ac:dyDescent="0.25">
      <c r="A94" s="102" t="s">
        <v>82</v>
      </c>
      <c r="B94" s="35" t="s">
        <v>11</v>
      </c>
      <c r="C94" s="163"/>
      <c r="D94" s="163">
        <f>'LFC inputs'!D33-'LFC inputs'!D34</f>
        <v>2227</v>
      </c>
      <c r="E94" s="163">
        <f>'LFC inputs'!E33-'LFC inputs'!E34</f>
        <v>10052</v>
      </c>
      <c r="F94" s="163">
        <f>'LFC inputs'!F33-'LFC inputs'!F34</f>
        <v>23897</v>
      </c>
      <c r="G94" s="163">
        <f>'LFC inputs'!G33-'LFC inputs'!G34</f>
        <v>19630</v>
      </c>
      <c r="H94" s="163">
        <f>'LFC inputs'!H33-'LFC inputs'!H34</f>
        <v>28089</v>
      </c>
      <c r="I94" s="163">
        <f>'LFC inputs'!I33-'LFC inputs'!I34</f>
        <v>36607</v>
      </c>
      <c r="J94" s="163">
        <f>'LFC inputs'!J33-'LFC inputs'!J34</f>
        <v>29493</v>
      </c>
      <c r="K94" s="163">
        <f>'LFC inputs'!K33-'LFC inputs'!K34</f>
        <v>4206</v>
      </c>
      <c r="L94" s="163">
        <f>'LFC inputs'!L33-'LFC inputs'!L34</f>
        <v>5592</v>
      </c>
      <c r="M94" s="163">
        <f>'LFC inputs'!M33-'LFC inputs'!M34</f>
        <v>-159793.465</v>
      </c>
      <c r="N94" s="163">
        <f>'LFC inputs'!N33-'LFC inputs'!N34</f>
        <v>0</v>
      </c>
      <c r="O94" s="37"/>
    </row>
    <row r="95" spans="1:15" x14ac:dyDescent="0.25">
      <c r="A95" s="102" t="s">
        <v>83</v>
      </c>
      <c r="B95" s="35" t="s">
        <v>18</v>
      </c>
      <c r="C95" s="14"/>
      <c r="D95" s="164">
        <f>'LFC inputs'!D35</f>
        <v>0.82801975752132917</v>
      </c>
      <c r="E95" s="164">
        <f>'LFC inputs'!E35</f>
        <v>0.85027855153203347</v>
      </c>
      <c r="F95" s="164">
        <f>'LFC inputs'!F35</f>
        <v>0.81951709419592422</v>
      </c>
      <c r="G95" s="164">
        <f>'LFC inputs'!G35</f>
        <v>0.65043301069791137</v>
      </c>
      <c r="H95" s="164">
        <f>'LFC inputs'!H35</f>
        <v>0.75809035565523875</v>
      </c>
      <c r="I95" s="164">
        <f>'LFC inputs'!I35</f>
        <v>1</v>
      </c>
      <c r="J95" s="164">
        <f>'LFC inputs'!J35</f>
        <v>1</v>
      </c>
      <c r="K95" s="164">
        <f>'LFC inputs'!K35</f>
        <v>1</v>
      </c>
      <c r="L95" s="164">
        <f>'LFC inputs'!L35</f>
        <v>1</v>
      </c>
      <c r="M95" s="164">
        <f>'LFC inputs'!M35</f>
        <v>1</v>
      </c>
      <c r="N95" s="164">
        <f>'LFC inputs'!N35</f>
        <v>1</v>
      </c>
      <c r="O95" s="37"/>
    </row>
    <row r="96" spans="1:15" x14ac:dyDescent="0.25">
      <c r="A96" s="102" t="s">
        <v>84</v>
      </c>
      <c r="B96" s="35" t="s">
        <v>11</v>
      </c>
      <c r="C96" s="59"/>
      <c r="D96" s="163">
        <f>D95*D94</f>
        <v>1844</v>
      </c>
      <c r="E96" s="163">
        <f t="shared" ref="E96:N96" si="23">E95*E94</f>
        <v>8547</v>
      </c>
      <c r="F96" s="163">
        <f t="shared" si="23"/>
        <v>19584</v>
      </c>
      <c r="G96" s="163">
        <f t="shared" si="23"/>
        <v>12768</v>
      </c>
      <c r="H96" s="163">
        <f t="shared" si="23"/>
        <v>21294</v>
      </c>
      <c r="I96" s="163">
        <f t="shared" si="23"/>
        <v>36607</v>
      </c>
      <c r="J96" s="163">
        <f t="shared" si="23"/>
        <v>29493</v>
      </c>
      <c r="K96" s="163">
        <f t="shared" si="23"/>
        <v>4206</v>
      </c>
      <c r="L96" s="163">
        <f t="shared" si="23"/>
        <v>5592</v>
      </c>
      <c r="M96" s="163">
        <f t="shared" si="23"/>
        <v>-159793.465</v>
      </c>
      <c r="N96" s="163">
        <f t="shared" si="23"/>
        <v>0</v>
      </c>
      <c r="O96" s="37"/>
    </row>
    <row r="97" spans="1:15" x14ac:dyDescent="0.25">
      <c r="A97" s="102" t="s">
        <v>85</v>
      </c>
      <c r="B97" s="35" t="s">
        <v>11</v>
      </c>
      <c r="C97" s="59"/>
      <c r="D97" s="95">
        <f>(1-D95)*D94</f>
        <v>382.99999999999994</v>
      </c>
      <c r="E97" s="95">
        <f t="shared" ref="E97:N97" si="24">(1-E95)*E94</f>
        <v>1504.9999999999995</v>
      </c>
      <c r="F97" s="95">
        <f t="shared" si="24"/>
        <v>4312.9999999999991</v>
      </c>
      <c r="G97" s="95">
        <f t="shared" si="24"/>
        <v>6862</v>
      </c>
      <c r="H97" s="95">
        <f t="shared" si="24"/>
        <v>6794.9999999999991</v>
      </c>
      <c r="I97" s="95">
        <f t="shared" si="24"/>
        <v>0</v>
      </c>
      <c r="J97" s="95">
        <f t="shared" si="24"/>
        <v>0</v>
      </c>
      <c r="K97" s="95">
        <f t="shared" si="24"/>
        <v>0</v>
      </c>
      <c r="L97" s="95">
        <f t="shared" si="24"/>
        <v>0</v>
      </c>
      <c r="M97" s="95">
        <f t="shared" si="24"/>
        <v>0</v>
      </c>
      <c r="N97" s="95">
        <f t="shared" si="24"/>
        <v>0</v>
      </c>
      <c r="O97" s="37"/>
    </row>
    <row r="98" spans="1:15" x14ac:dyDescent="0.25">
      <c r="A98" s="102"/>
      <c r="B98" s="59"/>
      <c r="C98" s="59"/>
      <c r="D98" s="92"/>
      <c r="E98" s="92"/>
      <c r="F98" s="92"/>
      <c r="G98" s="92"/>
      <c r="H98" s="92"/>
      <c r="I98" s="92"/>
      <c r="J98" s="92"/>
      <c r="K98" s="92"/>
      <c r="L98" s="92"/>
      <c r="M98" s="92"/>
      <c r="N98" s="92"/>
      <c r="O98" s="37"/>
    </row>
    <row r="99" spans="1:15" ht="18.75" x14ac:dyDescent="0.3">
      <c r="A99" s="33" t="s">
        <v>86</v>
      </c>
      <c r="O99" s="37"/>
    </row>
    <row r="100" spans="1:15" x14ac:dyDescent="0.25">
      <c r="A100" s="102" t="s">
        <v>87</v>
      </c>
      <c r="B100" s="32" t="s">
        <v>18</v>
      </c>
      <c r="C100" s="59"/>
      <c r="D100" s="92">
        <f>D$45</f>
        <v>6.4326867547209718E-2</v>
      </c>
      <c r="E100" s="92">
        <f t="shared" ref="E100:N100" si="25">E$45</f>
        <v>5.239123342763756E-2</v>
      </c>
      <c r="F100" s="92">
        <f t="shared" si="25"/>
        <v>6.5210564262641602E-2</v>
      </c>
      <c r="G100" s="92">
        <f t="shared" si="25"/>
        <v>5.6007340817272856E-2</v>
      </c>
      <c r="H100" s="92">
        <f t="shared" si="25"/>
        <v>4.8566588558104418E-2</v>
      </c>
      <c r="I100" s="92">
        <f t="shared" si="25"/>
        <v>4.7363493132139597E-2</v>
      </c>
      <c r="J100" s="92">
        <f t="shared" si="25"/>
        <v>4.2480720370542777E-2</v>
      </c>
      <c r="K100" s="92">
        <f t="shared" si="25"/>
        <v>4.0592888091034438E-2</v>
      </c>
      <c r="L100" s="92">
        <f t="shared" si="25"/>
        <v>2.9597755753197487E-2</v>
      </c>
      <c r="M100" s="92">
        <f t="shared" si="25"/>
        <v>2.0048153676001084E-2</v>
      </c>
      <c r="N100" s="92">
        <f t="shared" si="25"/>
        <v>2.692481461E-2</v>
      </c>
      <c r="O100" s="37"/>
    </row>
    <row r="101" spans="1:15" x14ac:dyDescent="0.25">
      <c r="A101" s="102" t="s">
        <v>88</v>
      </c>
      <c r="B101" s="32" t="s">
        <v>18</v>
      </c>
      <c r="C101" s="59"/>
      <c r="D101" s="92">
        <f t="shared" ref="D101:N101" si="26">D$39</f>
        <v>7.4867344633991001E-2</v>
      </c>
      <c r="E101" s="92">
        <f t="shared" si="26"/>
        <v>7.0233688067899036E-2</v>
      </c>
      <c r="F101" s="92">
        <f t="shared" si="26"/>
        <v>7.9823606269101954E-2</v>
      </c>
      <c r="G101" s="92">
        <f t="shared" si="26"/>
        <v>7.5717285388436459E-2</v>
      </c>
      <c r="H101" s="92">
        <f t="shared" si="26"/>
        <v>7.0359943761835186E-2</v>
      </c>
      <c r="I101" s="92">
        <f t="shared" si="26"/>
        <v>6.8773715055140516E-2</v>
      </c>
      <c r="J101" s="92">
        <f t="shared" si="26"/>
        <v>6.5618118666790806E-2</v>
      </c>
      <c r="K101" s="92">
        <f t="shared" si="26"/>
        <v>6.35388794255448E-2</v>
      </c>
      <c r="L101" s="92">
        <f t="shared" si="26"/>
        <v>5.8142384142302196E-2</v>
      </c>
      <c r="M101" s="92">
        <f t="shared" si="26"/>
        <v>5.4479821331652266E-2</v>
      </c>
      <c r="N101" s="92">
        <f t="shared" si="26"/>
        <v>6.3677866519200002E-2</v>
      </c>
      <c r="O101" s="37"/>
    </row>
    <row r="102" spans="1:15" x14ac:dyDescent="0.25">
      <c r="A102" s="102" t="s">
        <v>89</v>
      </c>
      <c r="B102" s="32" t="s">
        <v>18</v>
      </c>
      <c r="C102" s="59"/>
      <c r="D102" s="92">
        <f>D95*D100+(1-D95)*D101</f>
        <v>6.6139621352435229E-2</v>
      </c>
      <c r="E102" s="92">
        <f t="shared" ref="E102:N102" si="27">E95*E100+(1-E95)*E101</f>
        <v>5.5062631580601498E-2</v>
      </c>
      <c r="F102" s="92">
        <f t="shared" si="27"/>
        <v>6.784796854660459E-2</v>
      </c>
      <c r="G102" s="92">
        <f t="shared" si="27"/>
        <v>6.2897286800325566E-2</v>
      </c>
      <c r="H102" s="92">
        <f t="shared" si="27"/>
        <v>5.383861136451798E-2</v>
      </c>
      <c r="I102" s="92">
        <f t="shared" si="27"/>
        <v>4.7363493132139597E-2</v>
      </c>
      <c r="J102" s="92">
        <f t="shared" si="27"/>
        <v>4.2480720370542777E-2</v>
      </c>
      <c r="K102" s="92">
        <f t="shared" si="27"/>
        <v>4.0592888091034438E-2</v>
      </c>
      <c r="L102" s="92">
        <f t="shared" si="27"/>
        <v>2.9597755753197487E-2</v>
      </c>
      <c r="M102" s="92">
        <f t="shared" si="27"/>
        <v>2.0048153676001084E-2</v>
      </c>
      <c r="N102" s="92">
        <f t="shared" si="27"/>
        <v>2.692481461E-2</v>
      </c>
      <c r="O102" s="37"/>
    </row>
    <row r="103" spans="1:15" x14ac:dyDescent="0.25">
      <c r="A103" s="32"/>
      <c r="B103" s="59"/>
      <c r="C103" s="59"/>
      <c r="D103" s="77"/>
      <c r="E103" s="77"/>
      <c r="F103" s="77"/>
      <c r="G103" s="77"/>
      <c r="H103" s="77"/>
      <c r="I103" s="77"/>
      <c r="J103" s="77"/>
      <c r="K103" s="77"/>
      <c r="L103" s="77"/>
      <c r="M103" s="77"/>
      <c r="N103" s="77"/>
      <c r="O103" s="37"/>
    </row>
  </sheetData>
  <phoneticPr fontId="43" type="noConversion"/>
  <pageMargins left="0.7" right="0.7" top="0.75" bottom="0.75" header="0.3" footer="0.3"/>
  <pageSetup paperSize="8" scale="78" fitToHeight="0" orientation="landscape"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B5A3-01B2-4B11-9E8C-9BA034AFEEB2}">
  <sheetPr>
    <tabColor rgb="FF00B0F0"/>
    <pageSetUpPr fitToPage="1"/>
  </sheetPr>
  <dimension ref="A1:R340"/>
  <sheetViews>
    <sheetView showGridLines="0" tabSelected="1" zoomScale="90" zoomScaleNormal="90" zoomScaleSheetLayoutView="90" workbookViewId="0">
      <pane xSplit="1" ySplit="6" topLeftCell="B7" activePane="bottomRight" state="frozen"/>
      <selection pane="topRight" activeCell="A221" sqref="A221"/>
      <selection pane="bottomLeft" activeCell="A221" sqref="A221"/>
      <selection pane="bottomRight" activeCell="A27" sqref="A27"/>
    </sheetView>
  </sheetViews>
  <sheetFormatPr defaultColWidth="9.140625" defaultRowHeight="15" x14ac:dyDescent="0.25"/>
  <cols>
    <col min="1" max="1" width="77.85546875" style="130" customWidth="1"/>
    <col min="2" max="3" width="15.140625" customWidth="1"/>
    <col min="4" max="8" width="14.28515625" customWidth="1"/>
    <col min="9" max="9" width="14.42578125" customWidth="1"/>
    <col min="10" max="11" width="14.28515625" customWidth="1"/>
    <col min="12" max="12" width="14.42578125" customWidth="1"/>
    <col min="13" max="13" width="12.5703125" customWidth="1"/>
    <col min="14" max="14" width="13.85546875" bestFit="1" customWidth="1"/>
    <col min="15" max="16" width="14.85546875" customWidth="1"/>
    <col min="17" max="17" width="15.5703125" customWidth="1"/>
    <col min="18" max="18" width="15.7109375" customWidth="1"/>
    <col min="19" max="19" width="33.5703125" customWidth="1"/>
  </cols>
  <sheetData>
    <row r="1" spans="1:17" ht="30" customHeight="1" x14ac:dyDescent="0.4">
      <c r="A1" s="128" t="s">
        <v>90</v>
      </c>
      <c r="B1" s="10"/>
      <c r="C1" s="10"/>
    </row>
    <row r="2" spans="1:17" hidden="1" x14ac:dyDescent="0.25">
      <c r="A2" s="64"/>
      <c r="D2" s="37"/>
      <c r="E2" s="37"/>
      <c r="F2" s="37"/>
      <c r="G2" s="37"/>
      <c r="H2" s="37"/>
      <c r="I2" s="37"/>
      <c r="J2" s="37"/>
      <c r="K2" s="37"/>
      <c r="L2" s="37"/>
      <c r="M2" s="37"/>
    </row>
    <row r="3" spans="1:17" hidden="1" collapsed="1" x14ac:dyDescent="0.25">
      <c r="A3" s="45"/>
      <c r="D3" s="37"/>
      <c r="E3" s="37"/>
      <c r="F3" s="37"/>
      <c r="G3" s="37"/>
      <c r="H3" s="37"/>
      <c r="I3" s="37"/>
      <c r="J3" s="37"/>
      <c r="K3" s="37"/>
      <c r="L3" s="37"/>
      <c r="M3" s="37"/>
      <c r="N3" s="37"/>
    </row>
    <row r="4" spans="1:17" ht="21" collapsed="1" x14ac:dyDescent="0.35">
      <c r="A4" s="129" t="s">
        <v>91</v>
      </c>
      <c r="D4" s="11"/>
      <c r="E4" s="11"/>
      <c r="F4" s="11"/>
      <c r="G4" s="11"/>
      <c r="H4" s="11"/>
      <c r="I4" s="11"/>
      <c r="J4" s="11"/>
      <c r="K4" s="11"/>
      <c r="L4" s="11"/>
      <c r="M4" s="11"/>
      <c r="N4" s="62" t="s">
        <v>92</v>
      </c>
      <c r="Q4" s="20"/>
    </row>
    <row r="5" spans="1:17" x14ac:dyDescent="0.25">
      <c r="B5" s="10"/>
      <c r="C5" s="10"/>
      <c r="D5" s="10"/>
      <c r="E5" s="10"/>
      <c r="F5" s="10"/>
      <c r="G5" s="10"/>
      <c r="H5" s="10"/>
      <c r="I5" s="10"/>
      <c r="J5" s="10"/>
      <c r="K5" s="10"/>
      <c r="L5" s="10"/>
      <c r="M5" s="10"/>
      <c r="N5" s="63">
        <v>44561</v>
      </c>
      <c r="Q5" s="20"/>
    </row>
    <row r="6" spans="1:17" ht="18.75" hidden="1" x14ac:dyDescent="0.3">
      <c r="A6" s="33"/>
      <c r="B6" s="22"/>
      <c r="C6" s="22"/>
      <c r="D6" s="22"/>
      <c r="E6" s="22"/>
      <c r="F6" s="22"/>
      <c r="G6" s="22"/>
      <c r="H6" s="22"/>
      <c r="I6" s="22"/>
      <c r="J6" s="22"/>
      <c r="K6" s="22"/>
      <c r="L6" s="22"/>
      <c r="M6" s="22"/>
      <c r="N6" s="22"/>
      <c r="Q6" s="20"/>
    </row>
    <row r="7" spans="1:17" ht="18" customHeight="1" collapsed="1" x14ac:dyDescent="0.3">
      <c r="A7" s="35" t="s">
        <v>93</v>
      </c>
      <c r="B7" s="21" t="s">
        <v>11</v>
      </c>
      <c r="C7" s="21"/>
      <c r="D7" s="17"/>
      <c r="E7" s="17"/>
      <c r="F7" s="17"/>
      <c r="G7" s="17"/>
      <c r="H7" s="17"/>
      <c r="I7" s="17"/>
      <c r="J7" s="17"/>
      <c r="K7" s="17"/>
      <c r="L7" s="17"/>
      <c r="M7" s="17"/>
      <c r="N7" s="105">
        <f>N36</f>
        <v>-652630.93681884313</v>
      </c>
      <c r="Q7" s="20"/>
    </row>
    <row r="8" spans="1:17" ht="18" customHeight="1" x14ac:dyDescent="0.3">
      <c r="A8" s="106" t="s">
        <v>94</v>
      </c>
      <c r="B8" s="21" t="s">
        <v>11</v>
      </c>
      <c r="C8" s="21"/>
      <c r="D8" s="17"/>
      <c r="E8" s="17"/>
      <c r="F8" s="17"/>
      <c r="G8" s="17"/>
      <c r="H8" s="17"/>
      <c r="I8" s="17"/>
      <c r="J8" s="17"/>
      <c r="K8" s="17"/>
      <c r="L8" s="17"/>
      <c r="M8" s="17"/>
      <c r="N8" s="105">
        <f>N55</f>
        <v>492412.41445000004</v>
      </c>
      <c r="P8" s="12"/>
      <c r="Q8" s="20"/>
    </row>
    <row r="9" spans="1:17" ht="18" customHeight="1" x14ac:dyDescent="0.3">
      <c r="A9" s="107" t="s">
        <v>95</v>
      </c>
      <c r="B9" s="21" t="s">
        <v>11</v>
      </c>
      <c r="C9" s="21"/>
      <c r="D9" s="17"/>
      <c r="E9" s="17"/>
      <c r="F9" s="17"/>
      <c r="G9" s="17"/>
      <c r="H9" s="17"/>
      <c r="I9" s="17"/>
      <c r="J9" s="17"/>
      <c r="K9" s="17"/>
      <c r="L9" s="17"/>
      <c r="M9" s="17"/>
      <c r="N9" s="105">
        <f>N72</f>
        <v>59782.638926284693</v>
      </c>
      <c r="Q9" s="20"/>
    </row>
    <row r="10" spans="1:17" ht="18" customHeight="1" x14ac:dyDescent="0.3">
      <c r="A10" s="15" t="s">
        <v>96</v>
      </c>
      <c r="B10" s="21" t="s">
        <v>11</v>
      </c>
      <c r="C10" s="21"/>
      <c r="D10" s="17"/>
      <c r="E10" s="17"/>
      <c r="F10" s="17"/>
      <c r="G10" s="17"/>
      <c r="H10" s="17"/>
      <c r="I10" s="17"/>
      <c r="J10" s="17"/>
      <c r="K10" s="17"/>
      <c r="L10" s="17"/>
      <c r="M10" s="17"/>
      <c r="N10" s="66">
        <f>SUM(N7:N9)</f>
        <v>-100435.88344255839</v>
      </c>
      <c r="Q10" s="20"/>
    </row>
    <row r="11" spans="1:17" ht="18" hidden="1" customHeight="1" x14ac:dyDescent="0.3">
      <c r="A11" s="35" t="s">
        <v>97</v>
      </c>
      <c r="B11" s="21" t="s">
        <v>11</v>
      </c>
      <c r="C11" s="21"/>
      <c r="D11" s="17"/>
      <c r="E11" s="17"/>
      <c r="F11" s="17"/>
      <c r="G11" s="17"/>
      <c r="H11" s="17"/>
      <c r="I11" s="17"/>
      <c r="J11" s="17"/>
      <c r="K11" s="17"/>
      <c r="L11" s="17"/>
      <c r="M11" s="17"/>
      <c r="N11" s="105">
        <f>N103</f>
        <v>0</v>
      </c>
      <c r="Q11" s="20"/>
    </row>
    <row r="12" spans="1:17" ht="18" hidden="1" customHeight="1" x14ac:dyDescent="0.3">
      <c r="A12" s="131"/>
      <c r="B12" s="66"/>
      <c r="C12" s="66"/>
      <c r="D12" s="66"/>
      <c r="E12" s="66"/>
      <c r="F12" s="66"/>
      <c r="G12" s="66"/>
      <c r="H12" s="66"/>
      <c r="I12" s="66"/>
      <c r="J12" s="66"/>
      <c r="K12" s="66"/>
      <c r="L12" s="66"/>
      <c r="M12" s="66"/>
      <c r="N12" s="66"/>
      <c r="Q12" s="20"/>
    </row>
    <row r="13" spans="1:17" ht="18" customHeight="1" collapsed="1" x14ac:dyDescent="0.3">
      <c r="A13" s="24"/>
      <c r="N13" s="66"/>
      <c r="Q13" s="12"/>
    </row>
    <row r="14" spans="1:17" ht="18" customHeight="1" x14ac:dyDescent="0.35">
      <c r="A14" s="129" t="s">
        <v>98</v>
      </c>
      <c r="C14" s="62" t="s">
        <v>5</v>
      </c>
      <c r="D14" s="62" t="s">
        <v>6</v>
      </c>
      <c r="E14" s="62" t="s">
        <v>7</v>
      </c>
      <c r="F14" s="62" t="s">
        <v>7</v>
      </c>
      <c r="G14" s="62" t="s">
        <v>7</v>
      </c>
      <c r="H14" s="62" t="s">
        <v>7</v>
      </c>
      <c r="I14" s="62" t="s">
        <v>7</v>
      </c>
      <c r="J14" s="62" t="s">
        <v>7</v>
      </c>
      <c r="K14" s="62" t="s">
        <v>7</v>
      </c>
      <c r="L14" s="62" t="s">
        <v>7</v>
      </c>
      <c r="M14" s="62" t="s">
        <v>7</v>
      </c>
      <c r="N14" s="62" t="s">
        <v>8</v>
      </c>
      <c r="Q14" s="12"/>
    </row>
    <row r="15" spans="1:17" ht="18" customHeight="1" x14ac:dyDescent="0.25">
      <c r="B15" s="10"/>
      <c r="C15" s="63">
        <f>'Model inputs'!$C$53</f>
        <v>40878</v>
      </c>
      <c r="D15" s="63">
        <f>'Model inputs'!D53</f>
        <v>41090</v>
      </c>
      <c r="E15" s="63">
        <f>'Model inputs'!E53</f>
        <v>41455</v>
      </c>
      <c r="F15" s="63">
        <f>'Model inputs'!F53</f>
        <v>41820</v>
      </c>
      <c r="G15" s="63">
        <f>'Model inputs'!G53</f>
        <v>42185</v>
      </c>
      <c r="H15" s="63">
        <f>'Model inputs'!H53</f>
        <v>42551</v>
      </c>
      <c r="I15" s="63">
        <f>'Model inputs'!I53</f>
        <v>42916</v>
      </c>
      <c r="J15" s="63">
        <f>'Model inputs'!J53</f>
        <v>43281</v>
      </c>
      <c r="K15" s="63">
        <f>'Model inputs'!K53</f>
        <v>43646</v>
      </c>
      <c r="L15" s="63">
        <f>'Model inputs'!L53</f>
        <v>44012</v>
      </c>
      <c r="M15" s="63">
        <f>'Model inputs'!M53</f>
        <v>44377</v>
      </c>
      <c r="N15" s="63">
        <f>'Model inputs'!N53</f>
        <v>44561</v>
      </c>
      <c r="Q15" s="12"/>
    </row>
    <row r="16" spans="1:17" ht="18" customHeight="1" x14ac:dyDescent="0.3">
      <c r="A16" s="33" t="s">
        <v>99</v>
      </c>
      <c r="B16" s="22"/>
      <c r="C16" s="22"/>
      <c r="D16" s="22"/>
      <c r="E16" s="22"/>
      <c r="F16" s="22"/>
      <c r="G16" s="22"/>
      <c r="H16" s="22"/>
      <c r="I16" s="22"/>
      <c r="J16" s="22"/>
      <c r="K16" s="22"/>
      <c r="L16" s="22"/>
      <c r="M16" s="22"/>
      <c r="N16" s="22"/>
      <c r="Q16" s="12"/>
    </row>
    <row r="17" spans="1:17" ht="18" customHeight="1" x14ac:dyDescent="0.25">
      <c r="A17" s="35" t="s">
        <v>100</v>
      </c>
      <c r="B17" s="21" t="s">
        <v>11</v>
      </c>
      <c r="C17" s="68"/>
      <c r="D17" s="68">
        <f>'Model inputs'!D7</f>
        <v>1018</v>
      </c>
      <c r="E17" s="68">
        <f>'Model inputs'!E7</f>
        <v>3753</v>
      </c>
      <c r="F17" s="68">
        <f>'Model inputs'!F7</f>
        <v>4789</v>
      </c>
      <c r="G17" s="68">
        <f>'Model inputs'!G7</f>
        <v>8408</v>
      </c>
      <c r="H17" s="68">
        <f>'Model inputs'!H7</f>
        <v>15255</v>
      </c>
      <c r="I17" s="68">
        <f>'Model inputs'!I7</f>
        <v>25880</v>
      </c>
      <c r="J17" s="68">
        <f>'Model inputs'!J7</f>
        <v>39993</v>
      </c>
      <c r="K17" s="68">
        <f>'Model inputs'!K7</f>
        <v>55370</v>
      </c>
      <c r="L17" s="68">
        <f>'Model inputs'!L7</f>
        <v>68261</v>
      </c>
      <c r="M17" s="68">
        <f>'Model inputs'!M7</f>
        <v>80243</v>
      </c>
      <c r="N17" s="68">
        <f>'Model inputs'!N7</f>
        <v>44216</v>
      </c>
      <c r="Q17" s="12"/>
    </row>
    <row r="18" spans="1:17" ht="18" customHeight="1" x14ac:dyDescent="0.25">
      <c r="A18" s="35" t="s">
        <v>80</v>
      </c>
      <c r="B18" s="21" t="s">
        <v>76</v>
      </c>
      <c r="C18" s="69"/>
      <c r="D18" s="69">
        <f>'Model inputs'!D89</f>
        <v>1.9593390078055666</v>
      </c>
      <c r="E18" s="69">
        <f>'Model inputs'!E89</f>
        <v>1.7539613476843365</v>
      </c>
      <c r="F18" s="69">
        <f>'Model inputs'!F89</f>
        <v>1.7796997050243895</v>
      </c>
      <c r="G18" s="69">
        <f>'Model inputs'!G89</f>
        <v>1.5960693536738424</v>
      </c>
      <c r="H18" s="69">
        <f>'Model inputs'!H89</f>
        <v>1.4429540372853003</v>
      </c>
      <c r="I18" s="69">
        <f>'Model inputs'!I89</f>
        <v>1.3472510185593161</v>
      </c>
      <c r="J18" s="69">
        <f>'Model inputs'!J89</f>
        <v>1.2507605408411417</v>
      </c>
      <c r="K18" s="69">
        <f>'Model inputs'!K89</f>
        <v>1.1747533807929349</v>
      </c>
      <c r="L18" s="69">
        <f>'Model inputs'!L89</f>
        <v>1.0975242502539282</v>
      </c>
      <c r="M18" s="69">
        <f>'Model inputs'!M89</f>
        <v>1.0403683741122254</v>
      </c>
      <c r="N18" s="69">
        <f>'Model inputs'!N89</f>
        <v>1.0082344229478826</v>
      </c>
      <c r="Q18" s="12"/>
    </row>
    <row r="19" spans="1:17" ht="18" customHeight="1" x14ac:dyDescent="0.25">
      <c r="A19" s="71" t="s">
        <v>101</v>
      </c>
      <c r="B19" s="21" t="s">
        <v>11</v>
      </c>
      <c r="C19" s="17"/>
      <c r="D19" s="17">
        <f t="shared" ref="D19:N19" si="0">D17*D18</f>
        <v>1994.6071099460669</v>
      </c>
      <c r="E19" s="17">
        <f t="shared" si="0"/>
        <v>6582.6169378593149</v>
      </c>
      <c r="F19" s="17">
        <f t="shared" si="0"/>
        <v>8522.9818873618005</v>
      </c>
      <c r="G19" s="17">
        <f t="shared" si="0"/>
        <v>13419.751125689667</v>
      </c>
      <c r="H19" s="17">
        <f t="shared" si="0"/>
        <v>22012.263838787254</v>
      </c>
      <c r="I19" s="17">
        <f t="shared" si="0"/>
        <v>34866.856360315098</v>
      </c>
      <c r="J19" s="17">
        <f t="shared" si="0"/>
        <v>50021.666309859778</v>
      </c>
      <c r="K19" s="17">
        <f t="shared" si="0"/>
        <v>65046.094694504805</v>
      </c>
      <c r="L19" s="17">
        <f t="shared" si="0"/>
        <v>74918.102846583395</v>
      </c>
      <c r="M19" s="17">
        <f t="shared" si="0"/>
        <v>83482.279443887295</v>
      </c>
      <c r="N19" s="17">
        <f t="shared" si="0"/>
        <v>44580.093245063574</v>
      </c>
      <c r="Q19" s="12"/>
    </row>
    <row r="20" spans="1:17" ht="18" hidden="1" customHeight="1" x14ac:dyDescent="0.25">
      <c r="A20" s="23"/>
      <c r="B20" s="18"/>
      <c r="C20" s="19"/>
      <c r="D20" s="19"/>
      <c r="E20" s="19"/>
      <c r="F20" s="19"/>
      <c r="G20" s="19"/>
      <c r="H20" s="19"/>
      <c r="I20" s="19"/>
      <c r="J20" s="19"/>
      <c r="K20" s="19"/>
      <c r="L20" s="19"/>
      <c r="M20" s="19"/>
      <c r="N20" s="19"/>
      <c r="Q20" s="12"/>
    </row>
    <row r="21" spans="1:17" ht="18" hidden="1" customHeight="1" x14ac:dyDescent="0.3">
      <c r="A21" s="28" t="s">
        <v>102</v>
      </c>
      <c r="B21" s="41"/>
      <c r="C21" s="46"/>
      <c r="D21" s="46"/>
      <c r="E21" s="46"/>
      <c r="F21" s="46"/>
      <c r="G21" s="46"/>
      <c r="H21" s="46"/>
      <c r="I21" s="46"/>
      <c r="J21" s="46"/>
      <c r="K21" s="46"/>
      <c r="L21" s="46"/>
      <c r="M21" s="46"/>
      <c r="N21" s="46"/>
      <c r="Q21" s="12"/>
    </row>
    <row r="22" spans="1:17" ht="18" hidden="1" customHeight="1" x14ac:dyDescent="0.25">
      <c r="A22" s="35" t="s">
        <v>103</v>
      </c>
      <c r="B22" s="21" t="s">
        <v>11</v>
      </c>
      <c r="C22" s="46">
        <f>C50</f>
        <v>0</v>
      </c>
      <c r="D22" s="46"/>
      <c r="E22" s="46"/>
      <c r="F22" s="46"/>
      <c r="G22" s="46"/>
      <c r="H22" s="46"/>
      <c r="I22" s="46"/>
      <c r="J22" s="46"/>
      <c r="K22" s="46"/>
      <c r="L22" s="46"/>
      <c r="M22" s="46"/>
      <c r="N22" s="46"/>
      <c r="Q22" s="12"/>
    </row>
    <row r="23" spans="1:17" ht="18" hidden="1" customHeight="1" x14ac:dyDescent="0.25">
      <c r="A23" s="35" t="s">
        <v>78</v>
      </c>
      <c r="B23" s="21" t="s">
        <v>76</v>
      </c>
      <c r="C23" s="69">
        <f>'Model inputs'!C84</f>
        <v>1.9880089667234626</v>
      </c>
      <c r="D23" s="46"/>
      <c r="E23" s="46"/>
      <c r="F23" s="46"/>
      <c r="G23" s="46"/>
      <c r="H23" s="46"/>
      <c r="I23" s="46"/>
      <c r="J23" s="46"/>
      <c r="K23" s="46"/>
      <c r="L23" s="46"/>
      <c r="M23" s="46"/>
      <c r="N23" s="46"/>
      <c r="Q23" s="12"/>
    </row>
    <row r="24" spans="1:17" ht="18" hidden="1" customHeight="1" x14ac:dyDescent="0.25">
      <c r="A24" s="15" t="s">
        <v>104</v>
      </c>
      <c r="B24" s="21" t="s">
        <v>11</v>
      </c>
      <c r="C24" s="17">
        <f t="shared" ref="C24" si="1">C22*C23</f>
        <v>0</v>
      </c>
      <c r="D24" s="46"/>
      <c r="E24" s="46"/>
      <c r="F24" s="46"/>
      <c r="G24" s="46"/>
      <c r="H24" s="46"/>
      <c r="I24" s="46"/>
      <c r="J24" s="46"/>
      <c r="K24" s="46"/>
      <c r="L24" s="46"/>
      <c r="M24" s="46"/>
      <c r="N24" s="46"/>
      <c r="Q24" s="12"/>
    </row>
    <row r="25" spans="1:17" ht="18" customHeight="1" collapsed="1" x14ac:dyDescent="0.25">
      <c r="A25" s="15"/>
      <c r="B25" s="41"/>
      <c r="C25" s="17"/>
      <c r="D25" s="46"/>
      <c r="E25" s="46"/>
      <c r="F25" s="46"/>
      <c r="G25" s="46"/>
      <c r="H25" s="46"/>
      <c r="I25" s="46"/>
      <c r="J25" s="46"/>
      <c r="K25" s="46"/>
      <c r="L25" s="46"/>
      <c r="M25" s="46"/>
      <c r="N25" s="46"/>
      <c r="Q25" s="12"/>
    </row>
    <row r="26" spans="1:17" ht="18" customHeight="1" x14ac:dyDescent="0.25">
      <c r="A26" s="35" t="s">
        <v>105</v>
      </c>
      <c r="B26" s="21" t="s">
        <v>11</v>
      </c>
      <c r="C26" s="17"/>
      <c r="D26" s="68">
        <f>'Model inputs'!D11</f>
        <v>33011.682710000008</v>
      </c>
      <c r="E26" s="68">
        <f>'Model inputs'!E11</f>
        <v>16777</v>
      </c>
      <c r="F26" s="68">
        <f>'Model inputs'!F11</f>
        <v>42616</v>
      </c>
      <c r="G26" s="68">
        <f>'Model inputs'!G11</f>
        <v>53389</v>
      </c>
      <c r="H26" s="68">
        <f>'Model inputs'!H11</f>
        <v>139344</v>
      </c>
      <c r="I26" s="68">
        <f>'Model inputs'!I11</f>
        <v>92618</v>
      </c>
      <c r="J26" s="68">
        <f>'Model inputs'!J11</f>
        <v>83352</v>
      </c>
      <c r="K26" s="68">
        <f>'Model inputs'!K11</f>
        <v>65582</v>
      </c>
      <c r="L26" s="68">
        <f>'Model inputs'!L11</f>
        <v>39181</v>
      </c>
      <c r="M26" s="68">
        <f>'Model inputs'!M11</f>
        <v>36946.731740000003</v>
      </c>
      <c r="N26" s="68">
        <f>'Model inputs'!N11</f>
        <v>14411</v>
      </c>
      <c r="Q26" s="12"/>
    </row>
    <row r="27" spans="1:17" ht="18" customHeight="1" x14ac:dyDescent="0.25">
      <c r="A27" s="103" t="s">
        <v>16</v>
      </c>
      <c r="B27" s="21" t="s">
        <v>11</v>
      </c>
      <c r="C27" s="68"/>
      <c r="D27" s="68">
        <f>'Model inputs'!D13</f>
        <v>2609</v>
      </c>
      <c r="E27" s="68">
        <f>'Model inputs'!E13</f>
        <v>2369</v>
      </c>
      <c r="F27" s="68">
        <f>'Model inputs'!F13</f>
        <v>12804</v>
      </c>
      <c r="G27" s="68">
        <f>'Model inputs'!G13</f>
        <v>10317</v>
      </c>
      <c r="H27" s="68">
        <f>'Model inputs'!H13</f>
        <v>7212</v>
      </c>
      <c r="I27" s="68">
        <f>'Model inputs'!I13</f>
        <v>15646</v>
      </c>
      <c r="J27" s="68">
        <f>'Model inputs'!J13</f>
        <v>20233</v>
      </c>
      <c r="K27" s="68">
        <f>'Model inputs'!K13</f>
        <v>21015</v>
      </c>
      <c r="L27" s="68">
        <f>'Model inputs'!L13</f>
        <v>21660</v>
      </c>
      <c r="M27" s="68">
        <f>'Model inputs'!M13</f>
        <v>20034.280490000001</v>
      </c>
      <c r="N27" s="68">
        <f>'Model inputs'!N13</f>
        <v>10517.0484</v>
      </c>
      <c r="Q27" s="12"/>
    </row>
    <row r="28" spans="1:17" ht="18" hidden="1" customHeight="1" x14ac:dyDescent="0.25">
      <c r="A28" s="35" t="s">
        <v>40</v>
      </c>
      <c r="B28" s="21" t="s">
        <v>11</v>
      </c>
      <c r="C28" s="17"/>
      <c r="D28" s="17">
        <f t="shared" ref="D28:N28" si="2">D54</f>
        <v>0</v>
      </c>
      <c r="E28" s="17">
        <f t="shared" si="2"/>
        <v>0</v>
      </c>
      <c r="F28" s="17">
        <f t="shared" si="2"/>
        <v>0</v>
      </c>
      <c r="G28" s="17">
        <f t="shared" si="2"/>
        <v>0</v>
      </c>
      <c r="H28" s="17">
        <f t="shared" si="2"/>
        <v>0</v>
      </c>
      <c r="I28" s="17">
        <f t="shared" si="2"/>
        <v>0</v>
      </c>
      <c r="J28" s="17">
        <f t="shared" si="2"/>
        <v>0</v>
      </c>
      <c r="K28" s="17">
        <f t="shared" si="2"/>
        <v>0</v>
      </c>
      <c r="L28" s="17">
        <f t="shared" si="2"/>
        <v>0</v>
      </c>
      <c r="M28" s="17">
        <f t="shared" si="2"/>
        <v>0</v>
      </c>
      <c r="N28" s="17">
        <f t="shared" si="2"/>
        <v>0</v>
      </c>
      <c r="Q28" s="12"/>
    </row>
    <row r="29" spans="1:17" ht="18" customHeight="1" collapsed="1" x14ac:dyDescent="0.25">
      <c r="A29" s="35" t="s">
        <v>106</v>
      </c>
      <c r="B29" s="21" t="s">
        <v>11</v>
      </c>
      <c r="C29" s="26"/>
      <c r="D29" s="26">
        <f t="shared" ref="D29:N29" si="3">D97</f>
        <v>0</v>
      </c>
      <c r="E29" s="26">
        <f t="shared" si="3"/>
        <v>0</v>
      </c>
      <c r="F29" s="26">
        <f t="shared" si="3"/>
        <v>0</v>
      </c>
      <c r="G29" s="26">
        <f t="shared" si="3"/>
        <v>0</v>
      </c>
      <c r="H29" s="26">
        <f t="shared" si="3"/>
        <v>0</v>
      </c>
      <c r="I29" s="26">
        <f t="shared" si="3"/>
        <v>0</v>
      </c>
      <c r="J29" s="26">
        <f t="shared" si="3"/>
        <v>0</v>
      </c>
      <c r="K29" s="26">
        <f t="shared" si="3"/>
        <v>0</v>
      </c>
      <c r="L29" s="26">
        <f t="shared" si="3"/>
        <v>0</v>
      </c>
      <c r="M29" s="26">
        <f t="shared" si="3"/>
        <v>3781.2705000349551</v>
      </c>
      <c r="N29" s="26">
        <f t="shared" si="3"/>
        <v>4846.341890715953</v>
      </c>
      <c r="Q29" s="12"/>
    </row>
    <row r="30" spans="1:17" ht="18" customHeight="1" x14ac:dyDescent="0.25">
      <c r="A30" s="108" t="s">
        <v>107</v>
      </c>
      <c r="B30" s="21" t="s">
        <v>11</v>
      </c>
      <c r="C30" s="31"/>
      <c r="D30" s="31">
        <f t="shared" ref="D30:N30" si="4">SUM(D26:D29)</f>
        <v>35620.682710000008</v>
      </c>
      <c r="E30" s="31">
        <f t="shared" si="4"/>
        <v>19146</v>
      </c>
      <c r="F30" s="31">
        <f t="shared" si="4"/>
        <v>55420</v>
      </c>
      <c r="G30" s="31">
        <f t="shared" si="4"/>
        <v>63706</v>
      </c>
      <c r="H30" s="31">
        <f t="shared" si="4"/>
        <v>146556</v>
      </c>
      <c r="I30" s="31">
        <f t="shared" si="4"/>
        <v>108264</v>
      </c>
      <c r="J30" s="31">
        <f t="shared" si="4"/>
        <v>103585</v>
      </c>
      <c r="K30" s="31">
        <f t="shared" si="4"/>
        <v>86597</v>
      </c>
      <c r="L30" s="31">
        <f t="shared" si="4"/>
        <v>60841</v>
      </c>
      <c r="M30" s="31">
        <f t="shared" si="4"/>
        <v>60762.28273003496</v>
      </c>
      <c r="N30" s="31">
        <f t="shared" si="4"/>
        <v>29774.390290715954</v>
      </c>
      <c r="Q30" s="12"/>
    </row>
    <row r="31" spans="1:17" ht="18" customHeight="1" x14ac:dyDescent="0.25">
      <c r="A31" s="35" t="s">
        <v>75</v>
      </c>
      <c r="B31" s="21" t="s">
        <v>76</v>
      </c>
      <c r="C31" s="69"/>
      <c r="D31" s="69">
        <f>'Model inputs'!D79</f>
        <v>1.9716523217775115</v>
      </c>
      <c r="E31" s="69">
        <f>'Model inputs'!E79</f>
        <v>1.76398429597453</v>
      </c>
      <c r="F31" s="69">
        <f>'Model inputs'!F79</f>
        <v>1.7914568352908242</v>
      </c>
      <c r="G31" s="69">
        <f>'Model inputs'!G79</f>
        <v>1.6058558416530693</v>
      </c>
      <c r="H31" s="69">
        <f>'Model inputs'!H79</f>
        <v>1.4510642711998849</v>
      </c>
      <c r="I31" s="69">
        <f>'Model inputs'!I79</f>
        <v>1.3546621879514464</v>
      </c>
      <c r="J31" s="69">
        <f>'Model inputs'!J79</f>
        <v>1.2572446412940239</v>
      </c>
      <c r="K31" s="69">
        <f>'Model inputs'!K79</f>
        <v>1.1806417697833558</v>
      </c>
      <c r="L31" s="69">
        <f>'Model inputs'!L79</f>
        <v>1.1023634907865856</v>
      </c>
      <c r="M31" s="69">
        <f>'Model inputs'!M79</f>
        <v>1.0444688740048842</v>
      </c>
      <c r="N31" s="69">
        <f>'Model inputs'!N79</f>
        <v>1.0129497546107082</v>
      </c>
      <c r="Q31" s="12"/>
    </row>
    <row r="32" spans="1:17" ht="18" customHeight="1" x14ac:dyDescent="0.25">
      <c r="A32" s="15" t="s">
        <v>108</v>
      </c>
      <c r="B32" s="21" t="s">
        <v>11</v>
      </c>
      <c r="C32" s="17"/>
      <c r="D32" s="17">
        <f t="shared" ref="D32:N32" si="5">D30*D31</f>
        <v>70231.601768471577</v>
      </c>
      <c r="E32" s="17">
        <f t="shared" si="5"/>
        <v>33773.24333072835</v>
      </c>
      <c r="F32" s="17">
        <f t="shared" si="5"/>
        <v>99282.537811817485</v>
      </c>
      <c r="G32" s="17">
        <f t="shared" si="5"/>
        <v>102302.65224835044</v>
      </c>
      <c r="H32" s="17">
        <f t="shared" si="5"/>
        <v>212662.17532997034</v>
      </c>
      <c r="I32" s="17">
        <f t="shared" si="5"/>
        <v>146661.14711637539</v>
      </c>
      <c r="J32" s="17">
        <f t="shared" si="5"/>
        <v>130231.68616844146</v>
      </c>
      <c r="K32" s="17">
        <f t="shared" si="5"/>
        <v>102240.03533792926</v>
      </c>
      <c r="L32" s="17">
        <f t="shared" si="5"/>
        <v>67068.897142946647</v>
      </c>
      <c r="M32" s="17">
        <f t="shared" si="5"/>
        <v>63464.313025006035</v>
      </c>
      <c r="N32" s="17">
        <f t="shared" si="5"/>
        <v>30159.961338664179</v>
      </c>
      <c r="Q32" s="12"/>
    </row>
    <row r="33" spans="1:17" ht="18" customHeight="1" x14ac:dyDescent="0.25">
      <c r="A33" s="23"/>
      <c r="B33" s="18"/>
      <c r="C33" s="19"/>
      <c r="D33" s="19"/>
      <c r="E33" s="19"/>
      <c r="F33" s="19"/>
      <c r="G33" s="19"/>
      <c r="H33" s="19"/>
      <c r="I33" s="19"/>
      <c r="J33" s="19"/>
      <c r="K33" s="19"/>
      <c r="L33" s="19"/>
      <c r="M33" s="19"/>
      <c r="N33" s="19"/>
    </row>
    <row r="34" spans="1:17" ht="18" customHeight="1" x14ac:dyDescent="0.3">
      <c r="A34" s="28" t="s">
        <v>109</v>
      </c>
      <c r="B34" s="27"/>
      <c r="C34" s="25"/>
      <c r="D34" s="25"/>
      <c r="E34" s="25"/>
      <c r="F34" s="25"/>
      <c r="G34" s="25"/>
      <c r="H34" s="25"/>
      <c r="I34" s="25"/>
      <c r="J34" s="25"/>
      <c r="K34" s="25"/>
      <c r="L34" s="25"/>
      <c r="M34" s="25"/>
      <c r="N34" s="25"/>
    </row>
    <row r="35" spans="1:17" ht="18" customHeight="1" x14ac:dyDescent="0.25">
      <c r="A35" s="15" t="s">
        <v>110</v>
      </c>
      <c r="B35" s="21" t="s">
        <v>11</v>
      </c>
      <c r="C35" s="122">
        <f>-C24</f>
        <v>0</v>
      </c>
      <c r="D35" s="17">
        <f t="shared" ref="D35:N35" si="6">D19-D32</f>
        <v>-68236.994658525509</v>
      </c>
      <c r="E35" s="17">
        <f t="shared" si="6"/>
        <v>-27190.626392869035</v>
      </c>
      <c r="F35" s="17">
        <f t="shared" si="6"/>
        <v>-90759.555924455679</v>
      </c>
      <c r="G35" s="17">
        <f t="shared" si="6"/>
        <v>-88882.901122660769</v>
      </c>
      <c r="H35" s="17">
        <f t="shared" si="6"/>
        <v>-190649.9114911831</v>
      </c>
      <c r="I35" s="17">
        <f t="shared" si="6"/>
        <v>-111794.29075606029</v>
      </c>
      <c r="J35" s="17">
        <f t="shared" si="6"/>
        <v>-80210.019858581683</v>
      </c>
      <c r="K35" s="17">
        <f t="shared" si="6"/>
        <v>-37193.940643424459</v>
      </c>
      <c r="L35" s="17">
        <f t="shared" si="6"/>
        <v>7849.2057036367478</v>
      </c>
      <c r="M35" s="17">
        <f t="shared" si="6"/>
        <v>20017.96641888126</v>
      </c>
      <c r="N35" s="17">
        <f t="shared" si="6"/>
        <v>14420.131906399394</v>
      </c>
      <c r="Q35" s="12"/>
    </row>
    <row r="36" spans="1:17" ht="18" customHeight="1" x14ac:dyDescent="0.3">
      <c r="A36" s="15" t="s">
        <v>93</v>
      </c>
      <c r="B36" s="21" t="s">
        <v>11</v>
      </c>
      <c r="C36" s="17"/>
      <c r="D36" s="17"/>
      <c r="E36" s="17"/>
      <c r="F36" s="17"/>
      <c r="G36" s="17"/>
      <c r="H36" s="17"/>
      <c r="I36" s="17"/>
      <c r="J36" s="17"/>
      <c r="K36" s="17"/>
      <c r="L36" s="17"/>
      <c r="M36" s="17"/>
      <c r="N36" s="66">
        <f>SUM(C35:N35)</f>
        <v>-652630.93681884313</v>
      </c>
      <c r="Q36" s="12"/>
    </row>
    <row r="37" spans="1:17" ht="18" customHeight="1" x14ac:dyDescent="0.25">
      <c r="A37" s="23"/>
      <c r="B37" s="18"/>
      <c r="C37" s="18"/>
      <c r="D37" s="19"/>
      <c r="E37" s="19"/>
      <c r="F37" s="19"/>
      <c r="G37" s="19"/>
      <c r="H37" s="19"/>
      <c r="I37" s="19"/>
      <c r="J37" s="19"/>
      <c r="K37" s="19"/>
      <c r="L37" s="19"/>
      <c r="M37" s="19"/>
      <c r="N37" s="19"/>
    </row>
    <row r="38" spans="1:17" ht="18" customHeight="1" x14ac:dyDescent="0.25"/>
    <row r="39" spans="1:17" ht="18" customHeight="1" x14ac:dyDescent="0.35">
      <c r="A39" s="129" t="s">
        <v>111</v>
      </c>
      <c r="C39" s="62" t="s">
        <v>5</v>
      </c>
      <c r="D39" s="62" t="s">
        <v>6</v>
      </c>
      <c r="E39" s="62" t="s">
        <v>7</v>
      </c>
      <c r="F39" s="62" t="s">
        <v>7</v>
      </c>
      <c r="G39" s="62" t="s">
        <v>7</v>
      </c>
      <c r="H39" s="62" t="s">
        <v>7</v>
      </c>
      <c r="I39" s="62" t="s">
        <v>7</v>
      </c>
      <c r="J39" s="62" t="s">
        <v>7</v>
      </c>
      <c r="K39" s="62" t="s">
        <v>7</v>
      </c>
      <c r="L39" s="62" t="s">
        <v>7</v>
      </c>
      <c r="M39" s="62" t="s">
        <v>7</v>
      </c>
      <c r="N39" s="62" t="s">
        <v>8</v>
      </c>
    </row>
    <row r="40" spans="1:17" ht="18" customHeight="1" x14ac:dyDescent="0.25">
      <c r="C40" s="63">
        <f>'Model inputs'!$C$53</f>
        <v>40878</v>
      </c>
      <c r="D40" s="63">
        <f>'Model inputs'!D53</f>
        <v>41090</v>
      </c>
      <c r="E40" s="63">
        <f>'Model inputs'!E53</f>
        <v>41455</v>
      </c>
      <c r="F40" s="63">
        <f>'Model inputs'!F53</f>
        <v>41820</v>
      </c>
      <c r="G40" s="63">
        <f>'Model inputs'!G53</f>
        <v>42185</v>
      </c>
      <c r="H40" s="63">
        <f>'Model inputs'!H53</f>
        <v>42551</v>
      </c>
      <c r="I40" s="63">
        <f>'Model inputs'!I53</f>
        <v>42916</v>
      </c>
      <c r="J40" s="63">
        <f>'Model inputs'!J53</f>
        <v>43281</v>
      </c>
      <c r="K40" s="63">
        <f>'Model inputs'!K53</f>
        <v>43646</v>
      </c>
      <c r="L40" s="63">
        <f>'Model inputs'!L53</f>
        <v>44012</v>
      </c>
      <c r="M40" s="63">
        <f>'Model inputs'!M53</f>
        <v>44377</v>
      </c>
      <c r="N40" s="63">
        <f>'Model inputs'!N53</f>
        <v>44561</v>
      </c>
    </row>
    <row r="41" spans="1:17" ht="18" customHeight="1" x14ac:dyDescent="0.25">
      <c r="D41" s="53"/>
    </row>
    <row r="42" spans="1:17" s="51" customFormat="1" ht="18" hidden="1" customHeight="1" x14ac:dyDescent="0.35">
      <c r="A42" s="28" t="s">
        <v>112</v>
      </c>
      <c r="O42"/>
      <c r="P42"/>
    </row>
    <row r="43" spans="1:17" ht="18" hidden="1" customHeight="1" x14ac:dyDescent="0.25">
      <c r="A43" s="35" t="s">
        <v>39</v>
      </c>
      <c r="B43" s="21" t="s">
        <v>11</v>
      </c>
      <c r="C43" s="68">
        <f>'Model inputs'!C$8</f>
        <v>0</v>
      </c>
      <c r="D43" s="17"/>
      <c r="E43" s="17"/>
      <c r="F43" s="17"/>
      <c r="G43" s="17"/>
      <c r="H43" s="17"/>
      <c r="I43" s="17"/>
      <c r="J43" s="17"/>
      <c r="K43" s="17"/>
      <c r="L43" s="17"/>
      <c r="M43" s="17"/>
      <c r="N43" s="17"/>
      <c r="Q43" s="20"/>
    </row>
    <row r="44" spans="1:17" ht="18" hidden="1" customHeight="1" x14ac:dyDescent="0.25">
      <c r="A44" s="35" t="s">
        <v>113</v>
      </c>
      <c r="B44" s="21" t="s">
        <v>11</v>
      </c>
      <c r="C44" s="21"/>
      <c r="D44" s="17">
        <f>C47</f>
        <v>0</v>
      </c>
      <c r="E44" s="17">
        <f t="shared" ref="E44:N44" si="7">D47</f>
        <v>32609.682710000008</v>
      </c>
      <c r="F44" s="17">
        <f t="shared" si="7"/>
        <v>47911.682710000008</v>
      </c>
      <c r="G44" s="17">
        <f t="shared" si="7"/>
        <v>87838.682710000008</v>
      </c>
      <c r="H44" s="17">
        <f t="shared" si="7"/>
        <v>136739.68271000002</v>
      </c>
      <c r="I44" s="17">
        <f t="shared" si="7"/>
        <v>269960.68271000002</v>
      </c>
      <c r="J44" s="17">
        <f t="shared" si="7"/>
        <v>348696.68271000002</v>
      </c>
      <c r="K44" s="17">
        <f t="shared" si="7"/>
        <v>413909.68271000002</v>
      </c>
      <c r="L44" s="17">
        <f t="shared" si="7"/>
        <v>459457.68271000002</v>
      </c>
      <c r="M44" s="17">
        <f t="shared" si="7"/>
        <v>475656.68271000002</v>
      </c>
      <c r="N44" s="17">
        <f t="shared" si="7"/>
        <v>489813.41445000004</v>
      </c>
      <c r="Q44" s="20"/>
    </row>
    <row r="45" spans="1:17" ht="18" hidden="1" customHeight="1" x14ac:dyDescent="0.25">
      <c r="A45" s="35" t="s">
        <v>13</v>
      </c>
      <c r="B45" s="21" t="s">
        <v>11</v>
      </c>
      <c r="C45" s="21"/>
      <c r="D45" s="68">
        <f>'Model inputs'!D$9</f>
        <v>33011.682710000008</v>
      </c>
      <c r="E45" s="68">
        <f>'Model inputs'!E$9</f>
        <v>16777</v>
      </c>
      <c r="F45" s="68">
        <f>'Model inputs'!F$9</f>
        <v>42616</v>
      </c>
      <c r="G45" s="68">
        <f>'Model inputs'!G$9</f>
        <v>53389</v>
      </c>
      <c r="H45" s="68">
        <f>'Model inputs'!H$9</f>
        <v>139344</v>
      </c>
      <c r="I45" s="68">
        <f>'Model inputs'!I$9</f>
        <v>92618</v>
      </c>
      <c r="J45" s="68">
        <f>'Model inputs'!J$9</f>
        <v>83352</v>
      </c>
      <c r="K45" s="68">
        <f>'Model inputs'!K$9</f>
        <v>65582</v>
      </c>
      <c r="L45" s="68">
        <f>'Model inputs'!L$9</f>
        <v>39181</v>
      </c>
      <c r="M45" s="68">
        <f>'Model inputs'!M$9</f>
        <v>36946.731740000003</v>
      </c>
      <c r="N45" s="68">
        <f>'Model inputs'!N$9</f>
        <v>14411</v>
      </c>
      <c r="Q45" s="20"/>
    </row>
    <row r="46" spans="1:17" ht="18" hidden="1" customHeight="1" x14ac:dyDescent="0.25">
      <c r="A46" s="35" t="s">
        <v>21</v>
      </c>
      <c r="B46" s="21" t="s">
        <v>11</v>
      </c>
      <c r="C46" s="70"/>
      <c r="D46" s="70">
        <f>-'Model inputs'!D16</f>
        <v>-402</v>
      </c>
      <c r="E46" s="70">
        <f>-'Model inputs'!E16</f>
        <v>-1475</v>
      </c>
      <c r="F46" s="70">
        <f>-'Model inputs'!F16</f>
        <v>-2689</v>
      </c>
      <c r="G46" s="70">
        <f>-'Model inputs'!G16</f>
        <v>-4488</v>
      </c>
      <c r="H46" s="70">
        <f>-'Model inputs'!H16</f>
        <v>-6123</v>
      </c>
      <c r="I46" s="70">
        <f>-'Model inputs'!I16</f>
        <v>-13882</v>
      </c>
      <c r="J46" s="70">
        <f>-'Model inputs'!J16</f>
        <v>-18139</v>
      </c>
      <c r="K46" s="70">
        <f>-'Model inputs'!K16</f>
        <v>-20034</v>
      </c>
      <c r="L46" s="70">
        <f>-'Model inputs'!L16</f>
        <v>-22982</v>
      </c>
      <c r="M46" s="70">
        <f>-'Model inputs'!M16</f>
        <v>-22790</v>
      </c>
      <c r="N46" s="70">
        <f>-'Model inputs'!N16</f>
        <v>-11812</v>
      </c>
      <c r="Q46" s="20"/>
    </row>
    <row r="47" spans="1:17" ht="18" hidden="1" customHeight="1" x14ac:dyDescent="0.25">
      <c r="A47" s="71" t="s">
        <v>114</v>
      </c>
      <c r="B47" s="21" t="s">
        <v>11</v>
      </c>
      <c r="C47" s="46">
        <f t="shared" ref="C47:N47" si="8">SUM(C43:C46)</f>
        <v>0</v>
      </c>
      <c r="D47" s="46">
        <f t="shared" si="8"/>
        <v>32609.682710000008</v>
      </c>
      <c r="E47" s="46">
        <f t="shared" si="8"/>
        <v>47911.682710000008</v>
      </c>
      <c r="F47" s="46">
        <f t="shared" si="8"/>
        <v>87838.682710000008</v>
      </c>
      <c r="G47" s="46">
        <f t="shared" si="8"/>
        <v>136739.68271000002</v>
      </c>
      <c r="H47" s="46">
        <f t="shared" si="8"/>
        <v>269960.68271000002</v>
      </c>
      <c r="I47" s="46">
        <f t="shared" si="8"/>
        <v>348696.68271000002</v>
      </c>
      <c r="J47" s="46">
        <f t="shared" si="8"/>
        <v>413909.68271000002</v>
      </c>
      <c r="K47" s="46">
        <f t="shared" si="8"/>
        <v>459457.68271000002</v>
      </c>
      <c r="L47" s="46">
        <f t="shared" si="8"/>
        <v>475656.68271000002</v>
      </c>
      <c r="M47" s="46">
        <f t="shared" si="8"/>
        <v>489813.41445000004</v>
      </c>
      <c r="N47" s="46">
        <f t="shared" si="8"/>
        <v>492412.41445000004</v>
      </c>
      <c r="Q47" s="20"/>
    </row>
    <row r="48" spans="1:17" ht="18" hidden="1" customHeight="1" x14ac:dyDescent="0.25"/>
    <row r="49" spans="1:17" s="51" customFormat="1" ht="18" customHeight="1" collapsed="1" x14ac:dyDescent="0.35">
      <c r="A49" s="28" t="s">
        <v>115</v>
      </c>
      <c r="O49"/>
      <c r="P49"/>
      <c r="Q49" s="52"/>
    </row>
    <row r="50" spans="1:17" ht="18" hidden="1" customHeight="1" x14ac:dyDescent="0.25">
      <c r="A50" s="35" t="s">
        <v>116</v>
      </c>
      <c r="B50" s="21" t="s">
        <v>11</v>
      </c>
      <c r="C50" s="68">
        <f>'Model inputs'!C$10</f>
        <v>0</v>
      </c>
      <c r="D50" s="34"/>
      <c r="E50" s="17"/>
      <c r="F50" s="17"/>
      <c r="G50" s="17"/>
      <c r="H50" s="17"/>
      <c r="I50" s="17"/>
      <c r="J50" s="17"/>
      <c r="K50" s="17"/>
      <c r="L50" s="17"/>
      <c r="M50" s="17"/>
      <c r="N50" s="17"/>
      <c r="Q50" s="20"/>
    </row>
    <row r="51" spans="1:17" ht="18" customHeight="1" collapsed="1" x14ac:dyDescent="0.25">
      <c r="A51" s="35" t="s">
        <v>117</v>
      </c>
      <c r="B51" s="21" t="s">
        <v>11</v>
      </c>
      <c r="C51" s="21"/>
      <c r="D51" s="17">
        <f>C55</f>
        <v>0</v>
      </c>
      <c r="E51" s="17">
        <f t="shared" ref="E51:N51" si="9">D55</f>
        <v>32609.682710000008</v>
      </c>
      <c r="F51" s="17">
        <f t="shared" si="9"/>
        <v>47911.682710000008</v>
      </c>
      <c r="G51" s="17">
        <f t="shared" si="9"/>
        <v>87838.682710000008</v>
      </c>
      <c r="H51" s="17">
        <f t="shared" si="9"/>
        <v>136739.68271000002</v>
      </c>
      <c r="I51" s="17">
        <f t="shared" si="9"/>
        <v>269960.68271000002</v>
      </c>
      <c r="J51" s="17">
        <f t="shared" si="9"/>
        <v>348696.68271000002</v>
      </c>
      <c r="K51" s="17">
        <f t="shared" si="9"/>
        <v>413909.68271000002</v>
      </c>
      <c r="L51" s="17">
        <f t="shared" si="9"/>
        <v>459457.68271000002</v>
      </c>
      <c r="M51" s="17">
        <f t="shared" si="9"/>
        <v>475656.68271000002</v>
      </c>
      <c r="N51" s="17">
        <f t="shared" si="9"/>
        <v>489813.41445000004</v>
      </c>
      <c r="Q51" s="20"/>
    </row>
    <row r="52" spans="1:17" ht="18" customHeight="1" x14ac:dyDescent="0.25">
      <c r="A52" s="35" t="s">
        <v>105</v>
      </c>
      <c r="B52" s="21" t="s">
        <v>11</v>
      </c>
      <c r="C52" s="21"/>
      <c r="D52" s="68">
        <f>'Model inputs'!D11</f>
        <v>33011.682710000008</v>
      </c>
      <c r="E52" s="68">
        <f>'Model inputs'!E11</f>
        <v>16777</v>
      </c>
      <c r="F52" s="68">
        <f>'Model inputs'!F11</f>
        <v>42616</v>
      </c>
      <c r="G52" s="68">
        <f>'Model inputs'!G11</f>
        <v>53389</v>
      </c>
      <c r="H52" s="68">
        <f>'Model inputs'!H11</f>
        <v>139344</v>
      </c>
      <c r="I52" s="68">
        <f>'Model inputs'!I11</f>
        <v>92618</v>
      </c>
      <c r="J52" s="68">
        <f>'Model inputs'!J11</f>
        <v>83352</v>
      </c>
      <c r="K52" s="68">
        <f>'Model inputs'!K11</f>
        <v>65582</v>
      </c>
      <c r="L52" s="68">
        <f>'Model inputs'!L11</f>
        <v>39181</v>
      </c>
      <c r="M52" s="68">
        <f>'Model inputs'!M11</f>
        <v>36946.731740000003</v>
      </c>
      <c r="N52" s="68">
        <f>'Model inputs'!N11</f>
        <v>14411</v>
      </c>
      <c r="Q52" s="20"/>
    </row>
    <row r="53" spans="1:17" ht="18" customHeight="1" x14ac:dyDescent="0.25">
      <c r="A53" s="35" t="s">
        <v>22</v>
      </c>
      <c r="B53" s="21" t="s">
        <v>11</v>
      </c>
      <c r="C53" s="21"/>
      <c r="D53" s="68">
        <f>-'Model inputs'!D17</f>
        <v>-402</v>
      </c>
      <c r="E53" s="68">
        <f>-'Model inputs'!E17</f>
        <v>-1475</v>
      </c>
      <c r="F53" s="68">
        <f>-'Model inputs'!F17</f>
        <v>-2689</v>
      </c>
      <c r="G53" s="68">
        <f>-'Model inputs'!G17</f>
        <v>-4488</v>
      </c>
      <c r="H53" s="68">
        <f>-'Model inputs'!H17</f>
        <v>-6123</v>
      </c>
      <c r="I53" s="68">
        <f>-'Model inputs'!I17</f>
        <v>-13882</v>
      </c>
      <c r="J53" s="68">
        <f>-'Model inputs'!J17</f>
        <v>-18139</v>
      </c>
      <c r="K53" s="68">
        <f>-'Model inputs'!K17</f>
        <v>-20034</v>
      </c>
      <c r="L53" s="68">
        <f>-'Model inputs'!L17</f>
        <v>-22982</v>
      </c>
      <c r="M53" s="68">
        <f>-'Model inputs'!M17</f>
        <v>-22790</v>
      </c>
      <c r="N53" s="68">
        <f>-'Model inputs'!N17</f>
        <v>-11812</v>
      </c>
      <c r="Q53" s="20"/>
    </row>
    <row r="54" spans="1:17" ht="18" hidden="1" customHeight="1" x14ac:dyDescent="0.25">
      <c r="A54" s="35" t="s">
        <v>40</v>
      </c>
      <c r="B54" s="21" t="s">
        <v>11</v>
      </c>
      <c r="C54" s="70"/>
      <c r="D54" s="70">
        <f>'Model inputs'!D$12</f>
        <v>0</v>
      </c>
      <c r="E54" s="70">
        <f>'Model inputs'!E$12</f>
        <v>0</v>
      </c>
      <c r="F54" s="70">
        <f>'Model inputs'!F$12</f>
        <v>0</v>
      </c>
      <c r="G54" s="70">
        <f>'Model inputs'!G$12</f>
        <v>0</v>
      </c>
      <c r="H54" s="70">
        <f>'Model inputs'!H$12</f>
        <v>0</v>
      </c>
      <c r="I54" s="70">
        <f>'Model inputs'!I$12</f>
        <v>0</v>
      </c>
      <c r="J54" s="70">
        <f>'Model inputs'!J$12</f>
        <v>0</v>
      </c>
      <c r="K54" s="70">
        <f>'Model inputs'!K$12</f>
        <v>0</v>
      </c>
      <c r="L54" s="70">
        <f>'Model inputs'!L$12</f>
        <v>0</v>
      </c>
      <c r="M54" s="70">
        <f>'Model inputs'!M$12</f>
        <v>0</v>
      </c>
      <c r="N54" s="70">
        <f>'Model inputs'!N$12</f>
        <v>0</v>
      </c>
      <c r="Q54" s="67"/>
    </row>
    <row r="55" spans="1:17" ht="18" customHeight="1" collapsed="1" x14ac:dyDescent="0.3">
      <c r="A55" s="71" t="s">
        <v>118</v>
      </c>
      <c r="B55" s="21" t="s">
        <v>11</v>
      </c>
      <c r="C55" s="46">
        <f t="shared" ref="C55:N55" si="10">SUM(C50:C54)</f>
        <v>0</v>
      </c>
      <c r="D55" s="46">
        <f t="shared" si="10"/>
        <v>32609.682710000008</v>
      </c>
      <c r="E55" s="46">
        <f t="shared" si="10"/>
        <v>47911.682710000008</v>
      </c>
      <c r="F55" s="46">
        <f t="shared" si="10"/>
        <v>87838.682710000008</v>
      </c>
      <c r="G55" s="46">
        <f t="shared" si="10"/>
        <v>136739.68271000002</v>
      </c>
      <c r="H55" s="46">
        <f t="shared" si="10"/>
        <v>269960.68271000002</v>
      </c>
      <c r="I55" s="46">
        <f t="shared" si="10"/>
        <v>348696.68271000002</v>
      </c>
      <c r="J55" s="46">
        <f t="shared" si="10"/>
        <v>413909.68271000002</v>
      </c>
      <c r="K55" s="46">
        <f t="shared" si="10"/>
        <v>459457.68271000002</v>
      </c>
      <c r="L55" s="46">
        <f t="shared" si="10"/>
        <v>475656.68271000002</v>
      </c>
      <c r="M55" s="46">
        <f t="shared" si="10"/>
        <v>489813.41445000004</v>
      </c>
      <c r="N55" s="80">
        <f t="shared" si="10"/>
        <v>492412.41445000004</v>
      </c>
      <c r="Q55" s="20"/>
    </row>
    <row r="56" spans="1:17" s="76" customFormat="1" ht="18" customHeight="1" x14ac:dyDescent="0.25">
      <c r="A56"/>
      <c r="B56"/>
      <c r="C56"/>
      <c r="D56"/>
      <c r="E56"/>
      <c r="F56"/>
      <c r="G56"/>
      <c r="H56"/>
      <c r="I56"/>
      <c r="J56"/>
      <c r="K56"/>
      <c r="L56"/>
      <c r="M56"/>
      <c r="N56"/>
      <c r="O56"/>
      <c r="P56"/>
      <c r="Q56" s="75"/>
    </row>
    <row r="57" spans="1:17" ht="18" customHeight="1" x14ac:dyDescent="0.25"/>
    <row r="58" spans="1:17" ht="18" customHeight="1" x14ac:dyDescent="0.35">
      <c r="A58" s="132" t="s">
        <v>119</v>
      </c>
      <c r="C58" s="62" t="s">
        <v>5</v>
      </c>
      <c r="D58" s="62" t="s">
        <v>6</v>
      </c>
      <c r="E58" s="62" t="s">
        <v>7</v>
      </c>
      <c r="F58" s="62" t="s">
        <v>7</v>
      </c>
      <c r="G58" s="62" t="s">
        <v>7</v>
      </c>
      <c r="H58" s="62" t="s">
        <v>7</v>
      </c>
      <c r="I58" s="62" t="s">
        <v>7</v>
      </c>
      <c r="J58" s="62" t="s">
        <v>7</v>
      </c>
      <c r="K58" s="62" t="s">
        <v>7</v>
      </c>
      <c r="L58" s="62" t="s">
        <v>7</v>
      </c>
      <c r="M58" s="62" t="s">
        <v>7</v>
      </c>
      <c r="N58" s="62" t="s">
        <v>8</v>
      </c>
      <c r="O58" s="12"/>
      <c r="P58" s="12"/>
    </row>
    <row r="59" spans="1:17" ht="18" customHeight="1" x14ac:dyDescent="0.25">
      <c r="C59" s="63">
        <f>'Model inputs'!$C$53</f>
        <v>40878</v>
      </c>
      <c r="D59" s="63">
        <f t="shared" ref="D59:N59" si="11">D40</f>
        <v>41090</v>
      </c>
      <c r="E59" s="63">
        <f t="shared" si="11"/>
        <v>41455</v>
      </c>
      <c r="F59" s="63">
        <f t="shared" si="11"/>
        <v>41820</v>
      </c>
      <c r="G59" s="63">
        <f t="shared" si="11"/>
        <v>42185</v>
      </c>
      <c r="H59" s="63">
        <f t="shared" si="11"/>
        <v>42551</v>
      </c>
      <c r="I59" s="63">
        <f t="shared" si="11"/>
        <v>42916</v>
      </c>
      <c r="J59" s="63">
        <f t="shared" si="11"/>
        <v>43281</v>
      </c>
      <c r="K59" s="63">
        <f t="shared" si="11"/>
        <v>43646</v>
      </c>
      <c r="L59" s="63">
        <f t="shared" si="11"/>
        <v>44012</v>
      </c>
      <c r="M59" s="63">
        <f t="shared" si="11"/>
        <v>44377</v>
      </c>
      <c r="N59" s="63">
        <f t="shared" si="11"/>
        <v>44561</v>
      </c>
      <c r="O59" s="12"/>
      <c r="P59" s="12"/>
    </row>
    <row r="60" spans="1:17" ht="18" hidden="1" customHeight="1" x14ac:dyDescent="0.35">
      <c r="A60" s="28" t="s">
        <v>120</v>
      </c>
      <c r="B60" s="51"/>
      <c r="C60" s="51"/>
      <c r="D60" s="51"/>
      <c r="E60" s="51"/>
      <c r="F60" s="51"/>
      <c r="G60" s="51"/>
      <c r="H60" s="51"/>
      <c r="I60" s="51"/>
      <c r="J60" s="51"/>
      <c r="K60" s="51"/>
      <c r="L60" s="51"/>
      <c r="M60" s="51"/>
      <c r="N60" s="51"/>
    </row>
    <row r="61" spans="1:17" ht="18" hidden="1" customHeight="1" x14ac:dyDescent="0.25">
      <c r="A61" s="109" t="s">
        <v>121</v>
      </c>
      <c r="B61" s="21" t="s">
        <v>11</v>
      </c>
      <c r="C61" s="17"/>
      <c r="D61" s="17">
        <f>C63</f>
        <v>0</v>
      </c>
      <c r="E61" s="17">
        <f>D63</f>
        <v>2227</v>
      </c>
      <c r="F61" s="17">
        <f t="shared" ref="F61:N61" si="12">E63</f>
        <v>12279</v>
      </c>
      <c r="G61" s="17">
        <f t="shared" si="12"/>
        <v>36176</v>
      </c>
      <c r="H61" s="17">
        <f t="shared" si="12"/>
        <v>55806</v>
      </c>
      <c r="I61" s="17">
        <f t="shared" si="12"/>
        <v>83895</v>
      </c>
      <c r="J61" s="17">
        <f t="shared" si="12"/>
        <v>120502</v>
      </c>
      <c r="K61" s="17">
        <f t="shared" si="12"/>
        <v>149995</v>
      </c>
      <c r="L61" s="17">
        <f t="shared" si="12"/>
        <v>154201</v>
      </c>
      <c r="M61" s="17">
        <f t="shared" si="12"/>
        <v>159793</v>
      </c>
      <c r="N61" s="17">
        <f t="shared" si="12"/>
        <v>-0.46499999999650754</v>
      </c>
    </row>
    <row r="62" spans="1:17" ht="18" hidden="1" customHeight="1" x14ac:dyDescent="0.25">
      <c r="A62" s="102" t="s">
        <v>122</v>
      </c>
      <c r="B62" s="21" t="s">
        <v>11</v>
      </c>
      <c r="C62" s="68">
        <f>'Model inputs'!C94</f>
        <v>0</v>
      </c>
      <c r="D62" s="68">
        <f>'Model inputs'!D94</f>
        <v>2227</v>
      </c>
      <c r="E62" s="68">
        <f>'Model inputs'!E94</f>
        <v>10052</v>
      </c>
      <c r="F62" s="68">
        <f>'Model inputs'!F94</f>
        <v>23897</v>
      </c>
      <c r="G62" s="68">
        <f>'Model inputs'!G94</f>
        <v>19630</v>
      </c>
      <c r="H62" s="68">
        <f>'Model inputs'!H94</f>
        <v>28089</v>
      </c>
      <c r="I62" s="68">
        <f>'Model inputs'!I94</f>
        <v>36607</v>
      </c>
      <c r="J62" s="68">
        <f>'Model inputs'!J94</f>
        <v>29493</v>
      </c>
      <c r="K62" s="68">
        <f>'Model inputs'!K94</f>
        <v>4206</v>
      </c>
      <c r="L62" s="68">
        <f>'Model inputs'!L94</f>
        <v>5592</v>
      </c>
      <c r="M62" s="68">
        <f>'Model inputs'!M94</f>
        <v>-159793.465</v>
      </c>
      <c r="N62" s="68">
        <f>'Model inputs'!N94</f>
        <v>0</v>
      </c>
    </row>
    <row r="63" spans="1:17" ht="18" hidden="1" customHeight="1" x14ac:dyDescent="0.25">
      <c r="A63" s="145" t="s">
        <v>123</v>
      </c>
      <c r="B63" s="21" t="s">
        <v>11</v>
      </c>
      <c r="C63" s="30">
        <f t="shared" ref="C63:N63" si="13">SUM(C61:C62)</f>
        <v>0</v>
      </c>
      <c r="D63" s="30">
        <f t="shared" si="13"/>
        <v>2227</v>
      </c>
      <c r="E63" s="30">
        <f t="shared" si="13"/>
        <v>12279</v>
      </c>
      <c r="F63" s="30">
        <f t="shared" si="13"/>
        <v>36176</v>
      </c>
      <c r="G63" s="30">
        <f t="shared" si="13"/>
        <v>55806</v>
      </c>
      <c r="H63" s="30">
        <f t="shared" si="13"/>
        <v>83895</v>
      </c>
      <c r="I63" s="30">
        <f t="shared" si="13"/>
        <v>120502</v>
      </c>
      <c r="J63" s="30">
        <f t="shared" si="13"/>
        <v>149995</v>
      </c>
      <c r="K63" s="30">
        <f t="shared" si="13"/>
        <v>154201</v>
      </c>
      <c r="L63" s="30">
        <f t="shared" si="13"/>
        <v>159793</v>
      </c>
      <c r="M63" s="30">
        <f t="shared" si="13"/>
        <v>-0.46499999999650754</v>
      </c>
      <c r="N63" s="30">
        <f t="shared" si="13"/>
        <v>-0.46499999999650754</v>
      </c>
    </row>
    <row r="64" spans="1:17" ht="18" hidden="1" customHeight="1" x14ac:dyDescent="0.25">
      <c r="A64" s="111"/>
      <c r="B64" s="12"/>
      <c r="C64" s="12"/>
      <c r="D64" s="12"/>
      <c r="E64" s="12"/>
      <c r="F64" s="12"/>
      <c r="G64" s="12"/>
      <c r="H64" s="12"/>
      <c r="I64" s="12"/>
      <c r="J64" s="12"/>
      <c r="K64" s="12"/>
      <c r="L64" s="12"/>
      <c r="M64" s="12"/>
      <c r="N64" s="12"/>
    </row>
    <row r="65" spans="1:17" ht="18" customHeight="1" collapsed="1" x14ac:dyDescent="0.35">
      <c r="A65" s="28" t="s">
        <v>124</v>
      </c>
      <c r="B65" s="51"/>
      <c r="C65" s="51"/>
      <c r="D65" s="51"/>
      <c r="E65" s="51"/>
      <c r="F65" s="51"/>
      <c r="G65" s="51"/>
      <c r="H65" s="51"/>
      <c r="I65" s="51"/>
      <c r="J65" s="51"/>
      <c r="K65" s="51"/>
      <c r="L65" s="51"/>
      <c r="M65" s="51"/>
      <c r="N65" s="51"/>
    </row>
    <row r="66" spans="1:17" ht="18" customHeight="1" x14ac:dyDescent="0.25">
      <c r="A66" s="102" t="s">
        <v>82</v>
      </c>
      <c r="B66" s="21" t="s">
        <v>11</v>
      </c>
      <c r="C66" s="21"/>
      <c r="D66" s="17">
        <f>D62</f>
        <v>2227</v>
      </c>
      <c r="E66" s="17">
        <f t="shared" ref="E66:N66" si="14">E62</f>
        <v>10052</v>
      </c>
      <c r="F66" s="17">
        <f t="shared" si="14"/>
        <v>23897</v>
      </c>
      <c r="G66" s="17">
        <f t="shared" si="14"/>
        <v>19630</v>
      </c>
      <c r="H66" s="17">
        <f t="shared" si="14"/>
        <v>28089</v>
      </c>
      <c r="I66" s="17">
        <f t="shared" si="14"/>
        <v>36607</v>
      </c>
      <c r="J66" s="17">
        <f t="shared" si="14"/>
        <v>29493</v>
      </c>
      <c r="K66" s="17">
        <f t="shared" si="14"/>
        <v>4206</v>
      </c>
      <c r="L66" s="17">
        <f t="shared" si="14"/>
        <v>5592</v>
      </c>
      <c r="M66" s="17">
        <f t="shared" si="14"/>
        <v>-159793.465</v>
      </c>
      <c r="N66" s="17">
        <f t="shared" si="14"/>
        <v>0</v>
      </c>
    </row>
    <row r="67" spans="1:17" ht="18" customHeight="1" x14ac:dyDescent="0.25">
      <c r="A67" s="35" t="s">
        <v>125</v>
      </c>
      <c r="B67" s="21" t="s">
        <v>18</v>
      </c>
      <c r="C67" s="21"/>
      <c r="D67" s="93">
        <f>'Model inputs'!D102</f>
        <v>6.6139621352435229E-2</v>
      </c>
      <c r="E67" s="93">
        <f>'Model inputs'!E102</f>
        <v>5.5062631580601498E-2</v>
      </c>
      <c r="F67" s="93">
        <f>'Model inputs'!F102</f>
        <v>6.784796854660459E-2</v>
      </c>
      <c r="G67" s="93">
        <f>'Model inputs'!G102</f>
        <v>6.2897286800325566E-2</v>
      </c>
      <c r="H67" s="93">
        <f>'Model inputs'!H102</f>
        <v>5.383861136451798E-2</v>
      </c>
      <c r="I67" s="93">
        <f>'Model inputs'!I102</f>
        <v>4.7363493132139597E-2</v>
      </c>
      <c r="J67" s="93">
        <f>'Model inputs'!J102</f>
        <v>4.2480720370542777E-2</v>
      </c>
      <c r="K67" s="93">
        <f>'Model inputs'!K102</f>
        <v>4.0592888091034438E-2</v>
      </c>
      <c r="L67" s="93">
        <f>'Model inputs'!L102</f>
        <v>2.9597755753197487E-2</v>
      </c>
      <c r="M67" s="93">
        <f>'Model inputs'!M102</f>
        <v>2.0048153676001084E-2</v>
      </c>
      <c r="N67" s="93">
        <f>'Model inputs'!N102</f>
        <v>2.692481461E-2</v>
      </c>
    </row>
    <row r="68" spans="1:17" ht="18" customHeight="1" x14ac:dyDescent="0.25">
      <c r="A68" s="35" t="s">
        <v>126</v>
      </c>
      <c r="B68" s="21" t="s">
        <v>11</v>
      </c>
      <c r="C68" s="21"/>
      <c r="D68" s="17">
        <f>D66*D67</f>
        <v>147.29293675187324</v>
      </c>
      <c r="E68" s="17">
        <f t="shared" ref="E68:N68" si="15">E66*E67</f>
        <v>553.48957264820626</v>
      </c>
      <c r="F68" s="17">
        <f t="shared" si="15"/>
        <v>1621.3629043582098</v>
      </c>
      <c r="G68" s="17">
        <f t="shared" si="15"/>
        <v>1234.6737398903908</v>
      </c>
      <c r="H68" s="17">
        <f t="shared" si="15"/>
        <v>1512.2727546179456</v>
      </c>
      <c r="I68" s="17">
        <f t="shared" si="15"/>
        <v>1733.8353930882342</v>
      </c>
      <c r="J68" s="17">
        <f t="shared" si="15"/>
        <v>1252.883885888418</v>
      </c>
      <c r="K68" s="17">
        <f t="shared" si="15"/>
        <v>170.73368731089084</v>
      </c>
      <c r="L68" s="17">
        <f t="shared" si="15"/>
        <v>165.51065017188034</v>
      </c>
      <c r="M68" s="17">
        <f t="shared" si="15"/>
        <v>-3203.5639427407004</v>
      </c>
      <c r="N68" s="17">
        <f t="shared" si="15"/>
        <v>0</v>
      </c>
    </row>
    <row r="69" spans="1:17" ht="18" customHeight="1" x14ac:dyDescent="0.25">
      <c r="A69" s="159" t="s">
        <v>43</v>
      </c>
      <c r="B69" s="21" t="s">
        <v>18</v>
      </c>
      <c r="C69" s="21"/>
      <c r="D69" s="94">
        <f>'Model inputs'!D$50</f>
        <v>7.1800000000000003E-2</v>
      </c>
      <c r="E69" s="94">
        <f>'Model inputs'!E$50</f>
        <v>6.5100000000000005E-2</v>
      </c>
      <c r="F69" s="94">
        <f>'Model inputs'!F$50</f>
        <v>7.5600000000000001E-2</v>
      </c>
      <c r="G69" s="94">
        <f>'Model inputs'!G$50</f>
        <v>7.0000000000000007E-2</v>
      </c>
      <c r="H69" s="94">
        <f>'Model inputs'!H$50</f>
        <v>6.4000000000000001E-2</v>
      </c>
      <c r="I69" s="94">
        <f>'Model inputs'!I$50</f>
        <v>6.2600000000000003E-2</v>
      </c>
      <c r="J69" s="94">
        <f>'Model inputs'!J$50</f>
        <v>5.8900000000000001E-2</v>
      </c>
      <c r="K69" s="94">
        <f>'Model inputs'!K$50</f>
        <v>5.6899999999999999E-2</v>
      </c>
      <c r="L69" s="94">
        <f>'Model inputs'!L$50</f>
        <v>4.99E-2</v>
      </c>
      <c r="M69" s="94">
        <f>'Model inputs'!M$50</f>
        <v>4.4499999999999998E-2</v>
      </c>
      <c r="N69" s="94">
        <f>'Model inputs'!N$50</f>
        <v>5.2999999999999999E-2</v>
      </c>
    </row>
    <row r="70" spans="1:17" ht="18" customHeight="1" x14ac:dyDescent="0.25">
      <c r="A70" s="35" t="s">
        <v>127</v>
      </c>
      <c r="B70" s="21" t="s">
        <v>76</v>
      </c>
      <c r="C70" s="21"/>
      <c r="D70" s="133">
        <f>(((1+D69)^'Model inputs'!D$60)-1)/D69</f>
        <v>13.532762141748071</v>
      </c>
      <c r="E70" s="133">
        <f>(((1+E69)^'Model inputs'!E$60)-1)/E69</f>
        <v>11.735549861359907</v>
      </c>
      <c r="F70" s="133">
        <f>(((1+F69)^'Model inputs'!F$60)-1)/F69</f>
        <v>10.469005757815134</v>
      </c>
      <c r="G70" s="133">
        <f>(((1+G69)^'Model inputs'!G$60)-1)/G69</f>
        <v>8.6550834521867035</v>
      </c>
      <c r="H70" s="133">
        <f>(((1+H69)^'Model inputs'!H$60)-1)/H69</f>
        <v>7.0478792374982016</v>
      </c>
      <c r="I70" s="133">
        <f>(((1+I69)^'Model inputs'!I$60)-1)/I69</f>
        <v>5.6655301589687923</v>
      </c>
      <c r="J70" s="133">
        <f>(((1+J69)^'Model inputs'!J$60)-1)/J69</f>
        <v>4.3674811764689965</v>
      </c>
      <c r="K70" s="133">
        <f>(((1+K69)^'Model inputs'!K$60)-1)/K69</f>
        <v>3.174723546280418</v>
      </c>
      <c r="L70" s="133">
        <f>(((1+L69)^'Model inputs'!L$60)-1)/L69</f>
        <v>2.0513725608534186</v>
      </c>
      <c r="M70" s="133">
        <f>(((1+M69)^'Model inputs'!M$60)-1)/M69</f>
        <v>0.99930053943559993</v>
      </c>
      <c r="N70" s="133">
        <f>(((1+N69)^'Model inputs'!N$60)-1)/N69</f>
        <v>0.24433499265487249</v>
      </c>
    </row>
    <row r="71" spans="1:17" ht="18" customHeight="1" x14ac:dyDescent="0.25">
      <c r="A71" s="35" t="s">
        <v>128</v>
      </c>
      <c r="B71" s="21" t="s">
        <v>11</v>
      </c>
      <c r="C71" s="21"/>
      <c r="D71" s="81">
        <f>D68*D70</f>
        <v>1993.2802782226433</v>
      </c>
      <c r="E71" s="81">
        <f t="shared" ref="E71:N71" si="16">E68*E70</f>
        <v>6495.5044775558108</v>
      </c>
      <c r="F71" s="81">
        <f t="shared" si="16"/>
        <v>16974.057581233967</v>
      </c>
      <c r="G71" s="81">
        <f t="shared" si="16"/>
        <v>10686.204254974791</v>
      </c>
      <c r="H71" s="81">
        <f t="shared" si="16"/>
        <v>10658.315748706031</v>
      </c>
      <c r="I71" s="81">
        <f t="shared" si="16"/>
        <v>9823.0967102289014</v>
      </c>
      <c r="J71" s="81">
        <f t="shared" si="16"/>
        <v>5471.9467879189961</v>
      </c>
      <c r="K71" s="81">
        <f t="shared" si="16"/>
        <v>542.03225724916342</v>
      </c>
      <c r="L71" s="81">
        <f t="shared" si="16"/>
        <v>339.52400629160451</v>
      </c>
      <c r="M71" s="81">
        <f t="shared" si="16"/>
        <v>-3201.3231760972194</v>
      </c>
      <c r="N71" s="81">
        <f t="shared" si="16"/>
        <v>0</v>
      </c>
    </row>
    <row r="72" spans="1:17" ht="18" customHeight="1" x14ac:dyDescent="0.3">
      <c r="A72" s="79" t="s">
        <v>124</v>
      </c>
      <c r="B72" s="21" t="s">
        <v>11</v>
      </c>
      <c r="C72" s="21"/>
      <c r="D72" s="46"/>
      <c r="E72" s="46"/>
      <c r="F72" s="46"/>
      <c r="G72" s="46"/>
      <c r="H72" s="46"/>
      <c r="I72" s="46"/>
      <c r="J72" s="46"/>
      <c r="K72" s="46"/>
      <c r="L72" s="46"/>
      <c r="M72" s="46"/>
      <c r="N72" s="80">
        <f>SUM(D71:N71)</f>
        <v>59782.638926284693</v>
      </c>
    </row>
    <row r="73" spans="1:17" ht="18" customHeight="1" x14ac:dyDescent="0.25">
      <c r="A73" s="24"/>
      <c r="D73" s="25"/>
      <c r="E73" s="25"/>
      <c r="F73" s="25"/>
      <c r="G73" s="25"/>
      <c r="H73" s="25"/>
      <c r="I73" s="25"/>
      <c r="J73" s="25"/>
      <c r="K73" s="25"/>
      <c r="L73" s="25"/>
      <c r="M73" s="25"/>
      <c r="N73" s="25"/>
    </row>
    <row r="74" spans="1:17" ht="18" customHeight="1" x14ac:dyDescent="0.25">
      <c r="O74" s="12"/>
      <c r="P74" s="12"/>
    </row>
    <row r="75" spans="1:17" ht="18" customHeight="1" x14ac:dyDescent="0.35">
      <c r="A75" s="132" t="s">
        <v>129</v>
      </c>
      <c r="C75" s="62" t="s">
        <v>5</v>
      </c>
      <c r="D75" s="62" t="s">
        <v>6</v>
      </c>
      <c r="E75" s="62" t="s">
        <v>7</v>
      </c>
      <c r="F75" s="62" t="s">
        <v>7</v>
      </c>
      <c r="G75" s="62" t="s">
        <v>7</v>
      </c>
      <c r="H75" s="62" t="s">
        <v>7</v>
      </c>
      <c r="I75" s="62" t="s">
        <v>7</v>
      </c>
      <c r="J75" s="62" t="s">
        <v>7</v>
      </c>
      <c r="K75" s="62" t="s">
        <v>7</v>
      </c>
      <c r="L75" s="62" t="s">
        <v>7</v>
      </c>
      <c r="M75" s="62" t="s">
        <v>7</v>
      </c>
      <c r="N75" s="62" t="s">
        <v>8</v>
      </c>
      <c r="O75" s="12"/>
      <c r="P75" s="12"/>
    </row>
    <row r="76" spans="1:17" ht="18" customHeight="1" x14ac:dyDescent="0.25">
      <c r="C76" s="63">
        <f>'Model inputs'!$C$53</f>
        <v>40878</v>
      </c>
      <c r="D76" s="63">
        <f>'Model inputs'!D53</f>
        <v>41090</v>
      </c>
      <c r="E76" s="63">
        <f>'Model inputs'!E53</f>
        <v>41455</v>
      </c>
      <c r="F76" s="63">
        <f>'Model inputs'!F53</f>
        <v>41820</v>
      </c>
      <c r="G76" s="63">
        <f>'Model inputs'!G53</f>
        <v>42185</v>
      </c>
      <c r="H76" s="63">
        <f>'Model inputs'!H53</f>
        <v>42551</v>
      </c>
      <c r="I76" s="63">
        <f>'Model inputs'!I53</f>
        <v>42916</v>
      </c>
      <c r="J76" s="63">
        <f>'Model inputs'!J53</f>
        <v>43281</v>
      </c>
      <c r="K76" s="63">
        <f>'Model inputs'!K53</f>
        <v>43646</v>
      </c>
      <c r="L76" s="63">
        <f>'Model inputs'!L53</f>
        <v>44012</v>
      </c>
      <c r="M76" s="63">
        <f>'Model inputs'!M53</f>
        <v>44377</v>
      </c>
      <c r="N76" s="63">
        <f>'Model inputs'!N53</f>
        <v>44561</v>
      </c>
      <c r="O76" s="12"/>
      <c r="P76" s="12"/>
    </row>
    <row r="77" spans="1:17" s="51" customFormat="1" ht="18" customHeight="1" x14ac:dyDescent="0.35">
      <c r="A77" s="28" t="s">
        <v>130</v>
      </c>
      <c r="O77" s="12"/>
      <c r="P77" s="12"/>
      <c r="Q77" s="52"/>
    </row>
    <row r="78" spans="1:17" ht="18" customHeight="1" x14ac:dyDescent="0.25">
      <c r="A78" s="35" t="s">
        <v>131</v>
      </c>
      <c r="B78" s="21" t="s">
        <v>11</v>
      </c>
      <c r="C78" s="21"/>
      <c r="D78" s="122">
        <f>'Model inputs'!C$20</f>
        <v>0</v>
      </c>
      <c r="E78" s="17">
        <f>D81</f>
        <v>32463</v>
      </c>
      <c r="F78" s="17">
        <f t="shared" ref="F78:N78" si="17">E81</f>
        <v>47312</v>
      </c>
      <c r="G78" s="17">
        <f t="shared" si="17"/>
        <v>87924</v>
      </c>
      <c r="H78" s="17">
        <f t="shared" si="17"/>
        <v>135999</v>
      </c>
      <c r="I78" s="17">
        <f t="shared" si="17"/>
        <v>265543</v>
      </c>
      <c r="J78" s="17">
        <f t="shared" si="17"/>
        <v>343189</v>
      </c>
      <c r="K78" s="17">
        <f t="shared" si="17"/>
        <v>403301</v>
      </c>
      <c r="L78" s="17">
        <f t="shared" si="17"/>
        <v>442228</v>
      </c>
      <c r="M78" s="17">
        <f t="shared" si="17"/>
        <v>454301</v>
      </c>
      <c r="N78" s="17">
        <f t="shared" si="17"/>
        <v>459899</v>
      </c>
      <c r="O78" s="12"/>
      <c r="P78" s="12"/>
      <c r="Q78" s="20"/>
    </row>
    <row r="79" spans="1:17" ht="18" customHeight="1" x14ac:dyDescent="0.25">
      <c r="A79" s="35" t="s">
        <v>132</v>
      </c>
      <c r="B79" s="21" t="s">
        <v>11</v>
      </c>
      <c r="C79" s="21"/>
      <c r="D79" s="68">
        <f>'Model inputs'!D$22</f>
        <v>33012</v>
      </c>
      <c r="E79" s="68">
        <f>'Model inputs'!E$22</f>
        <v>16777</v>
      </c>
      <c r="F79" s="68">
        <f>'Model inputs'!F$22</f>
        <v>43914</v>
      </c>
      <c r="G79" s="68">
        <f>'Model inputs'!G$22</f>
        <v>53390</v>
      </c>
      <c r="H79" s="68">
        <f>'Model inputs'!H$22</f>
        <v>137578</v>
      </c>
      <c r="I79" s="68">
        <f>'Model inputs'!I$22</f>
        <v>94781</v>
      </c>
      <c r="J79" s="68">
        <f>'Model inputs'!J$22</f>
        <v>82498</v>
      </c>
      <c r="K79" s="68">
        <f>'Model inputs'!K$22</f>
        <v>65318</v>
      </c>
      <c r="L79" s="68">
        <f>'Model inputs'!L$22</f>
        <v>40950</v>
      </c>
      <c r="M79" s="68">
        <f>'Model inputs'!M$22</f>
        <v>34517</v>
      </c>
      <c r="N79" s="68">
        <f>'Model inputs'!N$22</f>
        <v>14954</v>
      </c>
      <c r="O79" s="12"/>
      <c r="P79" s="12"/>
      <c r="Q79" s="20"/>
    </row>
    <row r="80" spans="1:17" ht="18" customHeight="1" x14ac:dyDescent="0.25">
      <c r="A80" s="35" t="s">
        <v>30</v>
      </c>
      <c r="B80" s="21" t="s">
        <v>11</v>
      </c>
      <c r="C80" s="21"/>
      <c r="D80" s="68">
        <f>-'Model inputs'!D26</f>
        <v>-549</v>
      </c>
      <c r="E80" s="68">
        <f>-'Model inputs'!E26</f>
        <v>-1928</v>
      </c>
      <c r="F80" s="68">
        <f>-'Model inputs'!F26</f>
        <v>-3302</v>
      </c>
      <c r="G80" s="68">
        <f>-'Model inputs'!G26</f>
        <v>-5315</v>
      </c>
      <c r="H80" s="68">
        <f>-'Model inputs'!H26</f>
        <v>-8034</v>
      </c>
      <c r="I80" s="68">
        <f>-'Model inputs'!I26</f>
        <v>-17135</v>
      </c>
      <c r="J80" s="68">
        <f>-'Model inputs'!J26</f>
        <v>-22386</v>
      </c>
      <c r="K80" s="68">
        <f>-'Model inputs'!K26</f>
        <v>-26391</v>
      </c>
      <c r="L80" s="68">
        <f>-'Model inputs'!L26</f>
        <v>-28877</v>
      </c>
      <c r="M80" s="68">
        <f>-'Model inputs'!M26</f>
        <v>-28919</v>
      </c>
      <c r="N80" s="68">
        <f>-'Model inputs'!N26</f>
        <v>-14277</v>
      </c>
      <c r="O80" s="12"/>
      <c r="P80" s="12"/>
      <c r="Q80" s="20"/>
    </row>
    <row r="81" spans="1:17" ht="18" customHeight="1" x14ac:dyDescent="0.25">
      <c r="A81" s="71" t="s">
        <v>133</v>
      </c>
      <c r="B81" s="21" t="s">
        <v>11</v>
      </c>
      <c r="C81" s="21"/>
      <c r="D81" s="30">
        <f>SUM(D78:D80)</f>
        <v>32463</v>
      </c>
      <c r="E81" s="30">
        <f>SUM(E78:E80)</f>
        <v>47312</v>
      </c>
      <c r="F81" s="30">
        <f t="shared" ref="F81:N81" si="18">SUM(F78:F80)</f>
        <v>87924</v>
      </c>
      <c r="G81" s="30">
        <f t="shared" si="18"/>
        <v>135999</v>
      </c>
      <c r="H81" s="30">
        <f t="shared" si="18"/>
        <v>265543</v>
      </c>
      <c r="I81" s="30">
        <f t="shared" si="18"/>
        <v>343189</v>
      </c>
      <c r="J81" s="30">
        <f t="shared" si="18"/>
        <v>403301</v>
      </c>
      <c r="K81" s="30">
        <f t="shared" si="18"/>
        <v>442228</v>
      </c>
      <c r="L81" s="30">
        <f t="shared" si="18"/>
        <v>454301</v>
      </c>
      <c r="M81" s="30">
        <f t="shared" si="18"/>
        <v>459899</v>
      </c>
      <c r="N81" s="30">
        <f t="shared" si="18"/>
        <v>460576</v>
      </c>
      <c r="O81" s="12"/>
      <c r="P81" s="12"/>
      <c r="Q81" s="20"/>
    </row>
    <row r="82" spans="1:17" ht="18" customHeight="1" x14ac:dyDescent="0.25">
      <c r="A82" s="24"/>
      <c r="B82" s="25"/>
      <c r="C82" s="25"/>
      <c r="D82" s="25"/>
      <c r="E82" s="25"/>
      <c r="F82" s="25"/>
      <c r="G82" s="25"/>
      <c r="H82" s="25"/>
      <c r="I82" s="25"/>
      <c r="J82" s="25"/>
      <c r="K82" s="25"/>
      <c r="L82" s="25"/>
      <c r="M82" s="25"/>
      <c r="N82" s="25"/>
      <c r="O82" s="12"/>
      <c r="P82" s="12"/>
    </row>
    <row r="83" spans="1:17" s="51" customFormat="1" ht="18" customHeight="1" x14ac:dyDescent="0.35">
      <c r="A83" s="28" t="s">
        <v>134</v>
      </c>
      <c r="O83" s="12"/>
      <c r="P83" s="12"/>
      <c r="Q83" s="52"/>
    </row>
    <row r="84" spans="1:17" ht="18" customHeight="1" x14ac:dyDescent="0.25">
      <c r="A84" s="35" t="s">
        <v>135</v>
      </c>
      <c r="B84" s="21" t="s">
        <v>11</v>
      </c>
      <c r="C84" s="21"/>
      <c r="D84" s="122">
        <f>'Model inputs'!C$21</f>
        <v>0</v>
      </c>
      <c r="E84" s="17">
        <f>D88</f>
        <v>32463</v>
      </c>
      <c r="F84" s="17">
        <f t="shared" ref="F84:N84" si="19">E88</f>
        <v>47312</v>
      </c>
      <c r="G84" s="17">
        <f t="shared" si="19"/>
        <v>87924</v>
      </c>
      <c r="H84" s="17">
        <f t="shared" si="19"/>
        <v>135999</v>
      </c>
      <c r="I84" s="17">
        <f t="shared" si="19"/>
        <v>265543</v>
      </c>
      <c r="J84" s="17">
        <f t="shared" si="19"/>
        <v>343189</v>
      </c>
      <c r="K84" s="17">
        <f t="shared" si="19"/>
        <v>403301</v>
      </c>
      <c r="L84" s="17">
        <f t="shared" si="19"/>
        <v>442228</v>
      </c>
      <c r="M84" s="17">
        <f t="shared" si="19"/>
        <v>454301</v>
      </c>
      <c r="N84" s="17">
        <f t="shared" si="19"/>
        <v>459899</v>
      </c>
      <c r="O84" s="12"/>
      <c r="P84" s="12"/>
      <c r="Q84" s="20"/>
    </row>
    <row r="85" spans="1:17" ht="18" customHeight="1" x14ac:dyDescent="0.25">
      <c r="A85" s="35" t="s">
        <v>136</v>
      </c>
      <c r="B85" s="21" t="s">
        <v>11</v>
      </c>
      <c r="C85" s="21"/>
      <c r="D85" s="68">
        <f>'Model inputs'!D$23</f>
        <v>33012</v>
      </c>
      <c r="E85" s="68">
        <f>'Model inputs'!E$23</f>
        <v>16777</v>
      </c>
      <c r="F85" s="68">
        <f>'Model inputs'!F$23</f>
        <v>43914</v>
      </c>
      <c r="G85" s="68">
        <f>'Model inputs'!G$23</f>
        <v>53390</v>
      </c>
      <c r="H85" s="68">
        <f>'Model inputs'!H$23</f>
        <v>137578</v>
      </c>
      <c r="I85" s="68">
        <f>'Model inputs'!I$23</f>
        <v>94781</v>
      </c>
      <c r="J85" s="68">
        <f>'Model inputs'!J$23</f>
        <v>82498</v>
      </c>
      <c r="K85" s="68">
        <f>'Model inputs'!K$23</f>
        <v>65318</v>
      </c>
      <c r="L85" s="68">
        <f>'Model inputs'!L$23</f>
        <v>40950</v>
      </c>
      <c r="M85" s="68">
        <f>'Model inputs'!M$23</f>
        <v>34517</v>
      </c>
      <c r="N85" s="68">
        <f>'Model inputs'!N$23</f>
        <v>14954</v>
      </c>
      <c r="O85" s="12"/>
      <c r="P85" s="12"/>
      <c r="Q85" s="20"/>
    </row>
    <row r="86" spans="1:17" ht="18" customHeight="1" x14ac:dyDescent="0.25">
      <c r="A86" s="35" t="s">
        <v>31</v>
      </c>
      <c r="B86" s="21" t="s">
        <v>11</v>
      </c>
      <c r="C86" s="21"/>
      <c r="D86" s="68">
        <f>-'Model inputs'!D27</f>
        <v>-549</v>
      </c>
      <c r="E86" s="68">
        <f>-'Model inputs'!E27</f>
        <v>-1928</v>
      </c>
      <c r="F86" s="68">
        <f>-'Model inputs'!F27</f>
        <v>-3302</v>
      </c>
      <c r="G86" s="68">
        <f>-'Model inputs'!G27</f>
        <v>-5315</v>
      </c>
      <c r="H86" s="68">
        <f>-'Model inputs'!H27</f>
        <v>-8034</v>
      </c>
      <c r="I86" s="68">
        <f>-'Model inputs'!I27</f>
        <v>-17135</v>
      </c>
      <c r="J86" s="68">
        <f>-'Model inputs'!J27</f>
        <v>-22386</v>
      </c>
      <c r="K86" s="68">
        <f>-'Model inputs'!K27</f>
        <v>-26391</v>
      </c>
      <c r="L86" s="68">
        <f>-'Model inputs'!L27</f>
        <v>-28877</v>
      </c>
      <c r="M86" s="68">
        <f>-'Model inputs'!M27</f>
        <v>-28919</v>
      </c>
      <c r="N86" s="68">
        <f>-'Model inputs'!N27</f>
        <v>-14277</v>
      </c>
      <c r="O86" s="12"/>
      <c r="P86" s="12"/>
      <c r="Q86" s="20"/>
    </row>
    <row r="87" spans="1:17" ht="18" customHeight="1" x14ac:dyDescent="0.25">
      <c r="A87" s="35" t="s">
        <v>41</v>
      </c>
      <c r="B87" s="21" t="s">
        <v>11</v>
      </c>
      <c r="C87" s="21"/>
      <c r="D87" s="68">
        <f>'Model inputs'!D$28</f>
        <v>0</v>
      </c>
      <c r="E87" s="68">
        <f>'Model inputs'!E$28</f>
        <v>0</v>
      </c>
      <c r="F87" s="68">
        <f>'Model inputs'!F$28</f>
        <v>0</v>
      </c>
      <c r="G87" s="68">
        <f>'Model inputs'!G$28</f>
        <v>0</v>
      </c>
      <c r="H87" s="68">
        <f>'Model inputs'!H$28</f>
        <v>0</v>
      </c>
      <c r="I87" s="68">
        <f>'Model inputs'!I$28</f>
        <v>0</v>
      </c>
      <c r="J87" s="68">
        <f>'Model inputs'!J$28</f>
        <v>0</v>
      </c>
      <c r="K87" s="68">
        <f>'Model inputs'!K$28</f>
        <v>0</v>
      </c>
      <c r="L87" s="68">
        <f>'Model inputs'!L$28</f>
        <v>0</v>
      </c>
      <c r="M87" s="68">
        <f>'Model inputs'!M$28</f>
        <v>0</v>
      </c>
      <c r="N87" s="68">
        <f>'Model inputs'!N$28</f>
        <v>0</v>
      </c>
      <c r="O87" s="12"/>
      <c r="P87" s="12"/>
      <c r="Q87" s="20"/>
    </row>
    <row r="88" spans="1:17" ht="18" customHeight="1" x14ac:dyDescent="0.25">
      <c r="A88" s="71" t="s">
        <v>137</v>
      </c>
      <c r="B88" s="21" t="s">
        <v>11</v>
      </c>
      <c r="C88" s="21"/>
      <c r="D88" s="30">
        <f t="shared" ref="D88:N88" si="20">SUM(D84:D87)</f>
        <v>32463</v>
      </c>
      <c r="E88" s="30">
        <f t="shared" si="20"/>
        <v>47312</v>
      </c>
      <c r="F88" s="30">
        <f t="shared" si="20"/>
        <v>87924</v>
      </c>
      <c r="G88" s="30">
        <f t="shared" si="20"/>
        <v>135999</v>
      </c>
      <c r="H88" s="30">
        <f t="shared" si="20"/>
        <v>265543</v>
      </c>
      <c r="I88" s="30">
        <f t="shared" si="20"/>
        <v>343189</v>
      </c>
      <c r="J88" s="30">
        <f t="shared" si="20"/>
        <v>403301</v>
      </c>
      <c r="K88" s="30">
        <f t="shared" si="20"/>
        <v>442228</v>
      </c>
      <c r="L88" s="30">
        <f t="shared" si="20"/>
        <v>454301</v>
      </c>
      <c r="M88" s="30">
        <f t="shared" si="20"/>
        <v>459899</v>
      </c>
      <c r="N88" s="30">
        <f t="shared" si="20"/>
        <v>460576</v>
      </c>
      <c r="O88" s="12"/>
      <c r="P88" s="12"/>
      <c r="Q88" s="20"/>
    </row>
    <row r="89" spans="1:17" ht="18" customHeight="1" x14ac:dyDescent="0.25">
      <c r="A89" s="103"/>
      <c r="B89" s="12"/>
      <c r="C89" s="12"/>
      <c r="D89" s="12"/>
      <c r="E89" s="12"/>
      <c r="F89" s="12"/>
      <c r="G89" s="12"/>
      <c r="H89" s="12"/>
      <c r="I89" s="12"/>
      <c r="J89" s="12"/>
      <c r="K89" s="12"/>
      <c r="L89" s="12"/>
      <c r="M89" s="12"/>
      <c r="N89" s="12"/>
      <c r="O89" s="12"/>
      <c r="P89" s="12"/>
      <c r="Q89" s="20"/>
    </row>
    <row r="90" spans="1:17" s="51" customFormat="1" ht="18" customHeight="1" x14ac:dyDescent="0.35">
      <c r="A90" s="28" t="s">
        <v>106</v>
      </c>
      <c r="O90" s="12"/>
      <c r="P90" s="12"/>
      <c r="Q90" s="52"/>
    </row>
    <row r="91" spans="1:17" ht="18" customHeight="1" x14ac:dyDescent="0.25">
      <c r="A91" s="35" t="s">
        <v>138</v>
      </c>
      <c r="B91" s="21" t="s">
        <v>11</v>
      </c>
      <c r="C91" s="21"/>
      <c r="D91" s="68">
        <f>'Model inputs'!D24</f>
        <v>1018</v>
      </c>
      <c r="E91" s="68">
        <f>'Model inputs'!E24</f>
        <v>3753</v>
      </c>
      <c r="F91" s="68">
        <f>'Model inputs'!F24</f>
        <v>4789</v>
      </c>
      <c r="G91" s="68">
        <f>'Model inputs'!G24</f>
        <v>8408</v>
      </c>
      <c r="H91" s="68">
        <f>'Model inputs'!H24</f>
        <v>15255</v>
      </c>
      <c r="I91" s="68">
        <f>'Model inputs'!I24</f>
        <v>25880</v>
      </c>
      <c r="J91" s="68">
        <f>'Model inputs'!J24</f>
        <v>39993</v>
      </c>
      <c r="K91" s="68">
        <f>'Model inputs'!K24</f>
        <v>55370</v>
      </c>
      <c r="L91" s="68">
        <f>'Model inputs'!L24</f>
        <v>68261</v>
      </c>
      <c r="M91" s="68">
        <f>'Model inputs'!M24</f>
        <v>80243</v>
      </c>
      <c r="N91" s="68">
        <f>'Model inputs'!N24</f>
        <v>44216</v>
      </c>
      <c r="O91" s="12"/>
      <c r="P91" s="12"/>
      <c r="Q91" s="20"/>
    </row>
    <row r="92" spans="1:17" ht="18" customHeight="1" x14ac:dyDescent="0.25">
      <c r="A92" s="35" t="s">
        <v>139</v>
      </c>
      <c r="B92" s="21" t="s">
        <v>11</v>
      </c>
      <c r="C92" s="21"/>
      <c r="D92" s="68">
        <f>-'Model inputs'!D25</f>
        <v>-2609</v>
      </c>
      <c r="E92" s="68">
        <f>-'Model inputs'!E25</f>
        <v>-2369</v>
      </c>
      <c r="F92" s="68">
        <f>-'Model inputs'!F25</f>
        <v>-12776</v>
      </c>
      <c r="G92" s="68">
        <f>-'Model inputs'!G25</f>
        <v>-10334</v>
      </c>
      <c r="H92" s="68">
        <f>-'Model inputs'!H25</f>
        <v>-7136</v>
      </c>
      <c r="I92" s="68">
        <f>-'Model inputs'!I25</f>
        <v>-16423</v>
      </c>
      <c r="J92" s="68">
        <f>-'Model inputs'!J25</f>
        <v>-20161</v>
      </c>
      <c r="K92" s="68">
        <f>-'Model inputs'!K25</f>
        <v>-21279</v>
      </c>
      <c r="L92" s="68">
        <f>-'Model inputs'!L25</f>
        <v>-21762</v>
      </c>
      <c r="M92" s="68">
        <f>-'Model inputs'!M25</f>
        <v>-19987</v>
      </c>
      <c r="N92" s="68">
        <f>-'Model inputs'!N25</f>
        <v>-10230</v>
      </c>
      <c r="O92" s="12"/>
      <c r="P92" s="12"/>
      <c r="Q92" s="20"/>
    </row>
    <row r="93" spans="1:17" ht="18" customHeight="1" x14ac:dyDescent="0.25">
      <c r="A93" s="35" t="s">
        <v>140</v>
      </c>
      <c r="B93" s="21" t="s">
        <v>11</v>
      </c>
      <c r="C93" s="21"/>
      <c r="D93" s="96">
        <f>-D317</f>
        <v>-151.80494249154071</v>
      </c>
      <c r="E93" s="96">
        <f t="shared" ref="E93:N93" si="21">-E317</f>
        <v>-468.56725652353481</v>
      </c>
      <c r="F93" s="96">
        <f t="shared" si="21"/>
        <v>-287.9650909713539</v>
      </c>
      <c r="G93" s="96">
        <f t="shared" si="21"/>
        <v>-362.97189105425571</v>
      </c>
      <c r="H93" s="96">
        <f t="shared" si="21"/>
        <v>-1057.7232930786945</v>
      </c>
      <c r="I93" s="96">
        <f t="shared" si="21"/>
        <v>-1492.0431381700305</v>
      </c>
      <c r="J93" s="96">
        <f t="shared" si="21"/>
        <v>-1306.9655726561646</v>
      </c>
      <c r="K93" s="96">
        <f t="shared" si="21"/>
        <v>-1522.0574482086122</v>
      </c>
      <c r="L93" s="96">
        <f t="shared" si="21"/>
        <v>-1815.3395190837496</v>
      </c>
      <c r="M93" s="96">
        <f t="shared" si="21"/>
        <v>-3328.0243476372216</v>
      </c>
      <c r="N93" s="96">
        <f t="shared" si="21"/>
        <v>-2400.6361045858839</v>
      </c>
      <c r="O93" s="12"/>
      <c r="P93" s="12"/>
      <c r="Q93" s="20"/>
    </row>
    <row r="94" spans="1:17" ht="18" customHeight="1" x14ac:dyDescent="0.25">
      <c r="A94" s="35" t="s">
        <v>31</v>
      </c>
      <c r="B94" s="21" t="s">
        <v>11</v>
      </c>
      <c r="C94" s="21"/>
      <c r="D94" s="17">
        <f t="shared" ref="D94:N94" si="22">D86</f>
        <v>-549</v>
      </c>
      <c r="E94" s="17">
        <f t="shared" si="22"/>
        <v>-1928</v>
      </c>
      <c r="F94" s="17">
        <f t="shared" si="22"/>
        <v>-3302</v>
      </c>
      <c r="G94" s="17">
        <f t="shared" si="22"/>
        <v>-5315</v>
      </c>
      <c r="H94" s="17">
        <f t="shared" si="22"/>
        <v>-8034</v>
      </c>
      <c r="I94" s="17">
        <f t="shared" si="22"/>
        <v>-17135</v>
      </c>
      <c r="J94" s="17">
        <f t="shared" si="22"/>
        <v>-22386</v>
      </c>
      <c r="K94" s="17">
        <f t="shared" si="22"/>
        <v>-26391</v>
      </c>
      <c r="L94" s="17">
        <f t="shared" si="22"/>
        <v>-28877</v>
      </c>
      <c r="M94" s="17">
        <f t="shared" si="22"/>
        <v>-28919</v>
      </c>
      <c r="N94" s="17">
        <f t="shared" si="22"/>
        <v>-14277</v>
      </c>
      <c r="O94" s="12"/>
      <c r="P94" s="12"/>
      <c r="Q94" s="20"/>
    </row>
    <row r="95" spans="1:17" ht="18" customHeight="1" x14ac:dyDescent="0.25">
      <c r="A95" s="35" t="s">
        <v>141</v>
      </c>
      <c r="B95" s="21" t="s">
        <v>11</v>
      </c>
      <c r="C95" s="21"/>
      <c r="D95" s="30">
        <f>SUM(D91:D94)</f>
        <v>-2291.8049424915407</v>
      </c>
      <c r="E95" s="30">
        <f t="shared" ref="E95:N95" si="23">SUM(E91:E94)</f>
        <v>-1012.5672565235348</v>
      </c>
      <c r="F95" s="30">
        <f t="shared" si="23"/>
        <v>-11576.965090971355</v>
      </c>
      <c r="G95" s="30">
        <f t="shared" si="23"/>
        <v>-7603.971891054256</v>
      </c>
      <c r="H95" s="30">
        <f t="shared" si="23"/>
        <v>-972.72329307869404</v>
      </c>
      <c r="I95" s="30">
        <f t="shared" si="23"/>
        <v>-9170.0431381700309</v>
      </c>
      <c r="J95" s="30">
        <f t="shared" si="23"/>
        <v>-3860.965572656165</v>
      </c>
      <c r="K95" s="30">
        <f t="shared" si="23"/>
        <v>6177.9425517913878</v>
      </c>
      <c r="L95" s="30">
        <f t="shared" si="23"/>
        <v>15806.660480916253</v>
      </c>
      <c r="M95" s="30">
        <f t="shared" si="23"/>
        <v>28008.97565236278</v>
      </c>
      <c r="N95" s="30">
        <f t="shared" si="23"/>
        <v>17308.363895414117</v>
      </c>
      <c r="O95" s="12"/>
      <c r="P95" s="12"/>
      <c r="Q95" s="20"/>
    </row>
    <row r="96" spans="1:17" ht="18" customHeight="1" x14ac:dyDescent="0.25">
      <c r="A96" s="35" t="s">
        <v>142</v>
      </c>
      <c r="B96" s="21" t="s">
        <v>11</v>
      </c>
      <c r="C96" s="21"/>
      <c r="D96" s="68">
        <f>D95*'Model inputs'!D29</f>
        <v>-641.70538389763146</v>
      </c>
      <c r="E96" s="68">
        <f>E95*'Model inputs'!E29</f>
        <v>-283.51883182658975</v>
      </c>
      <c r="F96" s="68">
        <f>F95*'Model inputs'!F29</f>
        <v>-3241.5502254719795</v>
      </c>
      <c r="G96" s="68">
        <f>G95*'Model inputs'!G29</f>
        <v>-2129.1121294951918</v>
      </c>
      <c r="H96" s="68">
        <f>H95*'Model inputs'!H29</f>
        <v>-272.36252206203437</v>
      </c>
      <c r="I96" s="68">
        <f>I95*'Model inputs'!I29</f>
        <v>-2567.612078687609</v>
      </c>
      <c r="J96" s="68">
        <f>J95*'Model inputs'!J29</f>
        <v>-1081.0703603437264</v>
      </c>
      <c r="K96" s="68">
        <f>K95*'Model inputs'!K29</f>
        <v>1729.8239145015887</v>
      </c>
      <c r="L96" s="68">
        <f>L95*'Model inputs'!L29</f>
        <v>4425.8649346565508</v>
      </c>
      <c r="M96" s="68">
        <f>M95*'Model inputs'!M29</f>
        <v>7842.5131826615789</v>
      </c>
      <c r="N96" s="68">
        <f>N95*'Model inputs'!N29</f>
        <v>4846.341890715953</v>
      </c>
      <c r="O96" s="12"/>
      <c r="P96" s="12"/>
      <c r="Q96" s="20"/>
    </row>
    <row r="97" spans="1:17" ht="18" customHeight="1" x14ac:dyDescent="0.25">
      <c r="A97" s="15" t="s">
        <v>106</v>
      </c>
      <c r="B97" s="21" t="s">
        <v>11</v>
      </c>
      <c r="C97" s="21"/>
      <c r="D97" s="72">
        <f t="shared" ref="D97:N97" si="24">IF(D96&lt;0,0,D96-D108)</f>
        <v>0</v>
      </c>
      <c r="E97" s="72">
        <f t="shared" si="24"/>
        <v>0</v>
      </c>
      <c r="F97" s="72">
        <f t="shared" si="24"/>
        <v>0</v>
      </c>
      <c r="G97" s="72">
        <f t="shared" si="24"/>
        <v>0</v>
      </c>
      <c r="H97" s="72">
        <f t="shared" si="24"/>
        <v>0</v>
      </c>
      <c r="I97" s="72">
        <f t="shared" si="24"/>
        <v>0</v>
      </c>
      <c r="J97" s="72">
        <f t="shared" si="24"/>
        <v>0</v>
      </c>
      <c r="K97" s="72">
        <f t="shared" si="24"/>
        <v>0</v>
      </c>
      <c r="L97" s="72">
        <f t="shared" si="24"/>
        <v>0</v>
      </c>
      <c r="M97" s="72">
        <f t="shared" si="24"/>
        <v>3781.2705000349551</v>
      </c>
      <c r="N97" s="72">
        <f t="shared" si="24"/>
        <v>4846.341890715953</v>
      </c>
      <c r="O97" s="12"/>
      <c r="P97" s="12"/>
      <c r="Q97" s="20"/>
    </row>
    <row r="98" spans="1:17" ht="18" customHeight="1" x14ac:dyDescent="0.25">
      <c r="A98"/>
      <c r="O98" s="12"/>
      <c r="P98" s="12"/>
    </row>
    <row r="99" spans="1:17" ht="18" customHeight="1" x14ac:dyDescent="0.3">
      <c r="A99" s="33" t="s">
        <v>143</v>
      </c>
      <c r="B99" s="96"/>
      <c r="C99" s="96"/>
      <c r="D99" s="96"/>
      <c r="E99" s="96"/>
      <c r="F99" s="96"/>
      <c r="G99" s="96"/>
      <c r="H99" s="96"/>
      <c r="I99" s="96"/>
      <c r="J99" s="96"/>
      <c r="K99" s="96"/>
      <c r="L99" s="96"/>
      <c r="M99" s="96"/>
      <c r="N99" s="96"/>
      <c r="O99" s="12"/>
      <c r="P99" s="12"/>
    </row>
    <row r="100" spans="1:17" ht="18" customHeight="1" x14ac:dyDescent="0.25">
      <c r="A100" s="35" t="s">
        <v>144</v>
      </c>
      <c r="B100" s="21" t="s">
        <v>11</v>
      </c>
      <c r="C100" s="96"/>
      <c r="D100" s="175">
        <v>0</v>
      </c>
      <c r="E100" s="96">
        <f>D103</f>
        <v>2291.8049424915407</v>
      </c>
      <c r="F100" s="96">
        <f>E103</f>
        <v>3304.3721990150752</v>
      </c>
      <c r="G100" s="96">
        <f t="shared" ref="G100:N100" si="25">F103</f>
        <v>14881.33728998643</v>
      </c>
      <c r="H100" s="96">
        <f t="shared" si="25"/>
        <v>22485.309181040684</v>
      </c>
      <c r="I100" s="96">
        <f t="shared" si="25"/>
        <v>23458.032474119376</v>
      </c>
      <c r="J100" s="96">
        <f t="shared" si="25"/>
        <v>32628.075612289409</v>
      </c>
      <c r="K100" s="96">
        <f t="shared" si="25"/>
        <v>36489.04118494557</v>
      </c>
      <c r="L100" s="96">
        <f t="shared" si="25"/>
        <v>30311.098633154183</v>
      </c>
      <c r="M100" s="96">
        <f t="shared" si="25"/>
        <v>14504.438152237932</v>
      </c>
      <c r="N100" s="96">
        <f t="shared" si="25"/>
        <v>0</v>
      </c>
      <c r="O100" s="12"/>
      <c r="P100" s="12"/>
    </row>
    <row r="101" spans="1:17" ht="18" customHeight="1" x14ac:dyDescent="0.25">
      <c r="A101" s="35" t="s">
        <v>145</v>
      </c>
      <c r="B101" s="21" t="s">
        <v>11</v>
      </c>
      <c r="C101" s="96"/>
      <c r="D101" s="96">
        <f>IF(D95&gt;=0,0,-D95)</f>
        <v>2291.8049424915407</v>
      </c>
      <c r="E101" s="96">
        <f t="shared" ref="E101:N101" si="26">IF(E95&gt;=0,0,-E95)</f>
        <v>1012.5672565235348</v>
      </c>
      <c r="F101" s="96">
        <f t="shared" si="26"/>
        <v>11576.965090971355</v>
      </c>
      <c r="G101" s="96">
        <f t="shared" si="26"/>
        <v>7603.971891054256</v>
      </c>
      <c r="H101" s="96">
        <f t="shared" si="26"/>
        <v>972.72329307869404</v>
      </c>
      <c r="I101" s="96">
        <f t="shared" si="26"/>
        <v>9170.0431381700309</v>
      </c>
      <c r="J101" s="96">
        <f t="shared" si="26"/>
        <v>3860.965572656165</v>
      </c>
      <c r="K101" s="96">
        <f t="shared" si="26"/>
        <v>0</v>
      </c>
      <c r="L101" s="96">
        <f t="shared" si="26"/>
        <v>0</v>
      </c>
      <c r="M101" s="96">
        <f t="shared" si="26"/>
        <v>0</v>
      </c>
      <c r="N101" s="96">
        <f t="shared" si="26"/>
        <v>0</v>
      </c>
      <c r="O101" s="12"/>
      <c r="P101" s="12"/>
    </row>
    <row r="102" spans="1:17" ht="18" customHeight="1" x14ac:dyDescent="0.25">
      <c r="A102" s="35" t="s">
        <v>146</v>
      </c>
      <c r="B102" s="21" t="s">
        <v>11</v>
      </c>
      <c r="C102" s="96"/>
      <c r="D102" s="141">
        <f>D108/'Model inputs'!D$29</f>
        <v>0</v>
      </c>
      <c r="E102" s="141">
        <f>E108/'Model inputs'!E$29</f>
        <v>0</v>
      </c>
      <c r="F102" s="141">
        <f>F108/'Model inputs'!F$29</f>
        <v>0</v>
      </c>
      <c r="G102" s="141">
        <f>G108/'Model inputs'!G$29</f>
        <v>0</v>
      </c>
      <c r="H102" s="141">
        <f>H108/'Model inputs'!H$29</f>
        <v>0</v>
      </c>
      <c r="I102" s="141">
        <f>I108/'Model inputs'!I$29</f>
        <v>0</v>
      </c>
      <c r="J102" s="141">
        <f>J108/'Model inputs'!J$29</f>
        <v>0</v>
      </c>
      <c r="K102" s="141">
        <f>K108/'Model inputs'!K$29</f>
        <v>6177.9425517913878</v>
      </c>
      <c r="L102" s="141">
        <f>L108/'Model inputs'!L$29</f>
        <v>15806.660480916251</v>
      </c>
      <c r="M102" s="141">
        <f>M108/'Model inputs'!M$29</f>
        <v>14504.438152237941</v>
      </c>
      <c r="N102" s="141">
        <f>N108/'Model inputs'!N$29</f>
        <v>0</v>
      </c>
      <c r="O102" s="12"/>
      <c r="P102" s="12"/>
    </row>
    <row r="103" spans="1:17" ht="18" customHeight="1" x14ac:dyDescent="0.25">
      <c r="A103" s="71" t="s">
        <v>147</v>
      </c>
      <c r="B103" s="21" t="s">
        <v>11</v>
      </c>
      <c r="C103" s="96"/>
      <c r="D103" s="140">
        <f>D100+D101-D102</f>
        <v>2291.8049424915407</v>
      </c>
      <c r="E103" s="140">
        <f t="shared" ref="E103:N103" si="27">E100+E101-E102</f>
        <v>3304.3721990150752</v>
      </c>
      <c r="F103" s="140">
        <f t="shared" si="27"/>
        <v>14881.33728998643</v>
      </c>
      <c r="G103" s="140">
        <f t="shared" si="27"/>
        <v>22485.309181040684</v>
      </c>
      <c r="H103" s="140">
        <f t="shared" si="27"/>
        <v>23458.032474119376</v>
      </c>
      <c r="I103" s="140">
        <f t="shared" si="27"/>
        <v>32628.075612289409</v>
      </c>
      <c r="J103" s="140">
        <f t="shared" si="27"/>
        <v>36489.04118494557</v>
      </c>
      <c r="K103" s="140">
        <f t="shared" si="27"/>
        <v>30311.098633154183</v>
      </c>
      <c r="L103" s="140">
        <f t="shared" si="27"/>
        <v>14504.438152237932</v>
      </c>
      <c r="M103" s="140">
        <f t="shared" si="27"/>
        <v>0</v>
      </c>
      <c r="N103" s="142">
        <f t="shared" si="27"/>
        <v>0</v>
      </c>
      <c r="O103" s="12"/>
      <c r="P103" s="12"/>
    </row>
    <row r="104" spans="1:17" ht="18" customHeight="1" x14ac:dyDescent="0.25">
      <c r="A104" s="35"/>
      <c r="B104" s="21"/>
      <c r="C104" s="96"/>
      <c r="D104" s="96"/>
      <c r="E104" s="96"/>
      <c r="F104" s="96"/>
      <c r="G104" s="96"/>
      <c r="H104" s="96"/>
      <c r="I104" s="96"/>
      <c r="J104" s="96"/>
      <c r="K104" s="96"/>
      <c r="L104" s="96"/>
      <c r="M104" s="96"/>
      <c r="N104" s="96"/>
      <c r="O104" s="12"/>
      <c r="P104" s="12"/>
    </row>
    <row r="105" spans="1:17" s="143" customFormat="1" ht="18" customHeight="1" x14ac:dyDescent="0.35">
      <c r="A105" s="28" t="s">
        <v>148</v>
      </c>
      <c r="D105" s="144"/>
      <c r="E105" s="144"/>
      <c r="F105" s="144"/>
      <c r="G105" s="144"/>
      <c r="H105" s="144"/>
      <c r="I105" s="144"/>
      <c r="J105" s="144"/>
      <c r="K105" s="144"/>
      <c r="L105" s="144"/>
      <c r="M105" s="144"/>
      <c r="N105" s="144"/>
      <c r="O105" s="116"/>
      <c r="P105" s="116"/>
    </row>
    <row r="106" spans="1:17" s="143" customFormat="1" ht="18" customHeight="1" x14ac:dyDescent="0.25">
      <c r="A106" s="109" t="s">
        <v>149</v>
      </c>
      <c r="B106" s="21" t="s">
        <v>11</v>
      </c>
      <c r="C106" s="21"/>
      <c r="D106" s="96">
        <v>0</v>
      </c>
      <c r="E106" s="96">
        <f t="shared" ref="E106:N106" si="28">D109</f>
        <v>-641.70538389763146</v>
      </c>
      <c r="F106" s="96">
        <f t="shared" si="28"/>
        <v>-925.22421572422127</v>
      </c>
      <c r="G106" s="96">
        <f t="shared" si="28"/>
        <v>-4166.7744411962012</v>
      </c>
      <c r="H106" s="96">
        <f t="shared" si="28"/>
        <v>-6295.886570691393</v>
      </c>
      <c r="I106" s="96">
        <f t="shared" si="28"/>
        <v>-6568.2490927534272</v>
      </c>
      <c r="J106" s="96">
        <f t="shared" si="28"/>
        <v>-9135.8611714410363</v>
      </c>
      <c r="K106" s="96">
        <f t="shared" si="28"/>
        <v>-10216.931531784763</v>
      </c>
      <c r="L106" s="96">
        <f t="shared" si="28"/>
        <v>-8487.1076172831745</v>
      </c>
      <c r="M106" s="96">
        <f t="shared" si="28"/>
        <v>-4061.2426826266237</v>
      </c>
      <c r="N106" s="96">
        <f t="shared" si="28"/>
        <v>0</v>
      </c>
      <c r="O106" s="116"/>
      <c r="P106" s="116"/>
    </row>
    <row r="107" spans="1:17" s="143" customFormat="1" ht="18" customHeight="1" x14ac:dyDescent="0.25">
      <c r="A107" s="109" t="s">
        <v>150</v>
      </c>
      <c r="B107" s="21" t="s">
        <v>11</v>
      </c>
      <c r="C107" s="21"/>
      <c r="D107" s="96">
        <f t="shared" ref="D107:N107" si="29">IF(D96&lt;0,D96,0)</f>
        <v>-641.70538389763146</v>
      </c>
      <c r="E107" s="96">
        <f t="shared" si="29"/>
        <v>-283.51883182658975</v>
      </c>
      <c r="F107" s="96">
        <f t="shared" si="29"/>
        <v>-3241.5502254719795</v>
      </c>
      <c r="G107" s="96">
        <f t="shared" si="29"/>
        <v>-2129.1121294951918</v>
      </c>
      <c r="H107" s="96">
        <f t="shared" si="29"/>
        <v>-272.36252206203437</v>
      </c>
      <c r="I107" s="96">
        <f t="shared" si="29"/>
        <v>-2567.612078687609</v>
      </c>
      <c r="J107" s="96">
        <f t="shared" si="29"/>
        <v>-1081.0703603437264</v>
      </c>
      <c r="K107" s="96">
        <f t="shared" si="29"/>
        <v>0</v>
      </c>
      <c r="L107" s="96">
        <f t="shared" si="29"/>
        <v>0</v>
      </c>
      <c r="M107" s="96">
        <f t="shared" si="29"/>
        <v>0</v>
      </c>
      <c r="N107" s="96">
        <f t="shared" si="29"/>
        <v>0</v>
      </c>
      <c r="O107" s="116"/>
      <c r="P107" s="116"/>
    </row>
    <row r="108" spans="1:17" s="143" customFormat="1" ht="18" customHeight="1" x14ac:dyDescent="0.25">
      <c r="A108" s="109" t="s">
        <v>151</v>
      </c>
      <c r="B108" s="21" t="s">
        <v>11</v>
      </c>
      <c r="C108" s="21"/>
      <c r="D108" s="141">
        <f t="shared" ref="D108:N108" si="30">IF(D107&lt;0,0,IF(D107=0,IF(D106&gt;-D96,-D106,D96)))</f>
        <v>0</v>
      </c>
      <c r="E108" s="141">
        <f t="shared" si="30"/>
        <v>0</v>
      </c>
      <c r="F108" s="141">
        <f t="shared" si="30"/>
        <v>0</v>
      </c>
      <c r="G108" s="141">
        <f t="shared" si="30"/>
        <v>0</v>
      </c>
      <c r="H108" s="141">
        <f t="shared" si="30"/>
        <v>0</v>
      </c>
      <c r="I108" s="141">
        <f t="shared" si="30"/>
        <v>0</v>
      </c>
      <c r="J108" s="141">
        <f t="shared" si="30"/>
        <v>0</v>
      </c>
      <c r="K108" s="141">
        <f t="shared" si="30"/>
        <v>1729.8239145015887</v>
      </c>
      <c r="L108" s="141">
        <f t="shared" si="30"/>
        <v>4425.8649346565508</v>
      </c>
      <c r="M108" s="141">
        <f t="shared" si="30"/>
        <v>4061.2426826266237</v>
      </c>
      <c r="N108" s="141">
        <f t="shared" si="30"/>
        <v>0</v>
      </c>
      <c r="O108" s="116"/>
      <c r="P108" s="116"/>
    </row>
    <row r="109" spans="1:17" s="143" customFormat="1" ht="18" customHeight="1" x14ac:dyDescent="0.25">
      <c r="A109" s="145" t="s">
        <v>152</v>
      </c>
      <c r="B109" s="21" t="s">
        <v>11</v>
      </c>
      <c r="C109" s="21"/>
      <c r="D109" s="140">
        <f>SUM(D106:D108)</f>
        <v>-641.70538389763146</v>
      </c>
      <c r="E109" s="140">
        <f t="shared" ref="E109:N109" si="31">SUM(E106:E108)</f>
        <v>-925.22421572422127</v>
      </c>
      <c r="F109" s="140">
        <f t="shared" si="31"/>
        <v>-4166.7744411962012</v>
      </c>
      <c r="G109" s="140">
        <f t="shared" si="31"/>
        <v>-6295.886570691393</v>
      </c>
      <c r="H109" s="140">
        <f t="shared" si="31"/>
        <v>-6568.2490927534272</v>
      </c>
      <c r="I109" s="140">
        <f t="shared" si="31"/>
        <v>-9135.8611714410363</v>
      </c>
      <c r="J109" s="140">
        <f t="shared" si="31"/>
        <v>-10216.931531784763</v>
      </c>
      <c r="K109" s="140">
        <f t="shared" si="31"/>
        <v>-8487.1076172831745</v>
      </c>
      <c r="L109" s="140">
        <f t="shared" si="31"/>
        <v>-4061.2426826266237</v>
      </c>
      <c r="M109" s="140">
        <f t="shared" si="31"/>
        <v>0</v>
      </c>
      <c r="N109" s="142">
        <f t="shared" si="31"/>
        <v>0</v>
      </c>
      <c r="O109" s="116"/>
      <c r="P109" s="116"/>
    </row>
    <row r="110" spans="1:17" s="143" customFormat="1" ht="18" customHeight="1" x14ac:dyDescent="0.25">
      <c r="A110" s="146"/>
      <c r="O110" s="116"/>
      <c r="P110" s="116"/>
    </row>
    <row r="111" spans="1:17" ht="18" customHeight="1" x14ac:dyDescent="0.25">
      <c r="A111" s="15"/>
      <c r="B111" s="21"/>
      <c r="C111" s="21"/>
      <c r="D111" s="21"/>
      <c r="E111" s="21"/>
      <c r="F111" s="21"/>
      <c r="G111" s="21"/>
      <c r="H111" s="21"/>
      <c r="I111" s="21"/>
      <c r="J111" s="21"/>
      <c r="K111" s="21"/>
      <c r="L111" s="21"/>
      <c r="M111" s="21"/>
      <c r="N111" s="21"/>
      <c r="O111" s="12"/>
      <c r="P111" s="12"/>
    </row>
    <row r="112" spans="1:17" ht="18" customHeight="1" x14ac:dyDescent="0.35">
      <c r="A112" s="132" t="s">
        <v>153</v>
      </c>
      <c r="B112" s="115"/>
      <c r="C112" s="62" t="s">
        <v>5</v>
      </c>
      <c r="D112" s="62" t="s">
        <v>6</v>
      </c>
      <c r="E112" s="62" t="s">
        <v>7</v>
      </c>
      <c r="F112" s="62" t="s">
        <v>7</v>
      </c>
      <c r="G112" s="62" t="s">
        <v>7</v>
      </c>
      <c r="H112" s="62" t="s">
        <v>7</v>
      </c>
      <c r="I112" s="62" t="s">
        <v>7</v>
      </c>
      <c r="J112" s="62" t="s">
        <v>7</v>
      </c>
      <c r="K112" s="62" t="s">
        <v>7</v>
      </c>
      <c r="L112" s="62" t="s">
        <v>7</v>
      </c>
      <c r="M112" s="62" t="s">
        <v>7</v>
      </c>
      <c r="N112" s="62" t="s">
        <v>8</v>
      </c>
      <c r="O112" s="12"/>
      <c r="P112" s="12"/>
    </row>
    <row r="113" spans="1:16" ht="18" customHeight="1" x14ac:dyDescent="0.25">
      <c r="B113" s="41"/>
      <c r="C113" s="63">
        <f>'Model inputs'!$C$53</f>
        <v>40878</v>
      </c>
      <c r="D113" s="63">
        <f t="shared" ref="D113:N113" si="32">D76</f>
        <v>41090</v>
      </c>
      <c r="E113" s="63">
        <f t="shared" si="32"/>
        <v>41455</v>
      </c>
      <c r="F113" s="63">
        <f t="shared" si="32"/>
        <v>41820</v>
      </c>
      <c r="G113" s="63">
        <f t="shared" si="32"/>
        <v>42185</v>
      </c>
      <c r="H113" s="63">
        <f t="shared" si="32"/>
        <v>42551</v>
      </c>
      <c r="I113" s="63">
        <f t="shared" si="32"/>
        <v>42916</v>
      </c>
      <c r="J113" s="63">
        <f t="shared" si="32"/>
        <v>43281</v>
      </c>
      <c r="K113" s="63">
        <f t="shared" si="32"/>
        <v>43646</v>
      </c>
      <c r="L113" s="63">
        <f t="shared" si="32"/>
        <v>44012</v>
      </c>
      <c r="M113" s="63">
        <f t="shared" si="32"/>
        <v>44377</v>
      </c>
      <c r="N113" s="63">
        <f t="shared" si="32"/>
        <v>44561</v>
      </c>
      <c r="O113" s="12"/>
      <c r="P113" s="12"/>
    </row>
    <row r="114" spans="1:16" ht="18" customHeight="1" x14ac:dyDescent="0.25">
      <c r="A114" s="111" t="s">
        <v>154</v>
      </c>
      <c r="B114" s="21"/>
      <c r="C114" s="21"/>
      <c r="D114" s="21"/>
      <c r="E114" s="21"/>
      <c r="F114" s="21"/>
      <c r="G114" s="21"/>
      <c r="H114" s="21"/>
      <c r="I114" s="21"/>
      <c r="J114" s="21"/>
      <c r="K114" s="21"/>
      <c r="L114" s="21"/>
      <c r="M114" s="21"/>
      <c r="N114" s="21"/>
      <c r="O114" s="12"/>
      <c r="P114" s="12"/>
    </row>
    <row r="115" spans="1:16" ht="18" customHeight="1" x14ac:dyDescent="0.25">
      <c r="A115" s="35" t="s">
        <v>155</v>
      </c>
      <c r="B115" s="21" t="s">
        <v>156</v>
      </c>
      <c r="C115" s="68"/>
      <c r="D115" s="68">
        <f>'Model inputs'!D54</f>
        <v>213</v>
      </c>
      <c r="E115" s="68">
        <f>'Model inputs'!E54</f>
        <v>365</v>
      </c>
      <c r="F115" s="68">
        <f>'Model inputs'!F54</f>
        <v>365</v>
      </c>
      <c r="G115" s="68">
        <f>'Model inputs'!G54</f>
        <v>365</v>
      </c>
      <c r="H115" s="68">
        <f>'Model inputs'!H54</f>
        <v>366</v>
      </c>
      <c r="I115" s="68">
        <f>'Model inputs'!I54</f>
        <v>365</v>
      </c>
      <c r="J115" s="68">
        <f>'Model inputs'!J54</f>
        <v>365</v>
      </c>
      <c r="K115" s="68">
        <f>'Model inputs'!K54</f>
        <v>365</v>
      </c>
      <c r="L115" s="68">
        <f>'Model inputs'!L54</f>
        <v>366</v>
      </c>
      <c r="M115" s="68">
        <f>'Model inputs'!M54</f>
        <v>365</v>
      </c>
      <c r="N115" s="68">
        <f>'Model inputs'!N54</f>
        <v>184</v>
      </c>
      <c r="O115" s="12"/>
      <c r="P115" s="12"/>
    </row>
    <row r="116" spans="1:16" ht="18" customHeight="1" x14ac:dyDescent="0.25">
      <c r="A116" s="35" t="s">
        <v>157</v>
      </c>
      <c r="B116" s="21" t="s">
        <v>156</v>
      </c>
      <c r="C116" s="68"/>
      <c r="D116" s="68">
        <f>'Model inputs'!D$57-1</f>
        <v>105</v>
      </c>
      <c r="E116" s="68">
        <f>'Model inputs'!E$57-1</f>
        <v>181</v>
      </c>
      <c r="F116" s="68">
        <f>'Model inputs'!F$57-1</f>
        <v>181</v>
      </c>
      <c r="G116" s="68">
        <f>'Model inputs'!G$57-1</f>
        <v>181</v>
      </c>
      <c r="H116" s="68">
        <f>'Model inputs'!H$57-1</f>
        <v>182</v>
      </c>
      <c r="I116" s="68">
        <f>'Model inputs'!I$57-1</f>
        <v>181</v>
      </c>
      <c r="J116" s="68">
        <f>'Model inputs'!J$57-1</f>
        <v>181</v>
      </c>
      <c r="K116" s="68">
        <f>'Model inputs'!K$57-1</f>
        <v>181</v>
      </c>
      <c r="L116" s="68">
        <f>'Model inputs'!L$57-1</f>
        <v>182</v>
      </c>
      <c r="M116" s="68">
        <f>'Model inputs'!M$57-1</f>
        <v>181</v>
      </c>
      <c r="N116" s="68">
        <f>'Model inputs'!N$57-1</f>
        <v>91</v>
      </c>
      <c r="O116" s="12"/>
      <c r="P116" s="12"/>
    </row>
    <row r="117" spans="1:16" ht="18" customHeight="1" x14ac:dyDescent="0.25">
      <c r="A117" s="35" t="s">
        <v>158</v>
      </c>
      <c r="B117" s="21" t="s">
        <v>156</v>
      </c>
      <c r="C117" s="68"/>
      <c r="D117" s="68">
        <f>'Model inputs'!D$68</f>
        <v>72</v>
      </c>
      <c r="E117" s="68">
        <f>'Model inputs'!E$68</f>
        <v>148</v>
      </c>
      <c r="F117" s="68">
        <f>'Model inputs'!F$68</f>
        <v>148</v>
      </c>
      <c r="G117" s="68">
        <f>'Model inputs'!G$68</f>
        <v>148</v>
      </c>
      <c r="H117" s="68">
        <f>'Model inputs'!H$68</f>
        <v>149</v>
      </c>
      <c r="I117" s="68">
        <f>'Model inputs'!I$68</f>
        <v>148</v>
      </c>
      <c r="J117" s="68">
        <f>'Model inputs'!J$68</f>
        <v>148</v>
      </c>
      <c r="K117" s="68">
        <f>'Model inputs'!K$68</f>
        <v>148</v>
      </c>
      <c r="L117" s="68">
        <f>'Model inputs'!L$68</f>
        <v>149</v>
      </c>
      <c r="M117" s="68">
        <f>'Model inputs'!M$68</f>
        <v>148</v>
      </c>
      <c r="N117" s="68">
        <f>'Model inputs'!N$68</f>
        <v>58</v>
      </c>
    </row>
    <row r="118" spans="1:16" ht="18" customHeight="1" x14ac:dyDescent="0.25">
      <c r="A118" s="35" t="s">
        <v>159</v>
      </c>
      <c r="B118" s="21"/>
      <c r="C118" s="68"/>
      <c r="D118" s="88">
        <f t="shared" ref="D118:N120" si="33">D115/365.25</f>
        <v>0.58316221765913756</v>
      </c>
      <c r="E118" s="88">
        <f t="shared" si="33"/>
        <v>0.99931553730321698</v>
      </c>
      <c r="F118" s="88">
        <f t="shared" si="33"/>
        <v>0.99931553730321698</v>
      </c>
      <c r="G118" s="88">
        <f t="shared" si="33"/>
        <v>0.99931553730321698</v>
      </c>
      <c r="H118" s="88">
        <f t="shared" si="33"/>
        <v>1.0020533880903491</v>
      </c>
      <c r="I118" s="88">
        <f t="shared" si="33"/>
        <v>0.99931553730321698</v>
      </c>
      <c r="J118" s="88">
        <f t="shared" si="33"/>
        <v>0.99931553730321698</v>
      </c>
      <c r="K118" s="88">
        <f t="shared" si="33"/>
        <v>0.99931553730321698</v>
      </c>
      <c r="L118" s="88">
        <f t="shared" si="33"/>
        <v>1.0020533880903491</v>
      </c>
      <c r="M118" s="88">
        <f t="shared" si="33"/>
        <v>0.99931553730321698</v>
      </c>
      <c r="N118" s="88">
        <f t="shared" si="33"/>
        <v>0.50376454483230659</v>
      </c>
      <c r="O118" s="12"/>
      <c r="P118" s="12"/>
    </row>
    <row r="119" spans="1:16" ht="18" customHeight="1" x14ac:dyDescent="0.25">
      <c r="A119" s="35" t="s">
        <v>160</v>
      </c>
      <c r="B119" s="68"/>
      <c r="C119" s="68"/>
      <c r="D119" s="88">
        <f>D116/365.25</f>
        <v>0.28747433264887062</v>
      </c>
      <c r="E119" s="88">
        <f t="shared" si="33"/>
        <v>0.49555099247091033</v>
      </c>
      <c r="F119" s="88">
        <f t="shared" si="33"/>
        <v>0.49555099247091033</v>
      </c>
      <c r="G119" s="88">
        <f t="shared" si="33"/>
        <v>0.49555099247091033</v>
      </c>
      <c r="H119" s="88">
        <f t="shared" si="33"/>
        <v>0.49828884325804246</v>
      </c>
      <c r="I119" s="88">
        <f t="shared" si="33"/>
        <v>0.49555099247091033</v>
      </c>
      <c r="J119" s="88">
        <f t="shared" si="33"/>
        <v>0.49555099247091033</v>
      </c>
      <c r="K119" s="88">
        <f t="shared" si="33"/>
        <v>0.49555099247091033</v>
      </c>
      <c r="L119" s="88">
        <f t="shared" si="33"/>
        <v>0.49828884325804246</v>
      </c>
      <c r="M119" s="88">
        <f t="shared" si="33"/>
        <v>0.49555099247091033</v>
      </c>
      <c r="N119" s="88">
        <f t="shared" si="33"/>
        <v>0.24914442162902123</v>
      </c>
    </row>
    <row r="120" spans="1:16" ht="18" customHeight="1" x14ac:dyDescent="0.25">
      <c r="A120" s="35" t="s">
        <v>161</v>
      </c>
      <c r="B120" s="68"/>
      <c r="C120" s="68"/>
      <c r="D120" s="88">
        <f>D117/365.25</f>
        <v>0.1971252566735113</v>
      </c>
      <c r="E120" s="88">
        <f t="shared" si="33"/>
        <v>0.40520191649555098</v>
      </c>
      <c r="F120" s="88">
        <f t="shared" si="33"/>
        <v>0.40520191649555098</v>
      </c>
      <c r="G120" s="88">
        <f t="shared" si="33"/>
        <v>0.40520191649555098</v>
      </c>
      <c r="H120" s="88">
        <f t="shared" si="33"/>
        <v>0.40793976728268311</v>
      </c>
      <c r="I120" s="88">
        <f t="shared" si="33"/>
        <v>0.40520191649555098</v>
      </c>
      <c r="J120" s="88">
        <f t="shared" si="33"/>
        <v>0.40520191649555098</v>
      </c>
      <c r="K120" s="88">
        <f t="shared" si="33"/>
        <v>0.40520191649555098</v>
      </c>
      <c r="L120" s="88">
        <f t="shared" si="33"/>
        <v>0.40793976728268311</v>
      </c>
      <c r="M120" s="88">
        <f t="shared" si="33"/>
        <v>0.40520191649555098</v>
      </c>
      <c r="N120" s="88">
        <f t="shared" si="33"/>
        <v>0.15879534565366188</v>
      </c>
    </row>
    <row r="121" spans="1:16" ht="18" customHeight="1" x14ac:dyDescent="0.25">
      <c r="A121" s="35" t="s">
        <v>50</v>
      </c>
      <c r="B121" s="21" t="s">
        <v>18</v>
      </c>
      <c r="C121" s="97">
        <f>'Model inputs'!C45</f>
        <v>6.2339355589869902E-2</v>
      </c>
      <c r="D121" s="97">
        <f>'Model inputs'!D45</f>
        <v>6.4326867547209718E-2</v>
      </c>
      <c r="E121" s="97">
        <f>'Model inputs'!E45</f>
        <v>5.239123342763756E-2</v>
      </c>
      <c r="F121" s="97">
        <f>'Model inputs'!F45</f>
        <v>6.5210564262641602E-2</v>
      </c>
      <c r="G121" s="97">
        <f>'Model inputs'!G45</f>
        <v>5.6007340817272856E-2</v>
      </c>
      <c r="H121" s="97">
        <f>'Model inputs'!H45</f>
        <v>4.8566588558104418E-2</v>
      </c>
      <c r="I121" s="97">
        <f>'Model inputs'!I45</f>
        <v>4.7363493132139597E-2</v>
      </c>
      <c r="J121" s="97">
        <f>'Model inputs'!J45</f>
        <v>4.2480720370542777E-2</v>
      </c>
      <c r="K121" s="97">
        <f>'Model inputs'!K45</f>
        <v>4.0592888091034438E-2</v>
      </c>
      <c r="L121" s="97">
        <f>'Model inputs'!L45</f>
        <v>2.9597755753197487E-2</v>
      </c>
      <c r="M121" s="97">
        <f>'Model inputs'!M45</f>
        <v>2.0048153676001084E-2</v>
      </c>
      <c r="N121" s="97">
        <f>'Model inputs'!N45</f>
        <v>2.692481461E-2</v>
      </c>
      <c r="O121" s="12"/>
      <c r="P121" s="12"/>
    </row>
    <row r="122" spans="1:16" ht="18" customHeight="1" x14ac:dyDescent="0.25">
      <c r="A122" s="35" t="s">
        <v>87</v>
      </c>
      <c r="B122" s="21" t="s">
        <v>18</v>
      </c>
      <c r="C122" s="68"/>
      <c r="D122" s="97">
        <f>'Model inputs'!D100</f>
        <v>6.4326867547209718E-2</v>
      </c>
      <c r="E122" s="97">
        <f>'Model inputs'!E100</f>
        <v>5.239123342763756E-2</v>
      </c>
      <c r="F122" s="97">
        <f>'Model inputs'!F100</f>
        <v>6.5210564262641602E-2</v>
      </c>
      <c r="G122" s="97">
        <f>'Model inputs'!G100</f>
        <v>5.6007340817272856E-2</v>
      </c>
      <c r="H122" s="97">
        <f>'Model inputs'!H100</f>
        <v>4.8566588558104418E-2</v>
      </c>
      <c r="I122" s="97">
        <f>'Model inputs'!I100</f>
        <v>4.7363493132139597E-2</v>
      </c>
      <c r="J122" s="97">
        <f>'Model inputs'!J100</f>
        <v>4.2480720370542777E-2</v>
      </c>
      <c r="K122" s="97">
        <f>'Model inputs'!K100</f>
        <v>4.0592888091034438E-2</v>
      </c>
      <c r="L122" s="97">
        <f>'Model inputs'!L100</f>
        <v>2.9597755753197487E-2</v>
      </c>
      <c r="M122" s="97">
        <f>'Model inputs'!M100</f>
        <v>2.0048153676001084E-2</v>
      </c>
      <c r="N122" s="97">
        <f>'Model inputs'!N100</f>
        <v>2.692481461E-2</v>
      </c>
      <c r="O122" s="12"/>
      <c r="P122" s="12"/>
    </row>
    <row r="123" spans="1:16" ht="18" customHeight="1" x14ac:dyDescent="0.25">
      <c r="A123" s="35" t="s">
        <v>162</v>
      </c>
      <c r="B123" s="21" t="s">
        <v>18</v>
      </c>
      <c r="C123" s="68"/>
      <c r="D123" s="166">
        <f>IFERROR(D53/D51,0)</f>
        <v>0</v>
      </c>
      <c r="E123" s="134">
        <f t="shared" ref="E123:N123" si="34">(E$53-E$124)/(D$52+D$54)</f>
        <v>-4.4681151607978711E-2</v>
      </c>
      <c r="F123" s="134">
        <f t="shared" si="34"/>
        <v>-7.2360970376110154E-2</v>
      </c>
      <c r="G123" s="134">
        <f t="shared" si="34"/>
        <v>-4.2214191852825232E-2</v>
      </c>
      <c r="H123" s="134">
        <f t="shared" si="34"/>
        <v>-3.0624285901590217E-2</v>
      </c>
      <c r="I123" s="134">
        <f t="shared" si="34"/>
        <v>-5.5682340107934318E-2</v>
      </c>
      <c r="J123" s="134">
        <f t="shared" si="34"/>
        <v>-4.5962987756159708E-2</v>
      </c>
      <c r="K123" s="134">
        <f t="shared" si="34"/>
        <v>-2.2734907380746714E-2</v>
      </c>
      <c r="L123" s="134">
        <f t="shared" si="34"/>
        <v>-4.4951358604495138E-2</v>
      </c>
      <c r="M123" s="134">
        <f t="shared" si="34"/>
        <v>4.9003343457287973E-3</v>
      </c>
      <c r="N123" s="134">
        <f t="shared" si="34"/>
        <v>1.0846460680763186E-2</v>
      </c>
      <c r="O123" s="12"/>
      <c r="P123" s="12"/>
    </row>
    <row r="124" spans="1:16" ht="18" customHeight="1" x14ac:dyDescent="0.25">
      <c r="A124" s="35" t="s">
        <v>163</v>
      </c>
      <c r="B124" s="21" t="s">
        <v>11</v>
      </c>
      <c r="C124" s="68"/>
      <c r="D124" s="110"/>
      <c r="E124" s="122">
        <f>E131</f>
        <v>0</v>
      </c>
      <c r="F124" s="12">
        <f t="shared" ref="F124:M124" si="35">E236-F125</f>
        <v>-1475</v>
      </c>
      <c r="G124" s="12">
        <f t="shared" si="35"/>
        <v>-2689</v>
      </c>
      <c r="H124" s="12">
        <f t="shared" si="35"/>
        <v>-4488</v>
      </c>
      <c r="I124" s="12">
        <f t="shared" si="35"/>
        <v>-6123</v>
      </c>
      <c r="J124" s="12">
        <f t="shared" si="35"/>
        <v>-13882</v>
      </c>
      <c r="K124" s="12">
        <f t="shared" si="35"/>
        <v>-18139</v>
      </c>
      <c r="L124" s="12">
        <f t="shared" si="35"/>
        <v>-20034</v>
      </c>
      <c r="M124" s="12">
        <f t="shared" si="35"/>
        <v>-22982</v>
      </c>
      <c r="N124" s="122">
        <f>SUM(N140,N131,N149,N158,N167,N176,N185,N194,N203,N212)</f>
        <v>-12212.741273100615</v>
      </c>
      <c r="O124" s="12"/>
      <c r="P124" s="12"/>
    </row>
    <row r="125" spans="1:16" ht="18" customHeight="1" x14ac:dyDescent="0.25">
      <c r="A125" s="35" t="s">
        <v>164</v>
      </c>
      <c r="B125" s="21" t="s">
        <v>11</v>
      </c>
      <c r="C125" s="68"/>
      <c r="D125" s="110">
        <v>0</v>
      </c>
      <c r="E125" s="152">
        <v>0</v>
      </c>
      <c r="F125" s="17">
        <f t="shared" ref="F125:N125" si="36">E131-F131</f>
        <v>0</v>
      </c>
      <c r="G125" s="17">
        <f t="shared" si="36"/>
        <v>0</v>
      </c>
      <c r="H125" s="17">
        <f t="shared" si="36"/>
        <v>0</v>
      </c>
      <c r="I125" s="17">
        <f t="shared" si="36"/>
        <v>0</v>
      </c>
      <c r="J125" s="17">
        <f t="shared" si="36"/>
        <v>0</v>
      </c>
      <c r="K125" s="17">
        <f t="shared" si="36"/>
        <v>0</v>
      </c>
      <c r="L125" s="17">
        <f t="shared" si="36"/>
        <v>0</v>
      </c>
      <c r="M125" s="17">
        <f t="shared" si="36"/>
        <v>0</v>
      </c>
      <c r="N125" s="17">
        <f t="shared" si="36"/>
        <v>0</v>
      </c>
      <c r="O125" s="12"/>
      <c r="P125" s="12"/>
    </row>
    <row r="126" spans="1:16" ht="18" customHeight="1" x14ac:dyDescent="0.25">
      <c r="A126" s="35"/>
      <c r="B126" s="21"/>
      <c r="C126" s="68"/>
      <c r="D126" s="68"/>
      <c r="E126" s="68"/>
      <c r="F126" s="17"/>
      <c r="G126" s="17"/>
      <c r="H126" s="17"/>
      <c r="I126" s="17"/>
      <c r="J126" s="17"/>
      <c r="K126" s="17"/>
      <c r="L126" s="17"/>
      <c r="M126" s="17"/>
      <c r="N126" s="17"/>
      <c r="O126" s="12"/>
      <c r="P126" s="12"/>
    </row>
    <row r="127" spans="1:16" ht="18" customHeight="1" x14ac:dyDescent="0.3">
      <c r="A127" s="28" t="s">
        <v>165</v>
      </c>
      <c r="B127" s="21"/>
      <c r="C127" s="68"/>
      <c r="D127" s="68"/>
      <c r="E127" s="68"/>
      <c r="F127" s="68"/>
      <c r="G127" s="68"/>
      <c r="H127" s="68"/>
      <c r="I127" s="68"/>
      <c r="J127" s="68"/>
      <c r="K127" s="68"/>
      <c r="L127" s="68"/>
      <c r="M127" s="68"/>
      <c r="N127" s="68"/>
      <c r="O127" s="12"/>
      <c r="P127" s="12"/>
    </row>
    <row r="128" spans="1:16" ht="18" customHeight="1" x14ac:dyDescent="0.25">
      <c r="A128" s="15" t="s">
        <v>166</v>
      </c>
      <c r="B128" s="21"/>
      <c r="C128" s="68"/>
      <c r="D128" s="68"/>
      <c r="E128" s="68"/>
      <c r="F128" s="68"/>
      <c r="G128" s="68"/>
      <c r="H128" s="68"/>
      <c r="I128" s="68"/>
      <c r="J128" s="68"/>
      <c r="K128" s="68"/>
      <c r="L128" s="68"/>
      <c r="M128" s="68"/>
      <c r="N128" s="68"/>
      <c r="O128" s="12"/>
      <c r="P128" s="12"/>
    </row>
    <row r="129" spans="1:17" ht="18" customHeight="1" x14ac:dyDescent="0.25">
      <c r="A129" s="35" t="s">
        <v>167</v>
      </c>
      <c r="B129" s="21" t="s">
        <v>11</v>
      </c>
      <c r="C129" s="46"/>
      <c r="D129" s="46">
        <f>C132</f>
        <v>0</v>
      </c>
      <c r="E129" s="46">
        <f t="shared" ref="E129:N129" si="37">D132</f>
        <v>0</v>
      </c>
      <c r="F129" s="46">
        <f t="shared" si="37"/>
        <v>0</v>
      </c>
      <c r="G129" s="46">
        <f t="shared" si="37"/>
        <v>0</v>
      </c>
      <c r="H129" s="46">
        <f t="shared" si="37"/>
        <v>0</v>
      </c>
      <c r="I129" s="46">
        <f t="shared" si="37"/>
        <v>0</v>
      </c>
      <c r="J129" s="46">
        <f t="shared" si="37"/>
        <v>0</v>
      </c>
      <c r="K129" s="46">
        <f t="shared" si="37"/>
        <v>0</v>
      </c>
      <c r="L129" s="46">
        <f t="shared" si="37"/>
        <v>0</v>
      </c>
      <c r="M129" s="46">
        <f t="shared" si="37"/>
        <v>0</v>
      </c>
      <c r="N129" s="46">
        <f t="shared" si="37"/>
        <v>0</v>
      </c>
      <c r="O129" s="12"/>
      <c r="P129" s="12"/>
    </row>
    <row r="130" spans="1:17" ht="18" customHeight="1" x14ac:dyDescent="0.25">
      <c r="A130" s="35" t="s">
        <v>168</v>
      </c>
      <c r="B130" s="21" t="s">
        <v>11</v>
      </c>
      <c r="C130" s="46">
        <f>C22</f>
        <v>0</v>
      </c>
      <c r="D130" s="46"/>
      <c r="E130" s="46"/>
      <c r="F130" s="46"/>
      <c r="G130" s="46"/>
      <c r="H130" s="46"/>
      <c r="I130" s="46"/>
      <c r="J130" s="46"/>
      <c r="K130" s="46"/>
      <c r="L130" s="46"/>
      <c r="M130" s="46"/>
      <c r="N130" s="46"/>
      <c r="O130" s="12"/>
      <c r="P130" s="12"/>
    </row>
    <row r="131" spans="1:17" ht="18" customHeight="1" x14ac:dyDescent="0.25">
      <c r="A131" s="35" t="s">
        <v>169</v>
      </c>
      <c r="B131" s="21" t="s">
        <v>11</v>
      </c>
      <c r="C131" s="81"/>
      <c r="D131" s="151">
        <f>D129*D$123</f>
        <v>0</v>
      </c>
      <c r="E131" s="151">
        <f>IF(E129+D131&lt;0,-E129,D131/D118)</f>
        <v>0</v>
      </c>
      <c r="F131" s="81">
        <f t="shared" ref="F131:N131" si="38">IF(F129+E131&lt;0,-F129,E131)</f>
        <v>0</v>
      </c>
      <c r="G131" s="81">
        <f t="shared" si="38"/>
        <v>0</v>
      </c>
      <c r="H131" s="81">
        <f t="shared" si="38"/>
        <v>0</v>
      </c>
      <c r="I131" s="81">
        <f t="shared" si="38"/>
        <v>0</v>
      </c>
      <c r="J131" s="81">
        <f t="shared" si="38"/>
        <v>0</v>
      </c>
      <c r="K131" s="81">
        <f t="shared" si="38"/>
        <v>0</v>
      </c>
      <c r="L131" s="81">
        <f t="shared" si="38"/>
        <v>0</v>
      </c>
      <c r="M131" s="81">
        <f t="shared" si="38"/>
        <v>0</v>
      </c>
      <c r="N131" s="81">
        <f t="shared" si="38"/>
        <v>0</v>
      </c>
      <c r="O131" s="12"/>
      <c r="P131" s="12"/>
    </row>
    <row r="132" spans="1:17" ht="18" customHeight="1" x14ac:dyDescent="0.25">
      <c r="A132" s="35" t="s">
        <v>170</v>
      </c>
      <c r="B132" s="21" t="s">
        <v>11</v>
      </c>
      <c r="C132" s="46">
        <f>SUM(C129:C131)</f>
        <v>0</v>
      </c>
      <c r="D132" s="46">
        <f t="shared" ref="D132:N132" si="39">SUM(D129:D131)</f>
        <v>0</v>
      </c>
      <c r="E132" s="46">
        <f t="shared" si="39"/>
        <v>0</v>
      </c>
      <c r="F132" s="46">
        <f t="shared" si="39"/>
        <v>0</v>
      </c>
      <c r="G132" s="46">
        <f t="shared" si="39"/>
        <v>0</v>
      </c>
      <c r="H132" s="46">
        <f t="shared" si="39"/>
        <v>0</v>
      </c>
      <c r="I132" s="46">
        <f t="shared" si="39"/>
        <v>0</v>
      </c>
      <c r="J132" s="46">
        <f t="shared" si="39"/>
        <v>0</v>
      </c>
      <c r="K132" s="46">
        <f t="shared" si="39"/>
        <v>0</v>
      </c>
      <c r="L132" s="46">
        <f t="shared" si="39"/>
        <v>0</v>
      </c>
      <c r="M132" s="46">
        <f t="shared" si="39"/>
        <v>0</v>
      </c>
      <c r="N132" s="46">
        <f t="shared" si="39"/>
        <v>0</v>
      </c>
      <c r="O132" s="12"/>
      <c r="P132" s="12"/>
    </row>
    <row r="133" spans="1:17" ht="18" customHeight="1" x14ac:dyDescent="0.25">
      <c r="A133" s="35" t="s">
        <v>171</v>
      </c>
      <c r="B133" s="21" t="s">
        <v>11</v>
      </c>
      <c r="C133" s="46"/>
      <c r="D133" s="135">
        <f>D129*'Model inputs'!D$48*((1+$C$121)^D$118-1)</f>
        <v>0</v>
      </c>
      <c r="E133" s="135">
        <f>E129*'Model inputs'!E$48*((1+$C$121)^E$118-1)</f>
        <v>0</v>
      </c>
      <c r="F133" s="135">
        <f>F129*'Model inputs'!F$48*((1+$C$121)^F$118-1)</f>
        <v>0</v>
      </c>
      <c r="G133" s="135">
        <f>G129*'Model inputs'!G$48*((1+$C$121)^G$118-1)</f>
        <v>0</v>
      </c>
      <c r="H133" s="135">
        <f>H129*'Model inputs'!H$48*((1+$C$121)^H$118-1)</f>
        <v>0</v>
      </c>
      <c r="I133" s="135">
        <f>I129*'Model inputs'!I$48*((1+$C$121)^I$118-1)</f>
        <v>0</v>
      </c>
      <c r="J133" s="135">
        <f>J129*'Model inputs'!J$48*((1+$C$121)^J$118-1)</f>
        <v>0</v>
      </c>
      <c r="K133" s="135">
        <f>K129*'Model inputs'!K$48*((1+$C$121)^K$118-1)</f>
        <v>0</v>
      </c>
      <c r="L133" s="135">
        <f>L129*'Model inputs'!L$48*((1+$C$121)^L$118-1)</f>
        <v>0</v>
      </c>
      <c r="M133" s="135">
        <f>M129*'Model inputs'!M$48*((1+$C$121)^M$118-1)</f>
        <v>0</v>
      </c>
      <c r="N133" s="135">
        <f>N129*'Model inputs'!N$48*((1+$C$121)^N$118-1)</f>
        <v>0</v>
      </c>
      <c r="O133" s="12"/>
      <c r="P133" s="12"/>
    </row>
    <row r="134" spans="1:17" ht="18" customHeight="1" x14ac:dyDescent="0.25">
      <c r="A134" s="35" t="s">
        <v>172</v>
      </c>
      <c r="B134" s="21" t="s">
        <v>11</v>
      </c>
      <c r="C134" s="81"/>
      <c r="D134" s="176">
        <v>0</v>
      </c>
      <c r="E134" s="176">
        <v>0</v>
      </c>
      <c r="F134" s="176">
        <v>0</v>
      </c>
      <c r="G134" s="176">
        <v>0</v>
      </c>
      <c r="H134" s="176">
        <v>0</v>
      </c>
      <c r="I134" s="176">
        <v>0</v>
      </c>
      <c r="J134" s="176">
        <v>0</v>
      </c>
      <c r="K134" s="176">
        <v>0</v>
      </c>
      <c r="L134" s="176">
        <v>0</v>
      </c>
      <c r="M134" s="176">
        <v>0</v>
      </c>
      <c r="N134" s="176">
        <v>0</v>
      </c>
      <c r="O134" s="12"/>
      <c r="P134" s="12"/>
    </row>
    <row r="135" spans="1:17" ht="18" customHeight="1" x14ac:dyDescent="0.25">
      <c r="A135" s="35" t="s">
        <v>173</v>
      </c>
      <c r="B135" s="21" t="s">
        <v>11</v>
      </c>
      <c r="C135" s="46"/>
      <c r="D135" s="46">
        <f>SUM(D133:D134)</f>
        <v>0</v>
      </c>
      <c r="E135" s="46">
        <f t="shared" ref="E135:N135" si="40">SUM(E133:E134)</f>
        <v>0</v>
      </c>
      <c r="F135" s="46">
        <f t="shared" si="40"/>
        <v>0</v>
      </c>
      <c r="G135" s="46">
        <f t="shared" si="40"/>
        <v>0</v>
      </c>
      <c r="H135" s="46">
        <f t="shared" si="40"/>
        <v>0</v>
      </c>
      <c r="I135" s="46">
        <f t="shared" si="40"/>
        <v>0</v>
      </c>
      <c r="J135" s="46">
        <f t="shared" si="40"/>
        <v>0</v>
      </c>
      <c r="K135" s="46">
        <f t="shared" si="40"/>
        <v>0</v>
      </c>
      <c r="L135" s="46">
        <f t="shared" si="40"/>
        <v>0</v>
      </c>
      <c r="M135" s="46">
        <f t="shared" si="40"/>
        <v>0</v>
      </c>
      <c r="N135" s="46">
        <f t="shared" si="40"/>
        <v>0</v>
      </c>
      <c r="O135" s="12"/>
      <c r="P135" s="12"/>
    </row>
    <row r="136" spans="1:17" ht="18" customHeight="1" x14ac:dyDescent="0.25">
      <c r="A136" s="15"/>
      <c r="B136" s="21"/>
      <c r="C136" s="17"/>
      <c r="D136" s="12"/>
      <c r="E136" s="12"/>
      <c r="F136" s="12"/>
      <c r="G136" s="12"/>
      <c r="H136" s="12"/>
      <c r="I136" s="12"/>
      <c r="J136" s="12"/>
      <c r="K136" s="12"/>
      <c r="O136" s="12"/>
      <c r="P136" s="12"/>
    </row>
    <row r="137" spans="1:17" ht="18" customHeight="1" x14ac:dyDescent="0.25">
      <c r="A137" s="15" t="s">
        <v>174</v>
      </c>
      <c r="B137" s="21"/>
      <c r="C137" s="68"/>
      <c r="D137" s="68"/>
      <c r="E137" s="68"/>
      <c r="F137" s="68"/>
      <c r="G137" s="68"/>
      <c r="H137" s="68"/>
      <c r="I137" s="68"/>
      <c r="J137" s="68"/>
      <c r="K137" s="68"/>
      <c r="L137" s="68"/>
      <c r="M137" s="68"/>
      <c r="N137" s="68"/>
      <c r="O137" s="12"/>
      <c r="P137" s="12"/>
    </row>
    <row r="138" spans="1:17" ht="18" customHeight="1" x14ac:dyDescent="0.25">
      <c r="A138" s="35" t="s">
        <v>167</v>
      </c>
      <c r="B138" s="21" t="s">
        <v>11</v>
      </c>
      <c r="C138" s="17"/>
      <c r="D138" s="17"/>
      <c r="E138" s="46">
        <f t="shared" ref="E138:N138" si="41">D141</f>
        <v>33011.682710000008</v>
      </c>
      <c r="F138" s="46">
        <f t="shared" si="41"/>
        <v>31536.682710000008</v>
      </c>
      <c r="G138" s="46">
        <f t="shared" si="41"/>
        <v>30061.682710000008</v>
      </c>
      <c r="H138" s="46">
        <f t="shared" si="41"/>
        <v>28586.682710000008</v>
      </c>
      <c r="I138" s="46">
        <f t="shared" si="41"/>
        <v>27111.682710000008</v>
      </c>
      <c r="J138" s="46">
        <f t="shared" si="41"/>
        <v>25636.682710000008</v>
      </c>
      <c r="K138" s="46">
        <f t="shared" si="41"/>
        <v>24161.682710000008</v>
      </c>
      <c r="L138" s="46">
        <f t="shared" si="41"/>
        <v>22686.682710000008</v>
      </c>
      <c r="M138" s="46">
        <f t="shared" si="41"/>
        <v>21211.682710000008</v>
      </c>
      <c r="N138" s="46">
        <f t="shared" si="41"/>
        <v>19736.682710000008</v>
      </c>
      <c r="O138" s="12"/>
      <c r="P138" s="12"/>
    </row>
    <row r="139" spans="1:17" ht="18" customHeight="1" x14ac:dyDescent="0.25">
      <c r="A139" s="35" t="s">
        <v>175</v>
      </c>
      <c r="B139" s="21" t="s">
        <v>11</v>
      </c>
      <c r="C139" s="17"/>
      <c r="D139" s="46">
        <f>D$52+D$54</f>
        <v>33011.682710000008</v>
      </c>
      <c r="E139" s="46"/>
      <c r="F139" s="46"/>
      <c r="G139" s="46"/>
      <c r="H139" s="46"/>
      <c r="I139" s="46"/>
      <c r="J139" s="46"/>
      <c r="K139" s="46"/>
      <c r="L139" s="46"/>
      <c r="M139" s="46"/>
      <c r="N139" s="46"/>
      <c r="O139" s="12"/>
      <c r="P139" s="12"/>
    </row>
    <row r="140" spans="1:17" ht="18" customHeight="1" x14ac:dyDescent="0.25">
      <c r="A140" s="35" t="s">
        <v>169</v>
      </c>
      <c r="B140" s="21" t="s">
        <v>11</v>
      </c>
      <c r="C140" s="81"/>
      <c r="D140" s="81"/>
      <c r="E140" s="151">
        <f>E138*E$123</f>
        <v>-1475</v>
      </c>
      <c r="F140" s="81">
        <f t="shared" ref="F140:N140" si="42">IF(F138+E140&lt;0,-F138,E140)</f>
        <v>-1475</v>
      </c>
      <c r="G140" s="81">
        <f t="shared" si="42"/>
        <v>-1475</v>
      </c>
      <c r="H140" s="81">
        <f t="shared" si="42"/>
        <v>-1475</v>
      </c>
      <c r="I140" s="81">
        <f t="shared" si="42"/>
        <v>-1475</v>
      </c>
      <c r="J140" s="81">
        <f t="shared" si="42"/>
        <v>-1475</v>
      </c>
      <c r="K140" s="81">
        <f t="shared" si="42"/>
        <v>-1475</v>
      </c>
      <c r="L140" s="81">
        <f t="shared" si="42"/>
        <v>-1475</v>
      </c>
      <c r="M140" s="81">
        <f t="shared" si="42"/>
        <v>-1475</v>
      </c>
      <c r="N140" s="81">
        <f t="shared" si="42"/>
        <v>-1475</v>
      </c>
      <c r="O140" s="12"/>
      <c r="P140" s="12"/>
    </row>
    <row r="141" spans="1:17" ht="18" customHeight="1" x14ac:dyDescent="0.25">
      <c r="A141" s="35" t="s">
        <v>170</v>
      </c>
      <c r="B141" s="21" t="s">
        <v>11</v>
      </c>
      <c r="C141" s="46"/>
      <c r="D141" s="46">
        <f>SUM(D138:D140)</f>
        <v>33011.682710000008</v>
      </c>
      <c r="E141" s="46">
        <f t="shared" ref="E141:N141" si="43">SUM(E138:E140)</f>
        <v>31536.682710000008</v>
      </c>
      <c r="F141" s="46">
        <f t="shared" si="43"/>
        <v>30061.682710000008</v>
      </c>
      <c r="G141" s="46">
        <f t="shared" si="43"/>
        <v>28586.682710000008</v>
      </c>
      <c r="H141" s="46">
        <f t="shared" si="43"/>
        <v>27111.682710000008</v>
      </c>
      <c r="I141" s="46">
        <f t="shared" si="43"/>
        <v>25636.682710000008</v>
      </c>
      <c r="J141" s="46">
        <f t="shared" si="43"/>
        <v>24161.682710000008</v>
      </c>
      <c r="K141" s="46">
        <f t="shared" si="43"/>
        <v>22686.682710000008</v>
      </c>
      <c r="L141" s="46">
        <f t="shared" si="43"/>
        <v>21211.682710000008</v>
      </c>
      <c r="M141" s="46">
        <f t="shared" si="43"/>
        <v>19736.682710000008</v>
      </c>
      <c r="N141" s="46">
        <f t="shared" si="43"/>
        <v>18261.682710000008</v>
      </c>
      <c r="O141" s="12"/>
      <c r="P141" s="12"/>
    </row>
    <row r="142" spans="1:17" ht="18" customHeight="1" x14ac:dyDescent="0.25">
      <c r="A142" s="35" t="s">
        <v>171</v>
      </c>
      <c r="B142" s="21" t="s">
        <v>11</v>
      </c>
      <c r="C142" s="17"/>
      <c r="D142" s="149">
        <f>D139*'Model inputs'!D$48*((1+D$121)^(D$119)-1)</f>
        <v>173.1198220803023</v>
      </c>
      <c r="E142" s="135">
        <f>E138*'Model inputs'!E$48*((1+$D$121)^E$118-1)</f>
        <v>615.39128474280017</v>
      </c>
      <c r="F142" s="135">
        <f>F138*'Model inputs'!F$48*((1+$D$121)^F$118-1)</f>
        <v>587.89489345097832</v>
      </c>
      <c r="G142" s="135">
        <f>G138*'Model inputs'!G$48*((1+$D$121)^G$118-1)</f>
        <v>560.39850215915646</v>
      </c>
      <c r="H142" s="135">
        <f>H138*'Model inputs'!H$48*((1+$D$121)^H$118-1)</f>
        <v>534.40819646455941</v>
      </c>
      <c r="I142" s="135">
        <f>I138*'Model inputs'!I$48*((1+$D$121)^I$118-1)</f>
        <v>505.40571957551271</v>
      </c>
      <c r="J142" s="135">
        <f>J138*'Model inputs'!J$48*((1+$D$121)^J$118-1)</f>
        <v>477.90932828369085</v>
      </c>
      <c r="K142" s="135">
        <f>K138*'Model inputs'!K$48*((1+$D$121)^K$118-1)</f>
        <v>450.412936991869</v>
      </c>
      <c r="L142" s="135">
        <f>L138*'Model inputs'!L$48*((1+$D$121)^L$118-1)</f>
        <v>424.11179057770437</v>
      </c>
      <c r="M142" s="135">
        <f>M138*'Model inputs'!M$48*((1+$D$121)^M$118-1)</f>
        <v>395.4201544082253</v>
      </c>
      <c r="N142" s="135">
        <f>N138*'Model inputs'!N$48*((1+$D$121)^N$118-1)</f>
        <v>182.60887699148029</v>
      </c>
      <c r="O142" s="12"/>
      <c r="P142" s="12"/>
    </row>
    <row r="143" spans="1:17" ht="18" customHeight="1" x14ac:dyDescent="0.25">
      <c r="A143" s="35" t="s">
        <v>172</v>
      </c>
      <c r="B143" s="21" t="s">
        <v>11</v>
      </c>
      <c r="C143" s="101"/>
      <c r="D143" s="150">
        <f>-(((1+D$121)^(D$119)-1)*'Model inputs'!D$96)</f>
        <v>-33.345870070893831</v>
      </c>
      <c r="E143" s="136">
        <f>-(((1+$D$121)^(E$118)-1)*'Model inputs'!$D$96)</f>
        <v>-118.53499834510696</v>
      </c>
      <c r="F143" s="136">
        <f>-(((1+$D$121)^(F$118)-1)*'Model inputs'!$D$96)</f>
        <v>-118.53499834510696</v>
      </c>
      <c r="G143" s="136">
        <f>-(((1+$D$121)^(G$118)-1)*'Model inputs'!$D$96)</f>
        <v>-118.53499834510696</v>
      </c>
      <c r="H143" s="136">
        <f>-(((1+$D$121)^(H$118)-1)*'Model inputs'!$D$96)</f>
        <v>-118.87000143504417</v>
      </c>
      <c r="I143" s="136">
        <f>-(((1+$D$121)^(I$118)-1)*'Model inputs'!$D$96)</f>
        <v>-118.53499834510696</v>
      </c>
      <c r="J143" s="136">
        <f>-(((1+$D$121)^(J$118)-1)*'Model inputs'!$D$96)</f>
        <v>-118.53499834510696</v>
      </c>
      <c r="K143" s="136">
        <f>-(((1+$D$121)^(K$118)-1)*'Model inputs'!$D$96)</f>
        <v>-118.53499834510696</v>
      </c>
      <c r="L143" s="136">
        <f>-(((1+$D$121)^(L$118)-1)*'Model inputs'!$D$96)</f>
        <v>-118.87000143504417</v>
      </c>
      <c r="M143" s="136">
        <f>-(((1+$D$121)^(M$118)-1)*'Model inputs'!$D$96)</f>
        <v>-118.53499834510696</v>
      </c>
      <c r="N143" s="136">
        <f>-(((1+$D$121)^(N$118)-1)*'Model inputs'!$D$96)</f>
        <v>-58.831598015425698</v>
      </c>
      <c r="O143" s="12"/>
      <c r="P143" s="12"/>
      <c r="Q143" s="12"/>
    </row>
    <row r="144" spans="1:17" ht="18" customHeight="1" x14ac:dyDescent="0.25">
      <c r="A144" s="35" t="s">
        <v>173</v>
      </c>
      <c r="B144" s="21" t="s">
        <v>11</v>
      </c>
      <c r="C144" s="100"/>
      <c r="D144" s="12">
        <f t="shared" ref="D144:E144" si="44">SUM(D142:D143)</f>
        <v>139.77395200940848</v>
      </c>
      <c r="E144" s="46">
        <f t="shared" si="44"/>
        <v>496.85628639769322</v>
      </c>
      <c r="F144" s="46">
        <f t="shared" ref="F144:N144" si="45">SUM(F142:F143)</f>
        <v>469.35989510587137</v>
      </c>
      <c r="G144" s="46">
        <f t="shared" si="45"/>
        <v>441.86350381404952</v>
      </c>
      <c r="H144" s="46">
        <f t="shared" si="45"/>
        <v>415.53819502951524</v>
      </c>
      <c r="I144" s="46">
        <f t="shared" si="45"/>
        <v>386.87072123040576</v>
      </c>
      <c r="J144" s="46">
        <f t="shared" si="45"/>
        <v>359.37432993858391</v>
      </c>
      <c r="K144" s="46">
        <f t="shared" si="45"/>
        <v>331.87793864676206</v>
      </c>
      <c r="L144" s="46">
        <f t="shared" si="45"/>
        <v>305.2417891426602</v>
      </c>
      <c r="M144" s="46">
        <f t="shared" si="45"/>
        <v>276.88515606311836</v>
      </c>
      <c r="N144" s="46">
        <f t="shared" si="45"/>
        <v>123.77727897605459</v>
      </c>
      <c r="O144" s="12"/>
      <c r="P144" s="12"/>
    </row>
    <row r="145" spans="1:17" ht="18" customHeight="1" x14ac:dyDescent="0.25">
      <c r="A145" s="35"/>
      <c r="B145" s="21"/>
      <c r="C145" s="17"/>
      <c r="D145" s="17"/>
      <c r="E145" s="46"/>
      <c r="F145" s="46"/>
      <c r="G145" s="46"/>
      <c r="H145" s="46"/>
      <c r="I145" s="46"/>
      <c r="J145" s="46"/>
      <c r="K145" s="46"/>
      <c r="L145" s="46"/>
      <c r="M145" s="46"/>
      <c r="N145" s="46"/>
      <c r="O145" s="12"/>
      <c r="P145" s="12"/>
    </row>
    <row r="146" spans="1:17" ht="18" customHeight="1" x14ac:dyDescent="0.25">
      <c r="A146" s="15" t="s">
        <v>176</v>
      </c>
      <c r="B146" s="21"/>
      <c r="C146" s="68"/>
      <c r="D146" s="68"/>
      <c r="E146" s="68"/>
      <c r="F146" s="68"/>
      <c r="G146" s="68"/>
      <c r="H146" s="68"/>
      <c r="I146" s="68"/>
      <c r="J146" s="68"/>
      <c r="K146" s="68"/>
      <c r="L146" s="68"/>
      <c r="M146" s="68"/>
      <c r="N146" s="68"/>
      <c r="O146" s="12"/>
      <c r="P146" s="12"/>
    </row>
    <row r="147" spans="1:17" ht="18" customHeight="1" x14ac:dyDescent="0.25">
      <c r="A147" s="35" t="s">
        <v>167</v>
      </c>
      <c r="B147" s="21" t="s">
        <v>11</v>
      </c>
      <c r="C147" s="17"/>
      <c r="D147" s="17"/>
      <c r="E147" s="17"/>
      <c r="F147" s="46">
        <f t="shared" ref="F147:N147" si="46">E150</f>
        <v>16777</v>
      </c>
      <c r="G147" s="46">
        <f t="shared" si="46"/>
        <v>15563</v>
      </c>
      <c r="H147" s="46">
        <f t="shared" si="46"/>
        <v>14349</v>
      </c>
      <c r="I147" s="46">
        <f t="shared" si="46"/>
        <v>13135</v>
      </c>
      <c r="J147" s="46">
        <f t="shared" si="46"/>
        <v>11921</v>
      </c>
      <c r="K147" s="46">
        <f t="shared" si="46"/>
        <v>10707</v>
      </c>
      <c r="L147" s="46">
        <f t="shared" si="46"/>
        <v>9493</v>
      </c>
      <c r="M147" s="46">
        <f t="shared" si="46"/>
        <v>8279</v>
      </c>
      <c r="N147" s="46">
        <f t="shared" si="46"/>
        <v>7065</v>
      </c>
      <c r="O147" s="12"/>
      <c r="P147" s="12"/>
    </row>
    <row r="148" spans="1:17" ht="26.25" x14ac:dyDescent="0.25">
      <c r="A148" s="35" t="s">
        <v>177</v>
      </c>
      <c r="B148" s="21" t="s">
        <v>11</v>
      </c>
      <c r="C148" s="17"/>
      <c r="D148" s="17"/>
      <c r="E148" s="122">
        <f>E$52+E$54</f>
        <v>16777</v>
      </c>
      <c r="F148" s="46"/>
      <c r="G148" s="46"/>
      <c r="H148" s="46"/>
      <c r="I148" s="46"/>
      <c r="J148" s="46"/>
      <c r="K148" s="46"/>
      <c r="L148" s="46"/>
      <c r="M148" s="46"/>
      <c r="N148" s="46"/>
      <c r="O148" s="12"/>
      <c r="P148" s="12"/>
    </row>
    <row r="149" spans="1:17" ht="18" customHeight="1" x14ac:dyDescent="0.25">
      <c r="A149" s="35" t="s">
        <v>169</v>
      </c>
      <c r="B149" s="21" t="s">
        <v>11</v>
      </c>
      <c r="C149" s="81"/>
      <c r="D149" s="81"/>
      <c r="E149" s="90"/>
      <c r="F149" s="151">
        <f>F147*F$123</f>
        <v>-1214</v>
      </c>
      <c r="G149" s="90">
        <f t="shared" ref="G149:M149" si="47">IF(G147+F149&lt;0,-G147,F149)</f>
        <v>-1214</v>
      </c>
      <c r="H149" s="90">
        <f t="shared" si="47"/>
        <v>-1214</v>
      </c>
      <c r="I149" s="90">
        <f t="shared" si="47"/>
        <v>-1214</v>
      </c>
      <c r="J149" s="90">
        <f t="shared" si="47"/>
        <v>-1214</v>
      </c>
      <c r="K149" s="90">
        <f t="shared" si="47"/>
        <v>-1214</v>
      </c>
      <c r="L149" s="90">
        <f t="shared" si="47"/>
        <v>-1214</v>
      </c>
      <c r="M149" s="90">
        <f t="shared" si="47"/>
        <v>-1214</v>
      </c>
      <c r="N149" s="151">
        <f>IF(N147+M149&lt;0,-N147,M149*N$118)</f>
        <v>-611.57015742642022</v>
      </c>
      <c r="O149" s="12"/>
      <c r="P149" s="12"/>
    </row>
    <row r="150" spans="1:17" ht="18" customHeight="1" x14ac:dyDescent="0.25">
      <c r="A150" s="35" t="s">
        <v>170</v>
      </c>
      <c r="B150" s="21" t="s">
        <v>11</v>
      </c>
      <c r="C150" s="46"/>
      <c r="D150" s="46"/>
      <c r="E150" s="12">
        <f>SUM(E147:E149)</f>
        <v>16777</v>
      </c>
      <c r="F150" s="46">
        <f t="shared" ref="F150:N150" si="48">SUM(F147:F149)</f>
        <v>15563</v>
      </c>
      <c r="G150" s="46">
        <f t="shared" si="48"/>
        <v>14349</v>
      </c>
      <c r="H150" s="46">
        <f t="shared" si="48"/>
        <v>13135</v>
      </c>
      <c r="I150" s="46">
        <f t="shared" si="48"/>
        <v>11921</v>
      </c>
      <c r="J150" s="46">
        <f t="shared" si="48"/>
        <v>10707</v>
      </c>
      <c r="K150" s="46">
        <f t="shared" si="48"/>
        <v>9493</v>
      </c>
      <c r="L150" s="46">
        <f t="shared" si="48"/>
        <v>8279</v>
      </c>
      <c r="M150" s="46">
        <f t="shared" si="48"/>
        <v>7065</v>
      </c>
      <c r="N150" s="46">
        <f t="shared" si="48"/>
        <v>6453.4298425735797</v>
      </c>
      <c r="O150" s="12"/>
      <c r="P150" s="12"/>
    </row>
    <row r="151" spans="1:17" ht="18" customHeight="1" x14ac:dyDescent="0.25">
      <c r="A151" s="35" t="s">
        <v>171</v>
      </c>
      <c r="B151" s="21" t="s">
        <v>11</v>
      </c>
      <c r="C151" s="17"/>
      <c r="D151" s="17"/>
      <c r="E151" s="149">
        <f>E148*'Model inputs'!E$48*((1+E$121)^(E$119)-1)</f>
        <v>124.68954465487654</v>
      </c>
      <c r="F151" s="135">
        <f>F147*'Model inputs'!F$48*((1+$E$121)^F$118-1)</f>
        <v>254.72168032011606</v>
      </c>
      <c r="G151" s="135">
        <f>G147*'Model inputs'!G$48*((1+$E$121)^G$118-1)</f>
        <v>236.28977235631911</v>
      </c>
      <c r="H151" s="135">
        <f>H147*'Model inputs'!H$48*((1+$E$121)^H$118-1)</f>
        <v>218.47013672799437</v>
      </c>
      <c r="I151" s="135">
        <f>I147*'Model inputs'!I$48*((1+$E$121)^I$118-1)</f>
        <v>199.4259564287253</v>
      </c>
      <c r="J151" s="135">
        <f>J147*'Model inputs'!J$48*((1+$E$121)^J$118-1)</f>
        <v>180.99404846492837</v>
      </c>
      <c r="K151" s="135">
        <f>K147*'Model inputs'!K$48*((1+$E$121)^K$118-1)</f>
        <v>162.56214050113147</v>
      </c>
      <c r="L151" s="135">
        <f>L147*'Model inputs'!L$48*((1+$E$121)^L$118-1)</f>
        <v>144.53529918174439</v>
      </c>
      <c r="M151" s="135">
        <f>M147*'Model inputs'!M$48*((1+$E$121)^M$118-1)</f>
        <v>125.69832457353763</v>
      </c>
      <c r="N151" s="135">
        <f>N147*'Model inputs'!N$48*((1+$E$121)^N$118-1)</f>
        <v>53.389839212774469</v>
      </c>
      <c r="O151" s="12"/>
      <c r="P151" s="12"/>
    </row>
    <row r="152" spans="1:17" ht="18" customHeight="1" x14ac:dyDescent="0.25">
      <c r="A152" s="35" t="s">
        <v>172</v>
      </c>
      <c r="B152" s="21" t="s">
        <v>11</v>
      </c>
      <c r="C152" s="101"/>
      <c r="D152" s="101"/>
      <c r="E152" s="150">
        <f>-(((1+E$121)^(E$119)-1)*'Model inputs'!E$96)</f>
        <v>-219.04403980104738</v>
      </c>
      <c r="F152" s="136">
        <f>-(((1+$E$121)^(F$118)-1)*'Model inputs'!$E$96)</f>
        <v>-447.473491355372</v>
      </c>
      <c r="G152" s="136">
        <f>-(((1+$E$121)^(G$118)-1)*'Model inputs'!$E$96)</f>
        <v>-447.473491355372</v>
      </c>
      <c r="H152" s="136">
        <f>-(((1+$E$121)^(H$118)-1)*'Model inputs'!$E$96)</f>
        <v>-448.73108029014827</v>
      </c>
      <c r="I152" s="136">
        <f>-(((1+$E$121)^(I$118)-1)*'Model inputs'!$E$96)</f>
        <v>-447.473491355372</v>
      </c>
      <c r="J152" s="136">
        <f>-(((1+$E$121)^(J$118)-1)*'Model inputs'!$E$96)</f>
        <v>-447.473491355372</v>
      </c>
      <c r="K152" s="136">
        <f>-(((1+$E$121)^(K$118)-1)*'Model inputs'!$E$96)</f>
        <v>-447.473491355372</v>
      </c>
      <c r="L152" s="136">
        <f>-(((1+$E$121)^(L$118)-1)*'Model inputs'!$E$96)</f>
        <v>-448.73108029014827</v>
      </c>
      <c r="M152" s="136">
        <f>-(((1+$E$121)^(M$118)-1)*'Model inputs'!$E$96)</f>
        <v>-447.473491355372</v>
      </c>
      <c r="N152" s="136">
        <f>-(((1+$E$121)^(N$118)-1)*'Model inputs'!$E$96)</f>
        <v>-222.721505113397</v>
      </c>
      <c r="O152" s="12"/>
      <c r="P152" s="12"/>
      <c r="Q152" s="12"/>
    </row>
    <row r="153" spans="1:17" ht="18" customHeight="1" x14ac:dyDescent="0.25">
      <c r="A153" s="35" t="s">
        <v>173</v>
      </c>
      <c r="B153" s="21" t="s">
        <v>11</v>
      </c>
      <c r="C153" s="100"/>
      <c r="D153" s="100"/>
      <c r="E153" s="46">
        <f t="shared" ref="E153:F153" si="49">SUM(E151:E152)</f>
        <v>-94.354495146170834</v>
      </c>
      <c r="F153" s="46">
        <f t="shared" si="49"/>
        <v>-192.75181103525594</v>
      </c>
      <c r="G153" s="46">
        <f t="shared" ref="G153:N153" si="50">SUM(G151:G152)</f>
        <v>-211.1837189990529</v>
      </c>
      <c r="H153" s="46">
        <f t="shared" si="50"/>
        <v>-230.2609435621539</v>
      </c>
      <c r="I153" s="46">
        <f t="shared" si="50"/>
        <v>-248.0475349266467</v>
      </c>
      <c r="J153" s="46">
        <f t="shared" si="50"/>
        <v>-266.47944289044364</v>
      </c>
      <c r="K153" s="46">
        <f t="shared" si="50"/>
        <v>-284.91135085424054</v>
      </c>
      <c r="L153" s="46">
        <f t="shared" si="50"/>
        <v>-304.19578110840388</v>
      </c>
      <c r="M153" s="46">
        <f t="shared" si="50"/>
        <v>-321.7751667818344</v>
      </c>
      <c r="N153" s="46">
        <f t="shared" si="50"/>
        <v>-169.33166590062254</v>
      </c>
      <c r="O153" s="12"/>
      <c r="P153" s="12"/>
    </row>
    <row r="154" spans="1:17" ht="18" customHeight="1" x14ac:dyDescent="0.25">
      <c r="B154" s="21"/>
      <c r="C154" s="17"/>
      <c r="D154" s="17"/>
      <c r="E154" s="46"/>
      <c r="F154" s="46"/>
      <c r="G154" s="46"/>
      <c r="H154" s="46"/>
      <c r="I154" s="46"/>
      <c r="J154" s="46"/>
      <c r="K154" s="46"/>
      <c r="L154" s="46"/>
      <c r="M154" s="46"/>
      <c r="N154" s="46"/>
      <c r="O154" s="12"/>
      <c r="P154" s="12"/>
    </row>
    <row r="155" spans="1:17" ht="18" customHeight="1" x14ac:dyDescent="0.25">
      <c r="A155" s="15" t="s">
        <v>178</v>
      </c>
      <c r="B155" s="21"/>
      <c r="C155" s="68"/>
      <c r="D155" s="68"/>
      <c r="E155" s="68"/>
      <c r="F155" s="68"/>
      <c r="G155" s="68"/>
      <c r="H155" s="68"/>
      <c r="I155" s="68"/>
      <c r="J155" s="68"/>
      <c r="K155" s="68"/>
      <c r="L155" s="68"/>
      <c r="M155" s="68"/>
      <c r="N155" s="68"/>
      <c r="O155" s="12"/>
      <c r="P155" s="12"/>
    </row>
    <row r="156" spans="1:17" ht="20.25" customHeight="1" x14ac:dyDescent="0.25">
      <c r="A156" s="35" t="s">
        <v>167</v>
      </c>
      <c r="B156" s="21" t="s">
        <v>11</v>
      </c>
      <c r="C156" s="17"/>
      <c r="D156" s="17"/>
      <c r="E156" s="17"/>
      <c r="G156" s="12">
        <f t="shared" ref="G156:N156" si="51">F159</f>
        <v>42616</v>
      </c>
      <c r="H156" s="12">
        <f t="shared" si="51"/>
        <v>40817</v>
      </c>
      <c r="I156" s="12">
        <f t="shared" si="51"/>
        <v>39018</v>
      </c>
      <c r="J156" s="12">
        <f t="shared" si="51"/>
        <v>37219</v>
      </c>
      <c r="K156" s="12">
        <f t="shared" si="51"/>
        <v>35420</v>
      </c>
      <c r="L156" s="12">
        <f t="shared" si="51"/>
        <v>33621</v>
      </c>
      <c r="M156" s="12">
        <f t="shared" si="51"/>
        <v>31822</v>
      </c>
      <c r="N156" s="12">
        <f t="shared" si="51"/>
        <v>30023</v>
      </c>
      <c r="O156" s="12"/>
      <c r="P156" s="12"/>
    </row>
    <row r="157" spans="1:17" ht="26.25" x14ac:dyDescent="0.25">
      <c r="A157" s="35" t="s">
        <v>179</v>
      </c>
      <c r="B157" s="21" t="s">
        <v>11</v>
      </c>
      <c r="C157" s="17"/>
      <c r="D157" s="17"/>
      <c r="E157" s="17"/>
      <c r="F157" s="122">
        <f>F$52+F$54</f>
        <v>42616</v>
      </c>
      <c r="G157" s="68"/>
      <c r="H157" s="68"/>
      <c r="I157" s="68"/>
      <c r="J157" s="68"/>
      <c r="K157" s="68"/>
      <c r="L157" s="68"/>
      <c r="M157" s="68"/>
      <c r="N157" s="68"/>
      <c r="O157" s="12"/>
      <c r="P157" s="12"/>
    </row>
    <row r="158" spans="1:17" ht="18" customHeight="1" x14ac:dyDescent="0.25">
      <c r="A158" s="35" t="s">
        <v>169</v>
      </c>
      <c r="B158" s="21" t="s">
        <v>11</v>
      </c>
      <c r="C158" s="81"/>
      <c r="D158" s="81"/>
      <c r="E158" s="81"/>
      <c r="F158" s="90"/>
      <c r="G158" s="151">
        <f>G156*G$123</f>
        <v>-1799</v>
      </c>
      <c r="H158" s="90">
        <f t="shared" ref="H158:M158" si="52">IF(H156+G158&lt;0,-H156,G158)</f>
        <v>-1799</v>
      </c>
      <c r="I158" s="90">
        <f t="shared" si="52"/>
        <v>-1799</v>
      </c>
      <c r="J158" s="90">
        <f t="shared" si="52"/>
        <v>-1799</v>
      </c>
      <c r="K158" s="90">
        <f t="shared" si="52"/>
        <v>-1799</v>
      </c>
      <c r="L158" s="90">
        <f t="shared" si="52"/>
        <v>-1799</v>
      </c>
      <c r="M158" s="90">
        <f t="shared" si="52"/>
        <v>-1799</v>
      </c>
      <c r="N158" s="151">
        <f>IF(N156+M158&lt;0,-N156,M158*N$118)</f>
        <v>-906.27241615331957</v>
      </c>
      <c r="O158" s="12"/>
      <c r="P158" s="12"/>
    </row>
    <row r="159" spans="1:17" ht="18" customHeight="1" x14ac:dyDescent="0.25">
      <c r="A159" s="35" t="s">
        <v>170</v>
      </c>
      <c r="B159" s="21" t="s">
        <v>11</v>
      </c>
      <c r="C159" s="46"/>
      <c r="D159" s="46"/>
      <c r="E159" s="46"/>
      <c r="F159" s="12">
        <f>SUM(F156:F158)</f>
        <v>42616</v>
      </c>
      <c r="G159" s="46">
        <f t="shared" ref="G159:N159" si="53">SUM(G156:G158)</f>
        <v>40817</v>
      </c>
      <c r="H159" s="46">
        <f t="shared" si="53"/>
        <v>39018</v>
      </c>
      <c r="I159" s="46">
        <f t="shared" si="53"/>
        <v>37219</v>
      </c>
      <c r="J159" s="46">
        <f t="shared" si="53"/>
        <v>35420</v>
      </c>
      <c r="K159" s="46">
        <f t="shared" si="53"/>
        <v>33621</v>
      </c>
      <c r="L159" s="46">
        <f t="shared" si="53"/>
        <v>31822</v>
      </c>
      <c r="M159" s="46">
        <f t="shared" si="53"/>
        <v>30023</v>
      </c>
      <c r="N159" s="46">
        <f t="shared" si="53"/>
        <v>29116.727583846681</v>
      </c>
      <c r="O159" s="12"/>
      <c r="P159" s="12"/>
    </row>
    <row r="160" spans="1:17" ht="18" customHeight="1" x14ac:dyDescent="0.25">
      <c r="A160" s="35" t="s">
        <v>171</v>
      </c>
      <c r="B160" s="21" t="s">
        <v>11</v>
      </c>
      <c r="C160" s="17"/>
      <c r="D160" s="17"/>
      <c r="E160" s="17"/>
      <c r="F160" s="149">
        <f>F157*'Model inputs'!F$48*((1+F$121)^(F$119)-1)</f>
        <v>393.0091072912881</v>
      </c>
      <c r="G160" s="135">
        <f>G156*'Model inputs'!G$48*((1+$F$121)^G$118-1)</f>
        <v>805.34467525432387</v>
      </c>
      <c r="H160" s="135">
        <f>H156*'Model inputs'!H$48*((1+$F$121)^H$118-1)</f>
        <v>773.52857732014979</v>
      </c>
      <c r="I160" s="135">
        <f>I156*'Model inputs'!I$48*((1+$F$121)^I$118-1)</f>
        <v>737.35072599664943</v>
      </c>
      <c r="J160" s="135">
        <f>J156*'Model inputs'!J$48*((1+$F$121)^J$118-1)</f>
        <v>703.35375136781204</v>
      </c>
      <c r="K160" s="135">
        <f>K156*'Model inputs'!K$48*((1+$F$121)^K$118-1)</f>
        <v>669.35677673897487</v>
      </c>
      <c r="L160" s="135">
        <f>L156*'Model inputs'!L$48*((1+$F$121)^L$118-1)</f>
        <v>637.15619222580688</v>
      </c>
      <c r="M160" s="135">
        <f>M156*'Model inputs'!M$48*((1+$F$121)^M$118-1)</f>
        <v>601.36282748130031</v>
      </c>
      <c r="N160" s="135">
        <f>N156*'Model inputs'!N$48*((1+$F$121)^N$118-1)</f>
        <v>281.53768107247885</v>
      </c>
      <c r="O160" s="12"/>
      <c r="P160" s="12"/>
    </row>
    <row r="161" spans="1:17" ht="18" customHeight="1" x14ac:dyDescent="0.25">
      <c r="A161" s="35" t="s">
        <v>172</v>
      </c>
      <c r="B161" s="21" t="s">
        <v>11</v>
      </c>
      <c r="C161" s="101"/>
      <c r="D161" s="101"/>
      <c r="E161" s="101"/>
      <c r="F161" s="150">
        <f>-(((1+F$121)^(F$119)-1)*'Model inputs'!F$96)</f>
        <v>-622.77810157044678</v>
      </c>
      <c r="G161" s="136">
        <f>-(((1+$F$121)^(G$118)-1)*'Model inputs'!$F$96)</f>
        <v>-1276.1816931459027</v>
      </c>
      <c r="H161" s="136">
        <f>-(((1+$F$121)^(H$118)-1)*'Model inputs'!$F$96)</f>
        <v>-1279.7899166623283</v>
      </c>
      <c r="I161" s="136">
        <f>-(((1+$F$121)^(I$118)-1)*'Model inputs'!$F$96)</f>
        <v>-1276.1816931459027</v>
      </c>
      <c r="J161" s="136">
        <f>-(((1+$F$121)^(J$118)-1)*'Model inputs'!$F$96)</f>
        <v>-1276.1816931459027</v>
      </c>
      <c r="K161" s="136">
        <f>-(((1+$F$121)^(K$118)-1)*'Model inputs'!$F$96)</f>
        <v>-1276.1816931459027</v>
      </c>
      <c r="L161" s="136">
        <f>-(((1+$F$121)^(L$118)-1)*'Model inputs'!$F$96)</f>
        <v>-1279.7899166623283</v>
      </c>
      <c r="M161" s="136">
        <f>-(((1+$F$121)^(M$118)-1)*'Model inputs'!$F$96)</f>
        <v>-1276.1816931459027</v>
      </c>
      <c r="N161" s="136">
        <f>-(((1+$F$121)^(N$118)-1)*'Model inputs'!$F$96)</f>
        <v>-633.26552472109597</v>
      </c>
      <c r="O161" s="12"/>
      <c r="P161" s="12"/>
      <c r="Q161" s="12"/>
    </row>
    <row r="162" spans="1:17" ht="18" customHeight="1" x14ac:dyDescent="0.25">
      <c r="A162" s="35" t="s">
        <v>173</v>
      </c>
      <c r="B162" s="21" t="s">
        <v>11</v>
      </c>
      <c r="C162" s="100"/>
      <c r="D162" s="100"/>
      <c r="E162" s="100"/>
      <c r="F162" s="12">
        <f t="shared" ref="F162:G162" si="54">SUM(F160:F161)</f>
        <v>-229.76899427915868</v>
      </c>
      <c r="G162" s="46">
        <f t="shared" si="54"/>
        <v>-470.83701789157885</v>
      </c>
      <c r="H162" s="46">
        <f t="shared" ref="H162:N162" si="55">SUM(H160:H161)</f>
        <v>-506.26133934217853</v>
      </c>
      <c r="I162" s="46">
        <f t="shared" si="55"/>
        <v>-538.8309671492533</v>
      </c>
      <c r="J162" s="46">
        <f t="shared" si="55"/>
        <v>-572.82794177809069</v>
      </c>
      <c r="K162" s="46">
        <f t="shared" si="55"/>
        <v>-606.82491640692785</v>
      </c>
      <c r="L162" s="46">
        <f t="shared" si="55"/>
        <v>-642.63372443652145</v>
      </c>
      <c r="M162" s="46">
        <f t="shared" si="55"/>
        <v>-674.81886566460241</v>
      </c>
      <c r="N162" s="46">
        <f t="shared" si="55"/>
        <v>-351.72784364861712</v>
      </c>
      <c r="O162" s="12"/>
      <c r="P162" s="12"/>
    </row>
    <row r="163" spans="1:17" ht="18" customHeight="1" x14ac:dyDescent="0.25">
      <c r="A163" s="35"/>
      <c r="B163" s="21"/>
      <c r="C163" s="17"/>
      <c r="D163" s="17"/>
      <c r="E163" s="17"/>
      <c r="F163" s="17"/>
      <c r="G163" s="17"/>
      <c r="H163" s="17"/>
      <c r="I163" s="17"/>
      <c r="J163" s="17"/>
      <c r="K163" s="17"/>
      <c r="L163" s="17"/>
      <c r="M163" s="17"/>
      <c r="N163" s="17"/>
      <c r="O163" s="12"/>
      <c r="P163" s="12"/>
    </row>
    <row r="164" spans="1:17" ht="18" customHeight="1" x14ac:dyDescent="0.25">
      <c r="A164" s="15" t="s">
        <v>180</v>
      </c>
      <c r="B164" s="21"/>
      <c r="C164" s="68"/>
      <c r="D164" s="68"/>
      <c r="E164" s="68"/>
      <c r="F164" s="68"/>
      <c r="G164" s="68"/>
      <c r="H164" s="68"/>
      <c r="I164" s="68"/>
      <c r="J164" s="68"/>
      <c r="K164" s="68"/>
      <c r="L164" s="68"/>
      <c r="M164" s="68"/>
      <c r="N164" s="68"/>
      <c r="O164" s="12"/>
      <c r="P164" s="12"/>
    </row>
    <row r="165" spans="1:17" ht="18" customHeight="1" x14ac:dyDescent="0.25">
      <c r="A165" s="35" t="s">
        <v>167</v>
      </c>
      <c r="B165" s="21" t="s">
        <v>11</v>
      </c>
      <c r="C165" s="17"/>
      <c r="D165" s="17"/>
      <c r="E165" s="17"/>
      <c r="F165" s="17"/>
      <c r="H165" s="46">
        <f t="shared" ref="H165:N165" si="56">G168</f>
        <v>53389</v>
      </c>
      <c r="I165" s="46">
        <f t="shared" si="56"/>
        <v>51754</v>
      </c>
      <c r="J165" s="46">
        <f t="shared" si="56"/>
        <v>50119</v>
      </c>
      <c r="K165" s="46">
        <f t="shared" si="56"/>
        <v>48484</v>
      </c>
      <c r="L165" s="46">
        <f t="shared" si="56"/>
        <v>46849</v>
      </c>
      <c r="M165" s="46">
        <f t="shared" si="56"/>
        <v>45214</v>
      </c>
      <c r="N165" s="46">
        <f t="shared" si="56"/>
        <v>43579</v>
      </c>
      <c r="O165" s="12"/>
      <c r="P165" s="12"/>
    </row>
    <row r="166" spans="1:17" ht="26.25" x14ac:dyDescent="0.25">
      <c r="A166" s="35" t="s">
        <v>181</v>
      </c>
      <c r="B166" s="21" t="s">
        <v>11</v>
      </c>
      <c r="C166" s="17"/>
      <c r="D166" s="17"/>
      <c r="E166" s="17"/>
      <c r="F166" s="17"/>
      <c r="G166" s="122">
        <f>G$52+G$54</f>
        <v>53389</v>
      </c>
      <c r="H166" s="46"/>
      <c r="I166" s="46"/>
      <c r="J166" s="46"/>
      <c r="K166" s="46"/>
      <c r="L166" s="46"/>
      <c r="M166" s="46"/>
      <c r="N166" s="46"/>
      <c r="O166" s="12"/>
      <c r="P166" s="12"/>
    </row>
    <row r="167" spans="1:17" ht="18" customHeight="1" x14ac:dyDescent="0.25">
      <c r="A167" s="35" t="s">
        <v>169</v>
      </c>
      <c r="B167" s="21" t="s">
        <v>11</v>
      </c>
      <c r="C167" s="81"/>
      <c r="D167" s="81"/>
      <c r="E167" s="81"/>
      <c r="F167" s="81"/>
      <c r="G167" s="90"/>
      <c r="H167" s="151">
        <f>H165*H$123</f>
        <v>-1635</v>
      </c>
      <c r="I167" s="90">
        <f>IF(I165+H167&lt;0,-I165,H167)</f>
        <v>-1635</v>
      </c>
      <c r="J167" s="90">
        <f>IF(J165+I167&lt;0,-J165,I167)</f>
        <v>-1635</v>
      </c>
      <c r="K167" s="90">
        <f>IF(K165+J167&lt;0,-K165,J167)</f>
        <v>-1635</v>
      </c>
      <c r="L167" s="90">
        <f>IF(L165+K167&lt;0,-L165,K167)</f>
        <v>-1635</v>
      </c>
      <c r="M167" s="90">
        <f>IF(M165+L167&lt;0,-M165,L167)</f>
        <v>-1635</v>
      </c>
      <c r="N167" s="151">
        <f>IF(N165+M167&lt;0,-N165,M167*N$118)</f>
        <v>-823.65503080082124</v>
      </c>
      <c r="O167" s="12"/>
      <c r="P167" s="12"/>
    </row>
    <row r="168" spans="1:17" ht="18" customHeight="1" x14ac:dyDescent="0.25">
      <c r="A168" s="35" t="s">
        <v>170</v>
      </c>
      <c r="B168" s="21" t="s">
        <v>11</v>
      </c>
      <c r="C168" s="46"/>
      <c r="D168" s="46"/>
      <c r="E168" s="46"/>
      <c r="F168" s="46"/>
      <c r="G168" s="12">
        <f>SUM(G165:G167)</f>
        <v>53389</v>
      </c>
      <c r="H168" s="46">
        <f t="shared" ref="H168:N168" si="57">SUM(H165:H167)</f>
        <v>51754</v>
      </c>
      <c r="I168" s="46">
        <f t="shared" si="57"/>
        <v>50119</v>
      </c>
      <c r="J168" s="46">
        <f t="shared" si="57"/>
        <v>48484</v>
      </c>
      <c r="K168" s="46">
        <f t="shared" si="57"/>
        <v>46849</v>
      </c>
      <c r="L168" s="46">
        <f t="shared" si="57"/>
        <v>45214</v>
      </c>
      <c r="M168" s="46">
        <f t="shared" si="57"/>
        <v>43579</v>
      </c>
      <c r="N168" s="46">
        <f t="shared" si="57"/>
        <v>42755.344969199177</v>
      </c>
      <c r="O168" s="12"/>
      <c r="P168" s="12"/>
    </row>
    <row r="169" spans="1:17" ht="18" customHeight="1" x14ac:dyDescent="0.25">
      <c r="A169" s="35" t="s">
        <v>171</v>
      </c>
      <c r="B169" s="21" t="s">
        <v>11</v>
      </c>
      <c r="C169" s="17"/>
      <c r="D169" s="17"/>
      <c r="E169" s="17"/>
      <c r="F169" s="17"/>
      <c r="G169" s="149">
        <f>G166*'Model inputs'!G$48*((1+G$121)^(G$119)-1)</f>
        <v>423.81191803157225</v>
      </c>
      <c r="H169" s="135">
        <f>H165*'Model inputs'!H$48*((1+$G$121)^H$118-1)</f>
        <v>868.98067400457421</v>
      </c>
      <c r="I169" s="135">
        <f>I165*'Model inputs'!I$48*((1+$G$121)^I$118-1)</f>
        <v>840.00397140977736</v>
      </c>
      <c r="J169" s="135">
        <f>J165*'Model inputs'!J$48*((1+$G$121)^J$118-1)</f>
        <v>813.46676668637451</v>
      </c>
      <c r="K169" s="135">
        <f>K165*'Model inputs'!K$48*((1+$G$121)^K$118-1)</f>
        <v>786.92956196297177</v>
      </c>
      <c r="L169" s="135">
        <f>L165*'Model inputs'!L$48*((1+$G$121)^L$118-1)</f>
        <v>762.53302358988367</v>
      </c>
      <c r="M169" s="135">
        <f>M165*'Model inputs'!M$48*((1+$G$121)^M$118-1)</f>
        <v>733.8551525161663</v>
      </c>
      <c r="N169" s="135">
        <f>N165*'Model inputs'!N$48*((1+$G$121)^N$118-1)</f>
        <v>351.75114786077052</v>
      </c>
      <c r="O169" s="12"/>
      <c r="P169" s="12"/>
    </row>
    <row r="170" spans="1:17" ht="18" customHeight="1" x14ac:dyDescent="0.25">
      <c r="A170" s="35" t="s">
        <v>172</v>
      </c>
      <c r="B170" s="21" t="s">
        <v>11</v>
      </c>
      <c r="C170" s="101"/>
      <c r="D170" s="101"/>
      <c r="E170" s="101"/>
      <c r="F170" s="101"/>
      <c r="G170" s="150">
        <f>-(((1+G$121)^(G$119)-1)*'Model inputs'!G$96)</f>
        <v>-349.49925558907682</v>
      </c>
      <c r="H170" s="136">
        <f>-(((1+$G$121)^(H$118)-1)*'Model inputs'!$G$96)</f>
        <v>-716.61056653736659</v>
      </c>
      <c r="I170" s="136">
        <f>-(((1+$G$121)^(I$118)-1)*'Model inputs'!$G$96)</f>
        <v>-714.59881874597977</v>
      </c>
      <c r="J170" s="136">
        <f>-(((1+$G$121)^(J$118)-1)*'Model inputs'!$G$96)</f>
        <v>-714.59881874597977</v>
      </c>
      <c r="K170" s="136">
        <f>-(((1+$G$121)^(K$118)-1)*'Model inputs'!$G$96)</f>
        <v>-714.59881874597977</v>
      </c>
      <c r="L170" s="136">
        <f>-(((1+$G$121)^(L$118)-1)*'Model inputs'!$G$96)</f>
        <v>-716.61056653736659</v>
      </c>
      <c r="M170" s="136">
        <f>-(((1+$G$121)^(M$118)-1)*'Model inputs'!$G$96)</f>
        <v>-714.59881874597977</v>
      </c>
      <c r="N170" s="136">
        <f>-(((1+$G$121)^(N$118)-1)*'Model inputs'!$G$96)</f>
        <v>-355.37194487746137</v>
      </c>
      <c r="O170" s="12"/>
      <c r="P170" s="12"/>
      <c r="Q170" s="12"/>
    </row>
    <row r="171" spans="1:17" ht="18" customHeight="1" x14ac:dyDescent="0.25">
      <c r="A171" s="35" t="s">
        <v>173</v>
      </c>
      <c r="B171" s="21" t="s">
        <v>11</v>
      </c>
      <c r="C171" s="100"/>
      <c r="D171" s="100"/>
      <c r="E171" s="100"/>
      <c r="F171" s="100"/>
      <c r="G171" s="12">
        <f t="shared" ref="G171:H171" si="58">SUM(G169:G170)</f>
        <v>74.312662442495423</v>
      </c>
      <c r="H171" s="46">
        <f t="shared" si="58"/>
        <v>152.37010746720762</v>
      </c>
      <c r="I171" s="46">
        <f t="shared" ref="I171:N171" si="59">SUM(I169:I170)</f>
        <v>125.40515266379759</v>
      </c>
      <c r="J171" s="46">
        <f t="shared" si="59"/>
        <v>98.867947940394743</v>
      </c>
      <c r="K171" s="46">
        <f t="shared" si="59"/>
        <v>72.330743216992005</v>
      </c>
      <c r="L171" s="46">
        <f t="shared" si="59"/>
        <v>45.922457052517075</v>
      </c>
      <c r="M171" s="46">
        <f t="shared" si="59"/>
        <v>19.256333770186529</v>
      </c>
      <c r="N171" s="46">
        <f t="shared" si="59"/>
        <v>-3.6207970166908581</v>
      </c>
      <c r="O171" s="12"/>
      <c r="P171" s="12"/>
    </row>
    <row r="172" spans="1:17" ht="18" customHeight="1" x14ac:dyDescent="0.25">
      <c r="A172" s="35"/>
      <c r="B172" s="21"/>
      <c r="C172" s="17"/>
      <c r="D172" s="17"/>
      <c r="E172" s="17"/>
      <c r="F172" s="17"/>
      <c r="G172" s="17"/>
      <c r="H172" s="12"/>
      <c r="I172" s="12"/>
      <c r="J172" s="12"/>
      <c r="K172" s="12"/>
      <c r="L172" s="12"/>
      <c r="M172" s="12"/>
      <c r="N172" s="12"/>
      <c r="O172" s="12"/>
      <c r="P172" s="12"/>
    </row>
    <row r="173" spans="1:17" ht="18" customHeight="1" x14ac:dyDescent="0.25">
      <c r="A173" s="15" t="s">
        <v>182</v>
      </c>
      <c r="B173" s="21"/>
      <c r="C173" s="68"/>
      <c r="D173" s="68"/>
      <c r="E173" s="68"/>
      <c r="F173" s="68"/>
      <c r="G173" s="68"/>
      <c r="H173" s="68"/>
      <c r="I173" s="68"/>
      <c r="J173" s="68"/>
      <c r="K173" s="68"/>
      <c r="L173" s="68"/>
      <c r="M173" s="68"/>
      <c r="N173" s="68"/>
      <c r="O173" s="12"/>
      <c r="P173" s="12"/>
    </row>
    <row r="174" spans="1:17" ht="18" customHeight="1" x14ac:dyDescent="0.25">
      <c r="A174" s="35" t="s">
        <v>167</v>
      </c>
      <c r="B174" s="21" t="s">
        <v>11</v>
      </c>
      <c r="C174" s="17"/>
      <c r="D174" s="17"/>
      <c r="E174" s="17"/>
      <c r="F174" s="17"/>
      <c r="G174" s="17"/>
      <c r="I174" s="46">
        <f t="shared" ref="I174:N174" si="60">H177</f>
        <v>139344</v>
      </c>
      <c r="J174" s="46">
        <f t="shared" si="60"/>
        <v>131585</v>
      </c>
      <c r="K174" s="46">
        <f t="shared" si="60"/>
        <v>123826</v>
      </c>
      <c r="L174" s="46">
        <f t="shared" si="60"/>
        <v>116067</v>
      </c>
      <c r="M174" s="46">
        <f t="shared" si="60"/>
        <v>108308</v>
      </c>
      <c r="N174" s="46">
        <f t="shared" si="60"/>
        <v>100549</v>
      </c>
      <c r="O174" s="12"/>
      <c r="P174" s="12"/>
    </row>
    <row r="175" spans="1:17" ht="26.25" x14ac:dyDescent="0.25">
      <c r="A175" s="35" t="s">
        <v>183</v>
      </c>
      <c r="B175" s="21" t="s">
        <v>11</v>
      </c>
      <c r="C175" s="17"/>
      <c r="D175" s="17"/>
      <c r="E175" s="17"/>
      <c r="F175" s="17"/>
      <c r="G175" s="17"/>
      <c r="H175" s="122">
        <f>H$52+H$54</f>
        <v>139344</v>
      </c>
      <c r="I175" s="46"/>
      <c r="J175" s="46"/>
      <c r="K175" s="46"/>
      <c r="L175" s="46"/>
      <c r="M175" s="46"/>
      <c r="N175" s="46"/>
      <c r="O175" s="12"/>
      <c r="P175" s="12"/>
    </row>
    <row r="176" spans="1:17" ht="18" customHeight="1" x14ac:dyDescent="0.25">
      <c r="A176" s="35" t="s">
        <v>169</v>
      </c>
      <c r="B176" s="21" t="s">
        <v>11</v>
      </c>
      <c r="C176" s="81"/>
      <c r="D176" s="81"/>
      <c r="E176" s="81"/>
      <c r="F176" s="81"/>
      <c r="G176" s="81"/>
      <c r="H176" s="90"/>
      <c r="I176" s="151">
        <f>I174*I$123</f>
        <v>-7759</v>
      </c>
      <c r="J176" s="90">
        <f>IF(J174+I176&lt;0,-J174,I176)</f>
        <v>-7759</v>
      </c>
      <c r="K176" s="90">
        <f>IF(K174+J176&lt;0,-K174,J176)</f>
        <v>-7759</v>
      </c>
      <c r="L176" s="90">
        <f>IF(L174+K176&lt;0,-L174,K176)</f>
        <v>-7759</v>
      </c>
      <c r="M176" s="90">
        <f>IF(M174+L176&lt;0,-M174,L176)</f>
        <v>-7759</v>
      </c>
      <c r="N176" s="151">
        <f>IF(N174+M176&lt;0,-N174,M176*N$118)</f>
        <v>-3908.7091033538668</v>
      </c>
      <c r="O176" s="12"/>
      <c r="P176" s="12"/>
    </row>
    <row r="177" spans="1:17" ht="18" customHeight="1" x14ac:dyDescent="0.25">
      <c r="A177" s="35" t="s">
        <v>170</v>
      </c>
      <c r="B177" s="21" t="s">
        <v>11</v>
      </c>
      <c r="C177" s="46"/>
      <c r="D177" s="46"/>
      <c r="E177" s="46"/>
      <c r="F177" s="46"/>
      <c r="G177" s="46"/>
      <c r="H177" s="12">
        <f>SUM(H174:H176)</f>
        <v>139344</v>
      </c>
      <c r="I177" s="46">
        <f t="shared" ref="I177:N177" si="61">SUM(I174:I176)</f>
        <v>131585</v>
      </c>
      <c r="J177" s="46">
        <f t="shared" si="61"/>
        <v>123826</v>
      </c>
      <c r="K177" s="46">
        <f t="shared" si="61"/>
        <v>116067</v>
      </c>
      <c r="L177" s="46">
        <f t="shared" si="61"/>
        <v>108308</v>
      </c>
      <c r="M177" s="46">
        <f t="shared" si="61"/>
        <v>100549</v>
      </c>
      <c r="N177" s="46">
        <f t="shared" si="61"/>
        <v>96640.29089664614</v>
      </c>
      <c r="O177" s="12"/>
      <c r="P177" s="12"/>
    </row>
    <row r="178" spans="1:17" ht="18" customHeight="1" x14ac:dyDescent="0.25">
      <c r="A178" s="35" t="s">
        <v>171</v>
      </c>
      <c r="B178" s="21" t="s">
        <v>11</v>
      </c>
      <c r="C178" s="17"/>
      <c r="D178" s="17"/>
      <c r="E178" s="17"/>
      <c r="F178" s="17"/>
      <c r="G178" s="17"/>
      <c r="H178" s="149">
        <f>H175*'Model inputs'!H$48*((1+H$121)^(H$119)-1)</f>
        <v>966.29073532057544</v>
      </c>
      <c r="I178" s="135">
        <f>I174*'Model inputs'!I$48*((1+$H$121)^I$118-1)</f>
        <v>1961.1888038166041</v>
      </c>
      <c r="J178" s="135">
        <f>J174*'Model inputs'!J$48*((1+$H$121)^J$118-1)</f>
        <v>1851.9852218266151</v>
      </c>
      <c r="K178" s="135">
        <f>K174*'Model inputs'!K$48*((1+$H$121)^K$118-1)</f>
        <v>1742.7816398366263</v>
      </c>
      <c r="L178" s="135">
        <f>L174*'Model inputs'!L$48*((1+$H$121)^L$118-1)</f>
        <v>1638.1608012327886</v>
      </c>
      <c r="M178" s="135">
        <f>M174*'Model inputs'!M$48*((1+$H$121)^M$118-1)</f>
        <v>1524.3744758566479</v>
      </c>
      <c r="N178" s="135">
        <f>N174*'Model inputs'!N$48*((1+$H$121)^N$118-1)</f>
        <v>705.01822733060465</v>
      </c>
      <c r="O178" s="12"/>
      <c r="P178" s="12"/>
    </row>
    <row r="179" spans="1:17" ht="18" customHeight="1" x14ac:dyDescent="0.25">
      <c r="A179" s="35" t="s">
        <v>172</v>
      </c>
      <c r="B179" s="21" t="s">
        <v>11</v>
      </c>
      <c r="C179" s="101"/>
      <c r="D179" s="101"/>
      <c r="E179" s="101"/>
      <c r="F179" s="101"/>
      <c r="G179" s="101"/>
      <c r="H179" s="150">
        <f>-(((1+H$121)^(H$119)-1)*'Model inputs'!H$96)</f>
        <v>-509.18874345990514</v>
      </c>
      <c r="I179" s="136">
        <f>-(((1+$H$121)^(I$118)-1)*'Model inputs'!$H$96)</f>
        <v>-1033.4521756246702</v>
      </c>
      <c r="J179" s="136">
        <f>-(((1+$H$121)^(J$118)-1)*'Model inputs'!$H$96)</f>
        <v>-1033.4521756246702</v>
      </c>
      <c r="K179" s="136">
        <f>-(((1+$H$121)^(K$118)-1)*'Model inputs'!$H$96)</f>
        <v>-1033.4521756246702</v>
      </c>
      <c r="L179" s="136">
        <f>-(((1+$H$121)^(L$118)-1)*'Model inputs'!$H$96)</f>
        <v>-1036.351361310961</v>
      </c>
      <c r="M179" s="136">
        <f>-(((1+$H$121)^(M$118)-1)*'Model inputs'!$H$96)</f>
        <v>-1033.4521756246702</v>
      </c>
      <c r="N179" s="136">
        <f>-(((1+$H$121)^(N$118)-1)*'Model inputs'!$H$96)</f>
        <v>-514.85133283027551</v>
      </c>
      <c r="O179" s="12"/>
      <c r="P179" s="12"/>
      <c r="Q179" s="12"/>
    </row>
    <row r="180" spans="1:17" ht="18" customHeight="1" x14ac:dyDescent="0.25">
      <c r="A180" s="35" t="s">
        <v>173</v>
      </c>
      <c r="B180" s="21" t="s">
        <v>11</v>
      </c>
      <c r="C180" s="100"/>
      <c r="D180" s="100"/>
      <c r="E180" s="100"/>
      <c r="F180" s="100"/>
      <c r="G180" s="100"/>
      <c r="H180" s="12">
        <f t="shared" ref="H180:I180" si="62">SUM(H178:H179)</f>
        <v>457.1019918606703</v>
      </c>
      <c r="I180" s="46">
        <f t="shared" si="62"/>
        <v>927.73662819193396</v>
      </c>
      <c r="J180" s="46">
        <f t="shared" ref="J180:N180" si="63">SUM(J178:J179)</f>
        <v>818.5330462019449</v>
      </c>
      <c r="K180" s="46">
        <f t="shared" si="63"/>
        <v>709.32946421195606</v>
      </c>
      <c r="L180" s="46">
        <f t="shared" si="63"/>
        <v>601.80943992182756</v>
      </c>
      <c r="M180" s="46">
        <f t="shared" si="63"/>
        <v>490.92230023197772</v>
      </c>
      <c r="N180" s="46">
        <f t="shared" si="63"/>
        <v>190.16689450032914</v>
      </c>
      <c r="O180" s="12"/>
      <c r="P180" s="12"/>
    </row>
    <row r="181" spans="1:17" ht="18" customHeight="1" x14ac:dyDescent="0.25">
      <c r="A181" s="35"/>
      <c r="B181" s="21"/>
      <c r="C181" s="17"/>
      <c r="D181" s="17"/>
      <c r="E181" s="17"/>
      <c r="F181" s="17"/>
      <c r="G181" s="17"/>
      <c r="H181" s="17"/>
      <c r="I181" s="46"/>
      <c r="J181" s="46"/>
      <c r="K181" s="46"/>
      <c r="L181" s="46"/>
      <c r="M181" s="46"/>
      <c r="N181" s="46"/>
      <c r="O181" s="12"/>
      <c r="P181" s="12"/>
    </row>
    <row r="182" spans="1:17" ht="18" customHeight="1" x14ac:dyDescent="0.25">
      <c r="A182" s="15" t="s">
        <v>184</v>
      </c>
      <c r="B182" s="21"/>
      <c r="C182" s="68"/>
      <c r="D182" s="68"/>
      <c r="E182" s="68"/>
      <c r="F182" s="68"/>
      <c r="G182" s="68"/>
      <c r="H182" s="68"/>
      <c r="I182" s="68"/>
      <c r="J182" s="68"/>
      <c r="K182" s="68"/>
      <c r="L182" s="68"/>
      <c r="M182" s="68"/>
      <c r="N182" s="68"/>
      <c r="O182" s="12"/>
      <c r="P182" s="12"/>
    </row>
    <row r="183" spans="1:17" ht="18" customHeight="1" x14ac:dyDescent="0.25">
      <c r="A183" s="35" t="s">
        <v>167</v>
      </c>
      <c r="B183" s="21" t="s">
        <v>11</v>
      </c>
      <c r="C183" s="17"/>
      <c r="D183" s="17"/>
      <c r="E183" s="17"/>
      <c r="F183" s="17"/>
      <c r="G183" s="17"/>
      <c r="H183" s="17"/>
      <c r="J183" s="46">
        <f>I186</f>
        <v>92618</v>
      </c>
      <c r="K183" s="46">
        <f>J186</f>
        <v>88361</v>
      </c>
      <c r="L183" s="46">
        <f>K186</f>
        <v>84104</v>
      </c>
      <c r="M183" s="46">
        <f>L186</f>
        <v>79847</v>
      </c>
      <c r="N183" s="46">
        <f>M186</f>
        <v>75590</v>
      </c>
      <c r="O183" s="12"/>
      <c r="P183" s="12"/>
    </row>
    <row r="184" spans="1:17" ht="26.25" x14ac:dyDescent="0.25">
      <c r="A184" s="35" t="s">
        <v>185</v>
      </c>
      <c r="B184" s="21" t="s">
        <v>11</v>
      </c>
      <c r="C184" s="17"/>
      <c r="D184" s="17"/>
      <c r="E184" s="17"/>
      <c r="F184" s="17"/>
      <c r="G184" s="17"/>
      <c r="H184" s="17"/>
      <c r="I184" s="122">
        <f>I$52+I$54</f>
        <v>92618</v>
      </c>
      <c r="J184" s="46"/>
      <c r="K184" s="46"/>
      <c r="L184" s="46"/>
      <c r="M184" s="46"/>
      <c r="N184" s="46"/>
      <c r="O184" s="12"/>
      <c r="P184" s="12"/>
    </row>
    <row r="185" spans="1:17" ht="18" customHeight="1" x14ac:dyDescent="0.25">
      <c r="A185" s="35" t="s">
        <v>169</v>
      </c>
      <c r="B185" s="21" t="s">
        <v>11</v>
      </c>
      <c r="C185" s="81"/>
      <c r="D185" s="81"/>
      <c r="E185" s="81"/>
      <c r="F185" s="81"/>
      <c r="G185" s="81"/>
      <c r="H185" s="81"/>
      <c r="I185" s="90"/>
      <c r="J185" s="151">
        <f>J183*J$123</f>
        <v>-4257</v>
      </c>
      <c r="K185" s="90">
        <f>IF(K183+J185&lt;0,-K183,J185)</f>
        <v>-4257</v>
      </c>
      <c r="L185" s="90">
        <f>IF(L183+K185&lt;0,-L183,K185)</f>
        <v>-4257</v>
      </c>
      <c r="M185" s="90">
        <f>IF(M183+L185&lt;0,-M183,L185)</f>
        <v>-4257</v>
      </c>
      <c r="N185" s="151">
        <f>IF(N183+M185&lt;0,-N183,M185*N$118)</f>
        <v>-2144.525667351129</v>
      </c>
      <c r="O185" s="12"/>
      <c r="P185" s="12"/>
    </row>
    <row r="186" spans="1:17" ht="18" customHeight="1" x14ac:dyDescent="0.25">
      <c r="A186" s="35" t="s">
        <v>170</v>
      </c>
      <c r="B186" s="21" t="s">
        <v>11</v>
      </c>
      <c r="C186" s="46"/>
      <c r="D186" s="46"/>
      <c r="E186" s="46"/>
      <c r="F186" s="46"/>
      <c r="G186" s="46"/>
      <c r="H186" s="46"/>
      <c r="I186" s="12">
        <f>SUM(I183:I185)</f>
        <v>92618</v>
      </c>
      <c r="J186" s="46">
        <f t="shared" ref="J186:N186" si="64">SUM(J183:J185)</f>
        <v>88361</v>
      </c>
      <c r="K186" s="46">
        <f t="shared" si="64"/>
        <v>84104</v>
      </c>
      <c r="L186" s="46">
        <f t="shared" si="64"/>
        <v>79847</v>
      </c>
      <c r="M186" s="46">
        <f t="shared" si="64"/>
        <v>75590</v>
      </c>
      <c r="N186" s="46">
        <f t="shared" si="64"/>
        <v>73445.474332648868</v>
      </c>
      <c r="O186" s="12"/>
      <c r="P186" s="12"/>
    </row>
    <row r="187" spans="1:17" ht="18" customHeight="1" x14ac:dyDescent="0.25">
      <c r="A187" s="35" t="s">
        <v>171</v>
      </c>
      <c r="B187" s="21" t="s">
        <v>11</v>
      </c>
      <c r="C187" s="17"/>
      <c r="D187" s="17"/>
      <c r="E187" s="17"/>
      <c r="F187" s="17"/>
      <c r="G187" s="17"/>
      <c r="H187" s="17"/>
      <c r="I187" s="149">
        <f>I184*'Model inputs'!I$48*((1+I$121)^(I$119)-1)</f>
        <v>623.05612864606974</v>
      </c>
      <c r="J187" s="135">
        <f>J183*'Model inputs'!J$48*((1+$I$121)^J$118-1)</f>
        <v>1271.2554567924583</v>
      </c>
      <c r="K187" s="135">
        <f>K183*'Model inputs'!K$48*((1+$I$121)^K$118-1)</f>
        <v>1212.8247577969553</v>
      </c>
      <c r="L187" s="135">
        <f>L183*'Model inputs'!L$48*((1+$I$121)^L$118-1)</f>
        <v>1157.630679977387</v>
      </c>
      <c r="M187" s="135">
        <f>M183*'Model inputs'!M$48*((1+$I$121)^M$118-1)</f>
        <v>1095.9633598059493</v>
      </c>
      <c r="N187" s="135">
        <f>N183*'Model inputs'!N$48*((1+$I$121)^N$118-1)</f>
        <v>517.03294973515096</v>
      </c>
      <c r="O187" s="12"/>
      <c r="P187" s="12"/>
    </row>
    <row r="188" spans="1:17" ht="18" customHeight="1" x14ac:dyDescent="0.25">
      <c r="A188" s="35" t="s">
        <v>172</v>
      </c>
      <c r="B188" s="21" t="s">
        <v>11</v>
      </c>
      <c r="C188" s="101"/>
      <c r="D188" s="101"/>
      <c r="E188" s="101"/>
      <c r="F188" s="101"/>
      <c r="G188" s="101"/>
      <c r="H188" s="101"/>
      <c r="I188" s="150">
        <f>-(((1+I$121)^(I$119)-1)*'Model inputs'!I$96)</f>
        <v>-849.17639832231453</v>
      </c>
      <c r="J188" s="136">
        <f>-(((1+$I$121)^(J$118)-1)*'Model inputs'!$I$96)</f>
        <v>-1732.6209959485616</v>
      </c>
      <c r="K188" s="136">
        <f>-(((1+$I$121)^(K$118)-1)*'Model inputs'!$I$96)</f>
        <v>-1732.6209959485616</v>
      </c>
      <c r="L188" s="136">
        <f>-(((1+$I$121)^(L$118)-1)*'Model inputs'!$I$96)</f>
        <v>-1737.478815306345</v>
      </c>
      <c r="M188" s="136">
        <f>-(((1+$I$121)^(M$118)-1)*'Model inputs'!$I$96)</f>
        <v>-1732.6209959485616</v>
      </c>
      <c r="N188" s="136">
        <f>-(((1+$I$121)^(N$118)-1)*'Model inputs'!$I$96)</f>
        <v>-863.41585006932462</v>
      </c>
      <c r="O188" s="12"/>
      <c r="P188" s="12"/>
      <c r="Q188" s="12"/>
    </row>
    <row r="189" spans="1:17" ht="18" customHeight="1" x14ac:dyDescent="0.25">
      <c r="A189" s="35" t="s">
        <v>173</v>
      </c>
      <c r="B189" s="21" t="s">
        <v>11</v>
      </c>
      <c r="C189" s="100"/>
      <c r="D189" s="100"/>
      <c r="E189" s="100"/>
      <c r="F189" s="100"/>
      <c r="G189" s="100"/>
      <c r="H189" s="100"/>
      <c r="I189" s="12">
        <f t="shared" ref="I189:J189" si="65">SUM(I187:I188)</f>
        <v>-226.12026967624479</v>
      </c>
      <c r="J189" s="46">
        <f t="shared" si="65"/>
        <v>-461.3655391561033</v>
      </c>
      <c r="K189" s="46">
        <f t="shared" ref="K189:N189" si="66">SUM(K187:K188)</f>
        <v>-519.7962381516063</v>
      </c>
      <c r="L189" s="46">
        <f t="shared" si="66"/>
        <v>-579.84813532895805</v>
      </c>
      <c r="M189" s="46">
        <f t="shared" si="66"/>
        <v>-636.65763614261232</v>
      </c>
      <c r="N189" s="46">
        <f t="shared" si="66"/>
        <v>-346.38290033417366</v>
      </c>
      <c r="O189" s="12"/>
      <c r="P189" s="12"/>
    </row>
    <row r="190" spans="1:17" ht="18" customHeight="1" x14ac:dyDescent="0.25">
      <c r="A190" s="35"/>
      <c r="B190" s="21"/>
      <c r="C190" s="17"/>
      <c r="D190" s="17"/>
      <c r="E190" s="17"/>
      <c r="F190" s="17"/>
      <c r="G190" s="17"/>
      <c r="H190" s="17"/>
      <c r="I190" s="17"/>
      <c r="J190" s="46"/>
      <c r="K190" s="46"/>
      <c r="L190" s="46"/>
      <c r="M190" s="46"/>
      <c r="N190" s="46"/>
      <c r="O190" s="12"/>
      <c r="P190" s="12"/>
    </row>
    <row r="191" spans="1:17" ht="18" customHeight="1" x14ac:dyDescent="0.25">
      <c r="A191" s="15" t="s">
        <v>186</v>
      </c>
      <c r="B191" s="21"/>
      <c r="C191" s="68"/>
      <c r="D191" s="68"/>
      <c r="E191" s="68"/>
      <c r="F191" s="68"/>
      <c r="G191" s="68"/>
      <c r="H191" s="68"/>
      <c r="I191" s="68"/>
      <c r="J191" s="68"/>
      <c r="K191" s="68"/>
      <c r="L191" s="68"/>
      <c r="M191" s="68"/>
      <c r="N191" s="68"/>
      <c r="O191" s="12"/>
      <c r="P191" s="12"/>
    </row>
    <row r="192" spans="1:17" ht="18" customHeight="1" x14ac:dyDescent="0.25">
      <c r="A192" s="35" t="s">
        <v>167</v>
      </c>
      <c r="B192" s="21" t="s">
        <v>11</v>
      </c>
      <c r="C192" s="17"/>
      <c r="D192" s="17"/>
      <c r="E192" s="17"/>
      <c r="F192" s="17"/>
      <c r="G192" s="17"/>
      <c r="H192" s="17"/>
      <c r="I192" s="17"/>
      <c r="K192" s="46">
        <f>J195</f>
        <v>83352</v>
      </c>
      <c r="L192" s="46">
        <f>K195</f>
        <v>81457</v>
      </c>
      <c r="M192" s="46">
        <f>L195</f>
        <v>79562</v>
      </c>
      <c r="N192" s="46">
        <f>M195</f>
        <v>77667</v>
      </c>
      <c r="O192" s="139"/>
      <c r="P192" s="12"/>
    </row>
    <row r="193" spans="1:17" ht="26.25" x14ac:dyDescent="0.25">
      <c r="A193" s="35" t="s">
        <v>187</v>
      </c>
      <c r="B193" s="21" t="s">
        <v>11</v>
      </c>
      <c r="C193" s="17"/>
      <c r="D193" s="17"/>
      <c r="E193" s="17"/>
      <c r="F193" s="17"/>
      <c r="G193" s="17"/>
      <c r="H193" s="17"/>
      <c r="I193" s="17"/>
      <c r="J193" s="122">
        <f>J$52+J$54</f>
        <v>83352</v>
      </c>
      <c r="K193" s="46"/>
      <c r="L193" s="46"/>
      <c r="M193" s="46"/>
      <c r="N193" s="46"/>
      <c r="O193" s="139"/>
      <c r="P193" s="12"/>
    </row>
    <row r="194" spans="1:17" ht="18" customHeight="1" x14ac:dyDescent="0.25">
      <c r="A194" s="35" t="s">
        <v>169</v>
      </c>
      <c r="B194" s="21" t="s">
        <v>11</v>
      </c>
      <c r="C194" s="81"/>
      <c r="D194" s="81"/>
      <c r="E194" s="81"/>
      <c r="F194" s="81"/>
      <c r="G194" s="81"/>
      <c r="H194" s="81"/>
      <c r="I194" s="81"/>
      <c r="J194" s="90"/>
      <c r="K194" s="122">
        <f>K192*K$123</f>
        <v>-1895</v>
      </c>
      <c r="L194" s="90">
        <f>IF(L192+K194&lt;0,-L192,K194)</f>
        <v>-1895</v>
      </c>
      <c r="M194" s="90">
        <f>IF(M192+L194&lt;0,-M192,L194)</f>
        <v>-1895</v>
      </c>
      <c r="N194" s="122">
        <f>IF(N192+M194&lt;0,-N192,M194*N$118)</f>
        <v>-954.63381245722098</v>
      </c>
      <c r="O194" s="139"/>
      <c r="P194" s="12"/>
    </row>
    <row r="195" spans="1:17" ht="18" customHeight="1" x14ac:dyDescent="0.25">
      <c r="A195" s="35" t="s">
        <v>170</v>
      </c>
      <c r="B195" s="21" t="s">
        <v>11</v>
      </c>
      <c r="C195" s="46"/>
      <c r="D195" s="46"/>
      <c r="E195" s="46"/>
      <c r="F195" s="46"/>
      <c r="G195" s="46"/>
      <c r="H195" s="46"/>
      <c r="I195" s="46"/>
      <c r="J195" s="12">
        <f>SUM(J192:J194)</f>
        <v>83352</v>
      </c>
      <c r="K195" s="46">
        <f t="shared" ref="K195:N195" si="67">SUM(K192:K194)</f>
        <v>81457</v>
      </c>
      <c r="L195" s="46">
        <f t="shared" si="67"/>
        <v>79562</v>
      </c>
      <c r="M195" s="46">
        <f t="shared" si="67"/>
        <v>77667</v>
      </c>
      <c r="N195" s="46">
        <f t="shared" si="67"/>
        <v>76712.366187542779</v>
      </c>
      <c r="O195" s="139"/>
      <c r="P195" s="12"/>
    </row>
    <row r="196" spans="1:17" ht="18" customHeight="1" x14ac:dyDescent="0.25">
      <c r="A196" s="35" t="s">
        <v>171</v>
      </c>
      <c r="B196" s="21" t="s">
        <v>11</v>
      </c>
      <c r="C196" s="17"/>
      <c r="D196" s="17"/>
      <c r="E196" s="17"/>
      <c r="F196" s="17"/>
      <c r="G196" s="17"/>
      <c r="H196" s="17"/>
      <c r="I196" s="17"/>
      <c r="J196" s="149">
        <f>J193*'Model inputs'!J$48*((1+J$121)^(J$119)-1)</f>
        <v>503.51616406052233</v>
      </c>
      <c r="K196" s="135">
        <f>K192*'Model inputs'!K$48*((1+$J$121)^K$118-1)</f>
        <v>1026.129821215434</v>
      </c>
      <c r="L196" s="135">
        <f>L192*'Model inputs'!L$48*((1+$J$121)^L$118-1)</f>
        <v>1005.605921004323</v>
      </c>
      <c r="M196" s="135">
        <f>M192*'Model inputs'!M$48*((1+$J$121)^M$118-1)</f>
        <v>979.47188832352401</v>
      </c>
      <c r="N196" s="135">
        <f>N192*'Model inputs'!N$48*((1+$J$121)^N$118-1)</f>
        <v>477.03212703395621</v>
      </c>
      <c r="O196" s="139"/>
      <c r="P196" s="12"/>
    </row>
    <row r="197" spans="1:17" ht="18" customHeight="1" x14ac:dyDescent="0.25">
      <c r="A197" s="35" t="s">
        <v>172</v>
      </c>
      <c r="B197" s="21" t="s">
        <v>11</v>
      </c>
      <c r="C197" s="101"/>
      <c r="D197" s="101"/>
      <c r="E197" s="101"/>
      <c r="F197" s="101"/>
      <c r="G197" s="101"/>
      <c r="H197" s="101"/>
      <c r="I197" s="101"/>
      <c r="J197" s="150">
        <f>-(((1+J$121)^(J$119)-1)*'Model inputs'!J$96)</f>
        <v>-614.35351143290052</v>
      </c>
      <c r="K197" s="136">
        <f>-(((1+$J$121)^(K$118)-1)*'Model inputs'!$J$96)</f>
        <v>-1252.0083839333147</v>
      </c>
      <c r="L197" s="136">
        <f>-(((1+$J$121)^(L$118)-1)*'Model inputs'!$J$96)</f>
        <v>-1255.5105413425447</v>
      </c>
      <c r="M197" s="136">
        <f>-(((1+$J$121)^(M$118)-1)*'Model inputs'!$J$96)</f>
        <v>-1252.0083839333147</v>
      </c>
      <c r="N197" s="136">
        <f>-(((1+$J$121)^(N$118)-1)*'Model inputs'!$J$96)</f>
        <v>-624.64325027815357</v>
      </c>
      <c r="O197" s="139"/>
      <c r="P197" s="12"/>
      <c r="Q197" s="12"/>
    </row>
    <row r="198" spans="1:17" ht="18" customHeight="1" x14ac:dyDescent="0.25">
      <c r="A198" s="35" t="s">
        <v>173</v>
      </c>
      <c r="B198" s="21" t="s">
        <v>11</v>
      </c>
      <c r="C198" s="100"/>
      <c r="D198" s="100"/>
      <c r="E198" s="100"/>
      <c r="F198" s="100"/>
      <c r="G198" s="100"/>
      <c r="H198" s="100"/>
      <c r="I198" s="12"/>
      <c r="J198" s="46">
        <f t="shared" ref="J198:K198" si="68">SUM(J196:J197)</f>
        <v>-110.83734737237819</v>
      </c>
      <c r="K198" s="46">
        <f t="shared" si="68"/>
        <v>-225.87856271788064</v>
      </c>
      <c r="L198" s="46">
        <f t="shared" ref="L198:N198" si="69">SUM(L196:L197)</f>
        <v>-249.90462033822166</v>
      </c>
      <c r="M198" s="46">
        <f t="shared" si="69"/>
        <v>-272.53649560979068</v>
      </c>
      <c r="N198" s="46">
        <f t="shared" si="69"/>
        <v>-147.61112324419736</v>
      </c>
      <c r="O198" s="139"/>
      <c r="P198" s="12"/>
    </row>
    <row r="199" spans="1:17" ht="18" customHeight="1" x14ac:dyDescent="0.25">
      <c r="A199" s="35"/>
      <c r="B199" s="21"/>
      <c r="C199" s="17"/>
      <c r="D199" s="17"/>
      <c r="E199" s="17"/>
      <c r="F199" s="17"/>
      <c r="G199" s="17"/>
      <c r="H199" s="17"/>
      <c r="I199" s="17"/>
      <c r="J199" s="12"/>
      <c r="K199" s="12"/>
      <c r="L199" s="12"/>
      <c r="M199" s="12"/>
      <c r="N199" s="12"/>
      <c r="O199" s="139"/>
      <c r="P199" s="12"/>
    </row>
    <row r="200" spans="1:17" ht="18" customHeight="1" x14ac:dyDescent="0.25">
      <c r="A200" s="15" t="s">
        <v>188</v>
      </c>
      <c r="B200" s="21"/>
      <c r="C200" s="68"/>
      <c r="D200" s="68"/>
      <c r="E200" s="68"/>
      <c r="F200" s="68"/>
      <c r="G200" s="68"/>
      <c r="H200" s="68"/>
      <c r="I200" s="68"/>
      <c r="J200" s="68"/>
      <c r="K200" s="68"/>
      <c r="L200" s="68"/>
      <c r="M200" s="68"/>
      <c r="N200" s="68"/>
      <c r="O200" s="139"/>
      <c r="P200" s="12"/>
    </row>
    <row r="201" spans="1:17" ht="18" customHeight="1" x14ac:dyDescent="0.25">
      <c r="A201" s="35" t="s">
        <v>167</v>
      </c>
      <c r="B201" s="21" t="s">
        <v>11</v>
      </c>
      <c r="C201" s="17"/>
      <c r="D201" s="17"/>
      <c r="E201" s="17"/>
      <c r="F201" s="17"/>
      <c r="G201" s="17"/>
      <c r="H201" s="17"/>
      <c r="I201" s="17"/>
      <c r="J201" s="17"/>
      <c r="L201" s="46">
        <f>K204</f>
        <v>65582</v>
      </c>
      <c r="M201" s="46">
        <f>L204</f>
        <v>62634</v>
      </c>
      <c r="N201" s="46">
        <f>M204</f>
        <v>59686</v>
      </c>
      <c r="O201" s="139"/>
      <c r="P201" s="12"/>
    </row>
    <row r="202" spans="1:17" ht="26.25" x14ac:dyDescent="0.25">
      <c r="A202" s="35" t="s">
        <v>189</v>
      </c>
      <c r="B202" s="21" t="s">
        <v>11</v>
      </c>
      <c r="C202" s="17"/>
      <c r="D202" s="17"/>
      <c r="E202" s="17"/>
      <c r="F202" s="17"/>
      <c r="G202" s="17"/>
      <c r="H202" s="17"/>
      <c r="I202" s="17"/>
      <c r="J202" s="17"/>
      <c r="K202" s="122">
        <f>K$52+K$54</f>
        <v>65582</v>
      </c>
      <c r="L202" s="46"/>
      <c r="M202" s="46"/>
      <c r="N202" s="46"/>
      <c r="O202" s="139"/>
      <c r="P202" s="12"/>
    </row>
    <row r="203" spans="1:17" ht="18" customHeight="1" x14ac:dyDescent="0.25">
      <c r="A203" s="35" t="s">
        <v>169</v>
      </c>
      <c r="B203" s="21" t="s">
        <v>11</v>
      </c>
      <c r="C203" s="81"/>
      <c r="D203" s="81"/>
      <c r="E203" s="81"/>
      <c r="F203" s="81"/>
      <c r="G203" s="81"/>
      <c r="H203" s="81"/>
      <c r="I203" s="81"/>
      <c r="J203" s="81"/>
      <c r="K203" s="90"/>
      <c r="L203" s="151">
        <f>L201*L$123</f>
        <v>-2948</v>
      </c>
      <c r="M203" s="90">
        <f>IF(M201+L203&lt;0,-M201,L203)</f>
        <v>-2948</v>
      </c>
      <c r="N203" s="151">
        <f>IF(N201+M203&lt;0,-N201,M203*N$118)</f>
        <v>-1485.0978781656399</v>
      </c>
      <c r="O203" s="139"/>
      <c r="P203" s="12"/>
    </row>
    <row r="204" spans="1:17" ht="18" customHeight="1" x14ac:dyDescent="0.25">
      <c r="A204" s="35" t="s">
        <v>170</v>
      </c>
      <c r="B204" s="21" t="s">
        <v>11</v>
      </c>
      <c r="C204" s="46"/>
      <c r="D204" s="46"/>
      <c r="E204" s="46"/>
      <c r="F204" s="46"/>
      <c r="G204" s="46"/>
      <c r="H204" s="46"/>
      <c r="I204" s="46"/>
      <c r="J204" s="46"/>
      <c r="K204" s="116">
        <f>SUM(K201:K203)</f>
        <v>65582</v>
      </c>
      <c r="L204" s="46">
        <f t="shared" ref="L204:N204" si="70">SUM(L201:L203)</f>
        <v>62634</v>
      </c>
      <c r="M204" s="46">
        <f t="shared" si="70"/>
        <v>59686</v>
      </c>
      <c r="N204" s="46">
        <f t="shared" si="70"/>
        <v>58200.902121834362</v>
      </c>
      <c r="O204" s="139"/>
      <c r="P204" s="12"/>
    </row>
    <row r="205" spans="1:17" ht="18" customHeight="1" x14ac:dyDescent="0.25">
      <c r="A205" s="35" t="s">
        <v>171</v>
      </c>
      <c r="B205" s="21" t="s">
        <v>11</v>
      </c>
      <c r="C205" s="17"/>
      <c r="D205" s="17"/>
      <c r="E205" s="17"/>
      <c r="F205" s="17"/>
      <c r="G205" s="17"/>
      <c r="H205" s="17"/>
      <c r="I205" s="17"/>
      <c r="J205" s="17"/>
      <c r="K205" s="149">
        <f>K202*'Model inputs'!K$48*((1+K$121)^(K$119)-1)</f>
        <v>378.73957480147027</v>
      </c>
      <c r="L205" s="135">
        <f>L201*'Model inputs'!L$48*((1+$K$121)^L$118-1)</f>
        <v>773.64429434107581</v>
      </c>
      <c r="M205" s="135">
        <f>M201*'Model inputs'!M$48*((1+$K$121)^M$118-1)</f>
        <v>736.80876567100313</v>
      </c>
      <c r="N205" s="135">
        <f>N201*'Model inputs'!N$48*((1+$K$121)^N$118-1)</f>
        <v>350.46040370359913</v>
      </c>
      <c r="O205" s="139"/>
      <c r="P205" s="12"/>
    </row>
    <row r="206" spans="1:17" ht="18" customHeight="1" x14ac:dyDescent="0.25">
      <c r="A206" s="35" t="s">
        <v>172</v>
      </c>
      <c r="B206" s="21" t="s">
        <v>11</v>
      </c>
      <c r="C206" s="101"/>
      <c r="D206" s="101"/>
      <c r="E206" s="101"/>
      <c r="F206" s="101"/>
      <c r="G206" s="101"/>
      <c r="H206" s="101"/>
      <c r="I206" s="101"/>
      <c r="J206" s="101"/>
      <c r="K206" s="150">
        <f>-(((1+K$121)^(K$119)-1)*'Model inputs'!K$96)</f>
        <v>-83.758193302356091</v>
      </c>
      <c r="L206" s="136">
        <f>-(((1+$K$121)^(L$118)-1)*'Model inputs'!$K$96)</f>
        <v>-171.09130564623837</v>
      </c>
      <c r="M206" s="136">
        <f>-(((1+$K$121)^(M$118)-1)*'Model inputs'!$K$96)</f>
        <v>-170.61448769216676</v>
      </c>
      <c r="N206" s="136">
        <f>-(((1+$K$121)^(N$118)-1)*'Model inputs'!$K$96)</f>
        <v>-85.16041178589434</v>
      </c>
      <c r="O206" s="139"/>
      <c r="P206" s="12"/>
      <c r="Q206" s="12"/>
    </row>
    <row r="207" spans="1:17" ht="18" customHeight="1" x14ac:dyDescent="0.25">
      <c r="A207" s="35" t="s">
        <v>173</v>
      </c>
      <c r="B207" s="21" t="s">
        <v>11</v>
      </c>
      <c r="C207" s="100"/>
      <c r="D207" s="100"/>
      <c r="E207" s="100"/>
      <c r="F207" s="100"/>
      <c r="G207" s="100"/>
      <c r="H207" s="100"/>
      <c r="I207" s="100"/>
      <c r="J207" s="100"/>
      <c r="K207" s="12">
        <f t="shared" ref="K207:L207" si="71">SUM(K205:K206)</f>
        <v>294.98138149911415</v>
      </c>
      <c r="L207" s="12">
        <f t="shared" si="71"/>
        <v>602.5529886948375</v>
      </c>
      <c r="M207" s="12">
        <f t="shared" ref="M207:N207" si="72">SUM(M205:M206)</f>
        <v>566.19427797883634</v>
      </c>
      <c r="N207" s="12">
        <f t="shared" si="72"/>
        <v>265.2999919177048</v>
      </c>
      <c r="O207" s="139"/>
      <c r="P207" s="12"/>
    </row>
    <row r="208" spans="1:17" ht="18" customHeight="1" x14ac:dyDescent="0.25">
      <c r="A208" s="35"/>
      <c r="B208" s="21"/>
      <c r="C208" s="17"/>
      <c r="D208" s="17"/>
      <c r="E208" s="17"/>
      <c r="F208" s="17"/>
      <c r="G208" s="17"/>
      <c r="H208" s="17"/>
      <c r="I208" s="17"/>
      <c r="J208" s="17"/>
      <c r="K208" s="17"/>
      <c r="L208" s="17"/>
      <c r="M208" s="17"/>
      <c r="N208" s="17"/>
      <c r="O208" s="139"/>
      <c r="P208" s="12"/>
    </row>
    <row r="209" spans="1:17" ht="18" customHeight="1" x14ac:dyDescent="0.25">
      <c r="A209" s="15" t="s">
        <v>190</v>
      </c>
      <c r="B209" s="21"/>
      <c r="C209" s="68"/>
      <c r="D209" s="68"/>
      <c r="E209" s="68"/>
      <c r="F209" s="68"/>
      <c r="G209" s="68"/>
      <c r="H209" s="68"/>
      <c r="I209" s="68"/>
      <c r="J209" s="68"/>
      <c r="K209" s="68"/>
      <c r="L209" s="68"/>
      <c r="M209" s="68"/>
      <c r="N209" s="68"/>
      <c r="O209" s="139"/>
      <c r="P209" s="12"/>
    </row>
    <row r="210" spans="1:17" ht="18" customHeight="1" x14ac:dyDescent="0.25">
      <c r="A210" s="35" t="s">
        <v>167</v>
      </c>
      <c r="B210" s="21" t="s">
        <v>11</v>
      </c>
      <c r="C210" s="17"/>
      <c r="D210" s="17"/>
      <c r="E210" s="17"/>
      <c r="F210" s="17"/>
      <c r="G210" s="17"/>
      <c r="H210" s="17"/>
      <c r="I210" s="17"/>
      <c r="J210" s="17"/>
      <c r="K210" s="17"/>
      <c r="L210" s="46"/>
      <c r="M210" s="46">
        <f>L213</f>
        <v>39181</v>
      </c>
      <c r="N210" s="46">
        <f>M213</f>
        <v>39373</v>
      </c>
      <c r="O210" s="139"/>
      <c r="P210" s="12"/>
    </row>
    <row r="211" spans="1:17" ht="26.25" x14ac:dyDescent="0.25">
      <c r="A211" s="35" t="s">
        <v>191</v>
      </c>
      <c r="B211" s="21" t="s">
        <v>11</v>
      </c>
      <c r="C211" s="17"/>
      <c r="D211" s="17"/>
      <c r="E211" s="17"/>
      <c r="F211" s="17"/>
      <c r="G211" s="17"/>
      <c r="H211" s="17"/>
      <c r="I211" s="17"/>
      <c r="J211" s="17"/>
      <c r="K211" s="17"/>
      <c r="L211" s="122">
        <f>L$52+L$54</f>
        <v>39181</v>
      </c>
      <c r="M211" s="98"/>
      <c r="N211" s="98"/>
      <c r="O211" s="139"/>
      <c r="P211" s="12"/>
    </row>
    <row r="212" spans="1:17" ht="18" customHeight="1" x14ac:dyDescent="0.25">
      <c r="A212" s="35" t="s">
        <v>169</v>
      </c>
      <c r="B212" s="21" t="s">
        <v>11</v>
      </c>
      <c r="C212" s="81"/>
      <c r="D212" s="81"/>
      <c r="E212" s="81"/>
      <c r="F212" s="81"/>
      <c r="G212" s="81"/>
      <c r="H212" s="81"/>
      <c r="I212" s="81"/>
      <c r="J212" s="81"/>
      <c r="K212" s="81"/>
      <c r="L212" s="90"/>
      <c r="M212" s="151">
        <f>M210*M$123</f>
        <v>192</v>
      </c>
      <c r="N212" s="151">
        <f>IF(N210+M212&lt;0,-N210,M212*N$118)</f>
        <v>96.722792607802859</v>
      </c>
      <c r="O212" s="139"/>
      <c r="P212" s="12"/>
    </row>
    <row r="213" spans="1:17" ht="18" customHeight="1" x14ac:dyDescent="0.25">
      <c r="A213" s="35" t="s">
        <v>170</v>
      </c>
      <c r="B213" s="21" t="s">
        <v>11</v>
      </c>
      <c r="C213" s="46"/>
      <c r="D213" s="46"/>
      <c r="E213" s="46"/>
      <c r="F213" s="46"/>
      <c r="G213" s="46"/>
      <c r="H213" s="46"/>
      <c r="I213" s="46"/>
      <c r="J213" s="46"/>
      <c r="K213" s="46"/>
      <c r="L213" s="12">
        <f>SUM(L210:L212)</f>
        <v>39181</v>
      </c>
      <c r="M213" s="46">
        <f t="shared" ref="M213:N213" si="73">SUM(M210:M212)</f>
        <v>39373</v>
      </c>
      <c r="N213" s="46">
        <f t="shared" si="73"/>
        <v>39469.722792607805</v>
      </c>
      <c r="O213" s="139"/>
      <c r="P213" s="12"/>
    </row>
    <row r="214" spans="1:17" ht="18" customHeight="1" x14ac:dyDescent="0.25">
      <c r="A214" s="35" t="s">
        <v>171</v>
      </c>
      <c r="B214" s="21" t="s">
        <v>11</v>
      </c>
      <c r="C214" s="17"/>
      <c r="D214" s="17"/>
      <c r="E214" s="17"/>
      <c r="F214" s="17"/>
      <c r="G214" s="17"/>
      <c r="H214" s="17"/>
      <c r="I214" s="17"/>
      <c r="J214" s="17"/>
      <c r="K214" s="17"/>
      <c r="L214" s="149">
        <f>L211*'Model inputs'!L$48*((1+L$121)^(L$119)-1)</f>
        <v>166.35051573904468</v>
      </c>
      <c r="M214" s="135">
        <f>M210*'Model inputs'!M$48*((1+$L$121)^M$118-1)</f>
        <v>336.07064501769162</v>
      </c>
      <c r="N214" s="135">
        <f>N210*'Model inputs'!N$48*((1+$L$121)^N$118-1)</f>
        <v>169.01620413552706</v>
      </c>
      <c r="O214" s="139"/>
      <c r="P214" s="12"/>
    </row>
    <row r="215" spans="1:17" ht="18" customHeight="1" x14ac:dyDescent="0.25">
      <c r="A215" s="35" t="s">
        <v>172</v>
      </c>
      <c r="B215" s="21" t="s">
        <v>11</v>
      </c>
      <c r="C215" s="101"/>
      <c r="D215" s="101"/>
      <c r="E215" s="101"/>
      <c r="F215" s="101"/>
      <c r="G215" s="101"/>
      <c r="H215" s="101"/>
      <c r="I215" s="101"/>
      <c r="J215" s="101"/>
      <c r="K215" s="101"/>
      <c r="L215" s="150">
        <f>-(((1+L$121)^(L$119)-1)*'Model inputs'!L$96)</f>
        <v>-81.868682305791936</v>
      </c>
      <c r="M215" s="136">
        <f>-(((1+$L$121)^(M$118)-1)*'Model inputs'!$L$96)</f>
        <v>-165.39570524937153</v>
      </c>
      <c r="N215" s="136">
        <f>-(((1+$L$121)^(N$118)-1)*'Model inputs'!$L$96)</f>
        <v>-82.774964247849454</v>
      </c>
      <c r="O215" s="139"/>
      <c r="P215" s="12"/>
      <c r="Q215" s="12"/>
    </row>
    <row r="216" spans="1:17" ht="18" customHeight="1" x14ac:dyDescent="0.25">
      <c r="A216" s="35" t="s">
        <v>173</v>
      </c>
      <c r="B216" s="21" t="s">
        <v>11</v>
      </c>
      <c r="C216" s="100"/>
      <c r="D216" s="100"/>
      <c r="E216" s="100"/>
      <c r="F216" s="100"/>
      <c r="G216" s="100"/>
      <c r="H216" s="100"/>
      <c r="I216" s="100"/>
      <c r="J216" s="100"/>
      <c r="K216" s="100"/>
      <c r="L216" s="12">
        <f t="shared" ref="L216:N216" si="74">SUM(L214:L215)</f>
        <v>84.481833433252746</v>
      </c>
      <c r="M216" s="46">
        <f t="shared" si="74"/>
        <v>170.67493976832009</v>
      </c>
      <c r="N216" s="46">
        <f t="shared" si="74"/>
        <v>86.241239887677608</v>
      </c>
      <c r="O216" s="139"/>
      <c r="P216" s="12"/>
    </row>
    <row r="217" spans="1:17" ht="18" customHeight="1" x14ac:dyDescent="0.25">
      <c r="A217" s="35"/>
      <c r="B217" s="21"/>
      <c r="C217" s="17"/>
      <c r="D217" s="17"/>
      <c r="E217" s="17"/>
      <c r="F217" s="17"/>
      <c r="G217" s="17"/>
      <c r="H217" s="17"/>
      <c r="I217" s="17"/>
      <c r="J217" s="17"/>
      <c r="K217" s="17"/>
      <c r="L217" s="17"/>
      <c r="M217" s="46"/>
      <c r="N217" s="46"/>
      <c r="O217" s="139"/>
      <c r="P217" s="12"/>
    </row>
    <row r="218" spans="1:17" ht="18" customHeight="1" x14ac:dyDescent="0.25">
      <c r="A218" s="15" t="s">
        <v>192</v>
      </c>
      <c r="B218" s="21"/>
      <c r="C218" s="68"/>
      <c r="D218" s="68"/>
      <c r="E218" s="68"/>
      <c r="F218" s="68"/>
      <c r="G218" s="68"/>
      <c r="H218" s="68"/>
      <c r="I218" s="68"/>
      <c r="J218" s="68"/>
      <c r="K218" s="68"/>
      <c r="L218" s="68"/>
      <c r="M218" s="68"/>
      <c r="N218" s="68"/>
      <c r="O218" s="139"/>
      <c r="P218" s="12"/>
    </row>
    <row r="219" spans="1:17" ht="18" customHeight="1" x14ac:dyDescent="0.25">
      <c r="A219" s="35" t="s">
        <v>167</v>
      </c>
      <c r="B219" s="21" t="s">
        <v>11</v>
      </c>
      <c r="C219" s="17"/>
      <c r="D219" s="17"/>
      <c r="E219" s="17"/>
      <c r="F219" s="17"/>
      <c r="G219" s="17"/>
      <c r="H219" s="17"/>
      <c r="I219" s="17"/>
      <c r="J219" s="17"/>
      <c r="K219" s="17"/>
      <c r="L219" s="17"/>
      <c r="N219" s="46">
        <f>M222</f>
        <v>36946.731740000003</v>
      </c>
      <c r="O219" s="139"/>
      <c r="P219" s="12"/>
    </row>
    <row r="220" spans="1:17" ht="26.25" x14ac:dyDescent="0.25">
      <c r="A220" s="35" t="s">
        <v>193</v>
      </c>
      <c r="B220" s="21" t="s">
        <v>11</v>
      </c>
      <c r="C220" s="17"/>
      <c r="D220" s="17"/>
      <c r="E220" s="17"/>
      <c r="F220" s="17"/>
      <c r="G220" s="17"/>
      <c r="H220" s="17"/>
      <c r="I220" s="17"/>
      <c r="J220" s="17"/>
      <c r="K220" s="17"/>
      <c r="L220" s="17"/>
      <c r="M220" s="122">
        <f>M$52+M$54</f>
        <v>36946.731740000003</v>
      </c>
      <c r="N220" s="46"/>
      <c r="O220" s="139"/>
      <c r="P220" s="12"/>
    </row>
    <row r="221" spans="1:17" ht="18" customHeight="1" x14ac:dyDescent="0.25">
      <c r="A221" s="35" t="s">
        <v>169</v>
      </c>
      <c r="B221" s="21" t="s">
        <v>11</v>
      </c>
      <c r="C221" s="81"/>
      <c r="D221" s="81"/>
      <c r="E221" s="81"/>
      <c r="F221" s="81"/>
      <c r="G221" s="81"/>
      <c r="H221" s="81"/>
      <c r="I221" s="81"/>
      <c r="J221" s="81"/>
      <c r="K221" s="81"/>
      <c r="L221" s="81"/>
      <c r="M221" s="90"/>
      <c r="N221" s="151">
        <f>N219*N$123</f>
        <v>400.74127310061522</v>
      </c>
      <c r="O221" s="139"/>
      <c r="P221" s="12"/>
    </row>
    <row r="222" spans="1:17" ht="18" customHeight="1" x14ac:dyDescent="0.25">
      <c r="A222" s="35" t="s">
        <v>170</v>
      </c>
      <c r="B222" s="21" t="s">
        <v>11</v>
      </c>
      <c r="C222" s="46"/>
      <c r="D222" s="46"/>
      <c r="E222" s="46"/>
      <c r="F222" s="46"/>
      <c r="G222" s="46"/>
      <c r="H222" s="46"/>
      <c r="I222" s="46"/>
      <c r="J222" s="46"/>
      <c r="K222" s="46"/>
      <c r="L222" s="46"/>
      <c r="M222" s="12">
        <f>SUM(M219:M221)</f>
        <v>36946.731740000003</v>
      </c>
      <c r="N222" s="46">
        <f t="shared" ref="N222" si="75">SUM(N219:N221)</f>
        <v>37347.473013100622</v>
      </c>
      <c r="O222" s="139"/>
      <c r="P222" s="12"/>
    </row>
    <row r="223" spans="1:17" ht="18" customHeight="1" x14ac:dyDescent="0.25">
      <c r="A223" s="35" t="s">
        <v>171</v>
      </c>
      <c r="B223" s="21" t="s">
        <v>11</v>
      </c>
      <c r="C223" s="17"/>
      <c r="D223" s="17"/>
      <c r="E223" s="17"/>
      <c r="F223" s="17"/>
      <c r="G223" s="17"/>
      <c r="H223" s="17"/>
      <c r="I223" s="17"/>
      <c r="J223" s="17"/>
      <c r="K223" s="17"/>
      <c r="L223" s="17"/>
      <c r="M223" s="149">
        <f>M220*'Model inputs'!M$48*((1+M$121)^(M$119)-1)</f>
        <v>105.91489350372392</v>
      </c>
      <c r="N223" s="135">
        <f>N219*'Model inputs'!N$48*((1+$M$121)^N$118-1)</f>
        <v>107.67918100830276</v>
      </c>
      <c r="O223" s="139"/>
      <c r="P223" s="12"/>
    </row>
    <row r="224" spans="1:17" ht="18" customHeight="1" x14ac:dyDescent="0.25">
      <c r="A224" s="35" t="s">
        <v>172</v>
      </c>
      <c r="B224" s="21" t="s">
        <v>11</v>
      </c>
      <c r="C224" s="101"/>
      <c r="D224" s="101"/>
      <c r="E224" s="101"/>
      <c r="F224" s="101"/>
      <c r="G224" s="101"/>
      <c r="H224" s="101"/>
      <c r="I224" s="101"/>
      <c r="J224" s="101"/>
      <c r="K224" s="101"/>
      <c r="L224" s="101"/>
      <c r="M224" s="150">
        <f>-(((1+M$121)^(M$119)-1)*'Model inputs'!M$96)</f>
        <v>1579.5814425916892</v>
      </c>
      <c r="N224" s="136">
        <f>-(((1+$M$121)^(N$118)-1)*'Model inputs'!$M$96)</f>
        <v>1605.8934720847953</v>
      </c>
      <c r="O224" s="139"/>
      <c r="P224" s="12"/>
      <c r="Q224" s="12"/>
    </row>
    <row r="225" spans="1:17" ht="18" customHeight="1" x14ac:dyDescent="0.25">
      <c r="A225" s="35" t="s">
        <v>173</v>
      </c>
      <c r="B225" s="21" t="s">
        <v>11</v>
      </c>
      <c r="C225" s="100"/>
      <c r="D225" s="100"/>
      <c r="E225" s="100"/>
      <c r="F225" s="100"/>
      <c r="G225" s="100"/>
      <c r="H225" s="100"/>
      <c r="I225" s="100"/>
      <c r="J225" s="100"/>
      <c r="K225" s="100"/>
      <c r="L225" s="100"/>
      <c r="M225" s="46">
        <f t="shared" ref="M225:N225" si="76">SUM(M223:M224)</f>
        <v>1685.4963360954132</v>
      </c>
      <c r="N225" s="46">
        <f t="shared" si="76"/>
        <v>1713.5726530930981</v>
      </c>
      <c r="O225" s="139"/>
      <c r="P225" s="12"/>
    </row>
    <row r="226" spans="1:17" ht="18" customHeight="1" x14ac:dyDescent="0.25">
      <c r="A226" s="35"/>
      <c r="B226" s="21"/>
      <c r="C226" s="17"/>
      <c r="D226" s="17"/>
      <c r="E226" s="17"/>
      <c r="F226" s="17"/>
      <c r="G226" s="17"/>
      <c r="H226" s="17"/>
      <c r="I226" s="17"/>
      <c r="J226" s="17"/>
      <c r="K226" s="17"/>
      <c r="L226" s="17"/>
      <c r="M226" s="46"/>
      <c r="N226" s="46"/>
      <c r="O226" s="139"/>
      <c r="P226" s="12"/>
    </row>
    <row r="227" spans="1:17" ht="18" customHeight="1" x14ac:dyDescent="0.25">
      <c r="A227" s="15" t="s">
        <v>194</v>
      </c>
      <c r="B227" s="21"/>
      <c r="C227" s="68"/>
      <c r="D227" s="68"/>
      <c r="E227" s="68"/>
      <c r="F227" s="68"/>
      <c r="G227" s="68"/>
      <c r="H227" s="68"/>
      <c r="I227" s="68"/>
      <c r="J227" s="68"/>
      <c r="K227" s="68"/>
      <c r="L227" s="68"/>
      <c r="M227" s="68"/>
      <c r="N227" s="68"/>
      <c r="O227" s="139"/>
      <c r="P227" s="12"/>
    </row>
    <row r="228" spans="1:17" ht="18" customHeight="1" x14ac:dyDescent="0.25">
      <c r="A228" s="35" t="s">
        <v>167</v>
      </c>
      <c r="B228" s="21" t="s">
        <v>11</v>
      </c>
      <c r="C228" s="17"/>
      <c r="D228" s="17"/>
      <c r="E228" s="17"/>
      <c r="F228" s="17"/>
      <c r="G228" s="17"/>
      <c r="H228" s="17"/>
      <c r="I228" s="17"/>
      <c r="J228" s="17"/>
      <c r="K228" s="17"/>
      <c r="L228" s="17"/>
      <c r="M228" s="17"/>
      <c r="N228" s="99"/>
      <c r="O228" s="139"/>
      <c r="P228" s="12"/>
    </row>
    <row r="229" spans="1:17" ht="26.25" x14ac:dyDescent="0.25">
      <c r="A229" s="35" t="s">
        <v>195</v>
      </c>
      <c r="B229" s="21" t="s">
        <v>11</v>
      </c>
      <c r="C229" s="17"/>
      <c r="D229" s="17"/>
      <c r="E229" s="17"/>
      <c r="F229" s="17"/>
      <c r="G229" s="17"/>
      <c r="H229" s="17"/>
      <c r="I229" s="17"/>
      <c r="J229" s="17"/>
      <c r="K229" s="17"/>
      <c r="L229" s="17"/>
      <c r="M229" s="17"/>
      <c r="N229" s="113">
        <f>N$52+N$54</f>
        <v>14411</v>
      </c>
      <c r="O229" s="139"/>
      <c r="P229" s="12"/>
    </row>
    <row r="230" spans="1:17" ht="18" customHeight="1" x14ac:dyDescent="0.25">
      <c r="A230" s="35" t="s">
        <v>169</v>
      </c>
      <c r="B230" s="21" t="s">
        <v>11</v>
      </c>
      <c r="C230" s="81"/>
      <c r="D230" s="81"/>
      <c r="E230" s="81"/>
      <c r="F230" s="81"/>
      <c r="G230" s="81"/>
      <c r="H230" s="81"/>
      <c r="I230" s="81"/>
      <c r="J230" s="81"/>
      <c r="K230" s="81"/>
      <c r="L230" s="81"/>
      <c r="M230" s="81"/>
      <c r="N230" s="90"/>
      <c r="O230" s="139"/>
      <c r="P230" s="12"/>
    </row>
    <row r="231" spans="1:17" ht="18" customHeight="1" x14ac:dyDescent="0.25">
      <c r="A231" s="35" t="s">
        <v>170</v>
      </c>
      <c r="B231" s="21" t="s">
        <v>11</v>
      </c>
      <c r="C231" s="46"/>
      <c r="D231" s="46"/>
      <c r="E231" s="46"/>
      <c r="F231" s="46"/>
      <c r="G231" s="46"/>
      <c r="H231" s="46"/>
      <c r="I231" s="46"/>
      <c r="J231" s="46"/>
      <c r="K231" s="46"/>
      <c r="L231" s="46"/>
      <c r="M231" s="46"/>
      <c r="N231" s="12">
        <f>SUM(N228:N230)</f>
        <v>14411</v>
      </c>
      <c r="O231" s="139"/>
      <c r="P231" s="12"/>
    </row>
    <row r="232" spans="1:17" ht="18" customHeight="1" x14ac:dyDescent="0.25">
      <c r="A232" s="35" t="s">
        <v>171</v>
      </c>
      <c r="B232" s="21" t="s">
        <v>11</v>
      </c>
      <c r="C232" s="17"/>
      <c r="D232" s="17"/>
      <c r="E232" s="17"/>
      <c r="F232" s="17"/>
      <c r="G232" s="17"/>
      <c r="H232" s="17"/>
      <c r="I232" s="17"/>
      <c r="J232" s="17"/>
      <c r="K232" s="17"/>
      <c r="L232" s="17"/>
      <c r="M232" s="17"/>
      <c r="N232" s="149">
        <f>N229*'Model inputs'!N$48*((1+N$121)^(N$119)-1)</f>
        <v>27.755694302291442</v>
      </c>
      <c r="O232" s="139"/>
      <c r="P232" s="12"/>
    </row>
    <row r="233" spans="1:17" ht="18" customHeight="1" x14ac:dyDescent="0.25">
      <c r="A233" s="35" t="s">
        <v>172</v>
      </c>
      <c r="B233" s="21" t="s">
        <v>11</v>
      </c>
      <c r="C233" s="101"/>
      <c r="D233" s="101"/>
      <c r="E233" s="101"/>
      <c r="F233" s="101"/>
      <c r="G233" s="101"/>
      <c r="H233" s="101"/>
      <c r="I233" s="101"/>
      <c r="J233" s="101"/>
      <c r="K233" s="101"/>
      <c r="L233" s="101"/>
      <c r="M233" s="101"/>
      <c r="N233" s="150">
        <f>-(((1+N$121)^(N$119)-1)*'Model inputs'!N$96)</f>
        <v>0</v>
      </c>
      <c r="O233" s="139"/>
      <c r="P233" s="12"/>
      <c r="Q233" s="12"/>
    </row>
    <row r="234" spans="1:17" ht="18" customHeight="1" x14ac:dyDescent="0.25">
      <c r="A234" s="35" t="s">
        <v>173</v>
      </c>
      <c r="B234" s="21" t="s">
        <v>11</v>
      </c>
      <c r="C234" s="100"/>
      <c r="D234" s="100"/>
      <c r="E234" s="100"/>
      <c r="F234" s="100"/>
      <c r="G234" s="100"/>
      <c r="H234" s="100"/>
      <c r="I234" s="100"/>
      <c r="J234" s="100"/>
      <c r="K234" s="100"/>
      <c r="L234" s="100"/>
      <c r="M234" s="100"/>
      <c r="N234" s="12">
        <f t="shared" ref="N234" si="77">SUM(N232:N233)</f>
        <v>27.755694302291442</v>
      </c>
      <c r="O234" s="139"/>
    </row>
    <row r="235" spans="1:17" ht="18" customHeight="1" x14ac:dyDescent="0.25">
      <c r="A235" s="15"/>
      <c r="B235" s="21"/>
      <c r="C235" s="17"/>
      <c r="D235" s="17"/>
      <c r="E235" s="17"/>
      <c r="F235" s="17"/>
      <c r="G235" s="17"/>
      <c r="H235" s="17"/>
      <c r="I235" s="17"/>
      <c r="J235" s="17"/>
      <c r="K235" s="17"/>
      <c r="L235" s="17"/>
      <c r="M235" s="17"/>
      <c r="N235" s="17"/>
      <c r="O235" s="139"/>
    </row>
    <row r="236" spans="1:17" ht="18" customHeight="1" x14ac:dyDescent="0.25">
      <c r="A236" s="35" t="s">
        <v>196</v>
      </c>
      <c r="B236" s="21" t="s">
        <v>11</v>
      </c>
      <c r="C236" s="17"/>
      <c r="D236" s="17">
        <f>SUM(D230,D221,D212,D203,D194,D185,D176,D167,D158,D149,D140,D131)</f>
        <v>0</v>
      </c>
      <c r="E236" s="17">
        <f t="shared" ref="E236:N236" si="78">SUM(E230,E221,E212,E203,E194,E185,E176,E167,E158,E149,E140,E131)</f>
        <v>-1475</v>
      </c>
      <c r="F236" s="17">
        <f t="shared" si="78"/>
        <v>-2689</v>
      </c>
      <c r="G236" s="17">
        <f t="shared" si="78"/>
        <v>-4488</v>
      </c>
      <c r="H236" s="17">
        <f t="shared" si="78"/>
        <v>-6123</v>
      </c>
      <c r="I236" s="17">
        <f t="shared" si="78"/>
        <v>-13882</v>
      </c>
      <c r="J236" s="17">
        <f t="shared" si="78"/>
        <v>-18139</v>
      </c>
      <c r="K236" s="17">
        <f t="shared" si="78"/>
        <v>-20034</v>
      </c>
      <c r="L236" s="17">
        <f t="shared" si="78"/>
        <v>-22982</v>
      </c>
      <c r="M236" s="17">
        <f t="shared" si="78"/>
        <v>-22790</v>
      </c>
      <c r="N236" s="17">
        <f t="shared" si="78"/>
        <v>-11811.999999999998</v>
      </c>
      <c r="O236" s="139"/>
    </row>
    <row r="237" spans="1:17" ht="18" customHeight="1" x14ac:dyDescent="0.25">
      <c r="A237" s="35" t="s">
        <v>197</v>
      </c>
      <c r="B237" s="21" t="s">
        <v>11</v>
      </c>
      <c r="C237" s="17"/>
      <c r="D237" s="17">
        <f t="shared" ref="D237:N237" si="79">D53</f>
        <v>-402</v>
      </c>
      <c r="E237" s="17">
        <f t="shared" si="79"/>
        <v>-1475</v>
      </c>
      <c r="F237" s="17">
        <f t="shared" si="79"/>
        <v>-2689</v>
      </c>
      <c r="G237" s="17">
        <f t="shared" si="79"/>
        <v>-4488</v>
      </c>
      <c r="H237" s="17">
        <f t="shared" si="79"/>
        <v>-6123</v>
      </c>
      <c r="I237" s="17">
        <f t="shared" si="79"/>
        <v>-13882</v>
      </c>
      <c r="J237" s="17">
        <f t="shared" si="79"/>
        <v>-18139</v>
      </c>
      <c r="K237" s="17">
        <f t="shared" si="79"/>
        <v>-20034</v>
      </c>
      <c r="L237" s="17">
        <f t="shared" si="79"/>
        <v>-22982</v>
      </c>
      <c r="M237" s="17">
        <f t="shared" si="79"/>
        <v>-22790</v>
      </c>
      <c r="N237" s="17">
        <f t="shared" si="79"/>
        <v>-11812</v>
      </c>
      <c r="O237" s="139"/>
    </row>
    <row r="238" spans="1:17" ht="18" customHeight="1" x14ac:dyDescent="0.25">
      <c r="A238" s="35"/>
      <c r="B238" s="21"/>
      <c r="C238" s="17"/>
      <c r="D238" s="17"/>
      <c r="E238" s="17"/>
      <c r="F238" s="17"/>
      <c r="G238" s="17"/>
      <c r="H238" s="17"/>
      <c r="I238" s="17"/>
      <c r="J238" s="17"/>
      <c r="K238" s="17"/>
      <c r="L238" s="17"/>
      <c r="M238" s="17"/>
      <c r="N238" s="17"/>
      <c r="O238" s="139"/>
    </row>
    <row r="239" spans="1:17" ht="18" customHeight="1" x14ac:dyDescent="0.25">
      <c r="A239" s="71" t="s">
        <v>198</v>
      </c>
      <c r="B239" s="21"/>
      <c r="C239" s="17"/>
      <c r="D239" s="17">
        <f t="shared" ref="D239:N239" si="80">SUM(D232,D223,D214,D205,D196,D187,D178,D169,D160,D151,D142,D133)</f>
        <v>173.1198220803023</v>
      </c>
      <c r="E239" s="17">
        <f t="shared" si="80"/>
        <v>740.08082939767667</v>
      </c>
      <c r="F239" s="17">
        <f t="shared" si="80"/>
        <v>1235.6256810623825</v>
      </c>
      <c r="G239" s="17">
        <f t="shared" si="80"/>
        <v>2025.8448678013719</v>
      </c>
      <c r="H239" s="17">
        <f t="shared" si="80"/>
        <v>3361.6783198378535</v>
      </c>
      <c r="I239" s="17">
        <f t="shared" si="80"/>
        <v>4866.4313058733387</v>
      </c>
      <c r="J239" s="17">
        <f t="shared" si="80"/>
        <v>5802.4807374824022</v>
      </c>
      <c r="K239" s="17">
        <f t="shared" si="80"/>
        <v>6429.7372098454343</v>
      </c>
      <c r="L239" s="17">
        <f t="shared" si="80"/>
        <v>6709.7285178697584</v>
      </c>
      <c r="M239" s="17">
        <f t="shared" si="80"/>
        <v>6634.940487157769</v>
      </c>
      <c r="N239" s="17">
        <f t="shared" si="80"/>
        <v>3223.2823323869361</v>
      </c>
      <c r="O239" s="139"/>
    </row>
    <row r="240" spans="1:17" ht="18" customHeight="1" x14ac:dyDescent="0.25">
      <c r="A240" s="15" t="s">
        <v>199</v>
      </c>
      <c r="B240" s="21" t="s">
        <v>11</v>
      </c>
      <c r="C240" s="17"/>
      <c r="D240" s="17">
        <f t="shared" ref="D240:N240" si="81">SUM(D233,D224,D215,D206,D197,D188,D179,D170,D161,D152,D143,D134)</f>
        <v>-33.345870070893831</v>
      </c>
      <c r="E240" s="17">
        <f t="shared" si="81"/>
        <v>-337.57903814615435</v>
      </c>
      <c r="F240" s="17">
        <f t="shared" si="81"/>
        <v>-1188.7865912709258</v>
      </c>
      <c r="G240" s="17">
        <f t="shared" si="81"/>
        <v>-2191.6894384354587</v>
      </c>
      <c r="H240" s="17">
        <f t="shared" si="81"/>
        <v>-3073.1903083847928</v>
      </c>
      <c r="I240" s="17">
        <f t="shared" si="81"/>
        <v>-4439.4175755393462</v>
      </c>
      <c r="J240" s="17">
        <f t="shared" si="81"/>
        <v>-5937.2156845984937</v>
      </c>
      <c r="K240" s="17">
        <f t="shared" si="81"/>
        <v>-6658.6287504012644</v>
      </c>
      <c r="L240" s="17">
        <f t="shared" si="81"/>
        <v>-6846.3022708367689</v>
      </c>
      <c r="M240" s="17">
        <f t="shared" si="81"/>
        <v>-5331.2993074487567</v>
      </c>
      <c r="N240" s="17">
        <f t="shared" si="81"/>
        <v>-1835.1429098540823</v>
      </c>
      <c r="O240" s="139"/>
    </row>
    <row r="241" spans="1:14" ht="18" customHeight="1" x14ac:dyDescent="0.25">
      <c r="A241" s="15"/>
      <c r="B241" s="21"/>
      <c r="C241" s="17"/>
    </row>
    <row r="242" spans="1:14" ht="18" customHeight="1" x14ac:dyDescent="0.25">
      <c r="A242" s="15" t="s">
        <v>200</v>
      </c>
      <c r="B242" s="21" t="s">
        <v>11</v>
      </c>
      <c r="C242" s="17"/>
      <c r="D242" s="17">
        <f>SUM(D234,D225,D216,D207,D198,D189,D180,D171,D162,D153,D144,D135)</f>
        <v>139.77395200940848</v>
      </c>
      <c r="E242" s="17">
        <f t="shared" ref="E242:N242" si="82">SUM(E234,E225,E216,E207,E198,E189,E180,E171,E162,E153,E144,E135)</f>
        <v>402.50179125152238</v>
      </c>
      <c r="F242" s="17">
        <f t="shared" si="82"/>
        <v>46.839089791456786</v>
      </c>
      <c r="G242" s="17">
        <f t="shared" si="82"/>
        <v>-165.84457063408684</v>
      </c>
      <c r="H242" s="17">
        <f t="shared" si="82"/>
        <v>288.48801145306072</v>
      </c>
      <c r="I242" s="17">
        <f t="shared" si="82"/>
        <v>427.0137303339925</v>
      </c>
      <c r="J242" s="17">
        <f t="shared" si="82"/>
        <v>-134.73494711609226</v>
      </c>
      <c r="K242" s="17">
        <f t="shared" si="82"/>
        <v>-228.89154055583111</v>
      </c>
      <c r="L242" s="17">
        <f t="shared" si="82"/>
        <v>-136.57375296700997</v>
      </c>
      <c r="M242" s="17">
        <f t="shared" si="82"/>
        <v>1303.6411797090127</v>
      </c>
      <c r="N242" s="17">
        <f t="shared" si="82"/>
        <v>1388.139422532854</v>
      </c>
    </row>
    <row r="243" spans="1:14" ht="18" customHeight="1" x14ac:dyDescent="0.25">
      <c r="B243" s="117"/>
      <c r="C243" s="117"/>
    </row>
    <row r="244" spans="1:14" ht="30" customHeight="1" x14ac:dyDescent="0.3">
      <c r="A244" s="28" t="s">
        <v>201</v>
      </c>
      <c r="B244" s="41"/>
      <c r="C244" s="41"/>
      <c r="D244" s="62" t="s">
        <v>6</v>
      </c>
      <c r="E244" s="62" t="s">
        <v>7</v>
      </c>
      <c r="F244" s="62" t="s">
        <v>7</v>
      </c>
      <c r="G244" s="62" t="s">
        <v>7</v>
      </c>
      <c r="H244" s="62" t="s">
        <v>7</v>
      </c>
      <c r="I244" s="62" t="s">
        <v>7</v>
      </c>
      <c r="J244" s="62" t="s">
        <v>7</v>
      </c>
      <c r="K244" s="62" t="s">
        <v>7</v>
      </c>
      <c r="L244" s="62" t="s">
        <v>7</v>
      </c>
      <c r="M244" s="62" t="s">
        <v>7</v>
      </c>
      <c r="N244" s="62" t="s">
        <v>8</v>
      </c>
    </row>
    <row r="245" spans="1:14" ht="18" customHeight="1" x14ac:dyDescent="0.25">
      <c r="A245"/>
      <c r="B245" s="21"/>
      <c r="C245" s="21"/>
      <c r="D245" s="63">
        <f t="shared" ref="D245:N245" si="83">D40</f>
        <v>41090</v>
      </c>
      <c r="E245" s="63">
        <f t="shared" si="83"/>
        <v>41455</v>
      </c>
      <c r="F245" s="63">
        <f t="shared" si="83"/>
        <v>41820</v>
      </c>
      <c r="G245" s="63">
        <f t="shared" si="83"/>
        <v>42185</v>
      </c>
      <c r="H245" s="63">
        <f t="shared" si="83"/>
        <v>42551</v>
      </c>
      <c r="I245" s="63">
        <f t="shared" si="83"/>
        <v>42916</v>
      </c>
      <c r="J245" s="63">
        <f t="shared" si="83"/>
        <v>43281</v>
      </c>
      <c r="K245" s="63">
        <f t="shared" si="83"/>
        <v>43646</v>
      </c>
      <c r="L245" s="63">
        <f t="shared" si="83"/>
        <v>44012</v>
      </c>
      <c r="M245" s="63">
        <f t="shared" si="83"/>
        <v>44377</v>
      </c>
      <c r="N245" s="63">
        <f t="shared" si="83"/>
        <v>44561</v>
      </c>
    </row>
    <row r="246" spans="1:14" ht="18" customHeight="1" x14ac:dyDescent="0.25">
      <c r="A246" s="112" t="s">
        <v>202</v>
      </c>
      <c r="B246" s="21"/>
      <c r="C246" s="21"/>
    </row>
    <row r="247" spans="1:14" ht="18" customHeight="1" x14ac:dyDescent="0.25">
      <c r="A247" s="108" t="s">
        <v>107</v>
      </c>
      <c r="B247" s="21" t="s">
        <v>11</v>
      </c>
      <c r="C247" s="21"/>
      <c r="D247" s="17">
        <f t="shared" ref="D247:N247" si="84">SUM(D26:D28)</f>
        <v>35620.682710000008</v>
      </c>
      <c r="E247" s="17">
        <f t="shared" si="84"/>
        <v>19146</v>
      </c>
      <c r="F247" s="17">
        <f t="shared" si="84"/>
        <v>55420</v>
      </c>
      <c r="G247" s="17">
        <f t="shared" si="84"/>
        <v>63706</v>
      </c>
      <c r="H247" s="17">
        <f t="shared" si="84"/>
        <v>146556</v>
      </c>
      <c r="I247" s="17">
        <f t="shared" si="84"/>
        <v>108264</v>
      </c>
      <c r="J247" s="17">
        <f t="shared" si="84"/>
        <v>103585</v>
      </c>
      <c r="K247" s="17">
        <f t="shared" si="84"/>
        <v>86597</v>
      </c>
      <c r="L247" s="17">
        <f t="shared" si="84"/>
        <v>60841</v>
      </c>
      <c r="M247" s="17">
        <f t="shared" si="84"/>
        <v>56981.012230000008</v>
      </c>
      <c r="N247" s="17">
        <f t="shared" si="84"/>
        <v>24928.0484</v>
      </c>
    </row>
    <row r="248" spans="1:14" ht="26.25" x14ac:dyDescent="0.25">
      <c r="A248" s="111" t="s">
        <v>203</v>
      </c>
      <c r="B248" s="160" t="s">
        <v>43</v>
      </c>
      <c r="C248" s="162" t="s">
        <v>107</v>
      </c>
    </row>
    <row r="249" spans="1:14" ht="18" customHeight="1" x14ac:dyDescent="0.25">
      <c r="A249" s="15"/>
      <c r="B249" s="137" cm="1">
        <f t="array" ref="B249:B260">TRANSPOSE('Model inputs'!C50:N50)</f>
        <v>7.0499999999999993E-2</v>
      </c>
      <c r="C249" s="17">
        <f>C22</f>
        <v>0</v>
      </c>
      <c r="D249" s="122">
        <f>SUM($C249:C249)*((1+$B249)^D$118-1)</f>
        <v>0</v>
      </c>
      <c r="E249" s="122">
        <f>SUM($C249:D249)*((1+$B249)^E$118-1)</f>
        <v>0</v>
      </c>
      <c r="F249" s="122">
        <f>SUM($C249:E249)*((1+$B249)^F$118-1)</f>
        <v>0</v>
      </c>
      <c r="G249" s="122">
        <f>SUM($C249:F249)*((1+$B249)^G$118-1)</f>
        <v>0</v>
      </c>
      <c r="H249" s="122">
        <f>SUM($C249:G249)*((1+$B249)^H$118-1)</f>
        <v>0</v>
      </c>
      <c r="I249" s="122">
        <f>SUM($C249:H249)*((1+$B249)^I$118-1)</f>
        <v>0</v>
      </c>
      <c r="J249" s="122">
        <f>SUM($C249:I249)*((1+$B249)^J$118-1)</f>
        <v>0</v>
      </c>
      <c r="K249" s="122">
        <f>SUM($C249:J249)*((1+$B249)^K$118-1)</f>
        <v>0</v>
      </c>
      <c r="L249" s="122">
        <f>SUM($C249:K249)*((1+$B249)^L$118-1)</f>
        <v>0</v>
      </c>
      <c r="M249" s="122">
        <f>SUM($C249:L249)*((1+$B249)^M$118-1)</f>
        <v>0</v>
      </c>
      <c r="N249" s="122">
        <f>SUM($C249:M249)*((1+$B249)^N$118-1)</f>
        <v>0</v>
      </c>
    </row>
    <row r="250" spans="1:14" ht="18" customHeight="1" x14ac:dyDescent="0.25">
      <c r="A250" s="15"/>
      <c r="B250" s="137">
        <v>7.1800000000000003E-2</v>
      </c>
      <c r="C250" s="17" cm="1">
        <f t="array" ref="C250:C260">TRANSPOSE(D247:N247)</f>
        <v>35620.682710000008</v>
      </c>
      <c r="D250" s="122">
        <f>SUM($C250:C250)*((1+$B250)^(D$119)-1)</f>
        <v>717.16244190121427</v>
      </c>
      <c r="E250" s="17">
        <f>SUM($C250:D250)*((1+$B250)^(E$118)-1)</f>
        <v>2607.2088946348308</v>
      </c>
      <c r="F250" s="17">
        <f>SUM($C250:E250)*((1+$B250)^(F$118)-1)</f>
        <v>2794.2738730849173</v>
      </c>
      <c r="G250" s="17">
        <f>SUM($C250:F250)*((1+$B250)^(G$118)-1)</f>
        <v>2994.7606016044138</v>
      </c>
      <c r="H250" s="17">
        <f>SUM($C250:G250)*((1+$B250)^(H$118)-1)</f>
        <v>3218.7346339170854</v>
      </c>
      <c r="I250" s="17">
        <f>SUM($C250:H250)*((1+$B250)^(I$118)-1)</f>
        <v>3440.5734993451374</v>
      </c>
      <c r="J250" s="17">
        <f>SUM($C250:I250)*((1+$B250)^(J$118)-1)</f>
        <v>3687.4316658830671</v>
      </c>
      <c r="K250" s="17">
        <f>SUM($C250:J250)*((1+$B250)^(K$118)-1)</f>
        <v>3952.0016919113014</v>
      </c>
      <c r="L250" s="17">
        <f>SUM($C250:K250)*((1+$B250)^(L$118)-1)</f>
        <v>4247.5664706684647</v>
      </c>
      <c r="M250" s="17">
        <f>SUM($C250:L250)*((1+$B250)^(M$118)-1)</f>
        <v>4540.3136007841931</v>
      </c>
      <c r="N250" s="17">
        <f>SUM($C250:M250)*((1+$B250)^(N$118)-1)</f>
        <v>2410.8916847369751</v>
      </c>
    </row>
    <row r="251" spans="1:14" ht="18" customHeight="1" x14ac:dyDescent="0.25">
      <c r="A251" s="15"/>
      <c r="B251" s="137">
        <v>6.5100000000000005E-2</v>
      </c>
      <c r="C251" s="17">
        <v>19146</v>
      </c>
      <c r="D251" s="17"/>
      <c r="E251" s="122">
        <f>SUM($C251:D251)*((1+$B251)^(E$119)-1)</f>
        <v>607.83340906769706</v>
      </c>
      <c r="F251" s="17">
        <f>SUM($C251:E251)*((1+$B251)^(F$118)-1)</f>
        <v>1285.0663245974154</v>
      </c>
      <c r="G251" s="17">
        <f>SUM($C251:F251)*((1+$B251)^(G$118)-1)</f>
        <v>1368.6650582921247</v>
      </c>
      <c r="H251" s="17">
        <f>SUM($C251:G251)*((1+$B251)^(H$118)-1)</f>
        <v>1461.8234609927288</v>
      </c>
      <c r="I251" s="17">
        <f>SUM($C251:H251)*((1+$B251)^(I$118)-1)</f>
        <v>1552.79972233272</v>
      </c>
      <c r="J251" s="17">
        <f>SUM($C251:I251)*((1+$B251)^(J$118)-1)</f>
        <v>1653.8155905286121</v>
      </c>
      <c r="K251" s="17">
        <f>SUM($C251:J251)*((1+$B251)^(K$118)-1)</f>
        <v>1761.4029472948657</v>
      </c>
      <c r="L251" s="17">
        <f>SUM($C251:K251)*((1+$B251)^(L$118)-1)</f>
        <v>1881.293116250361</v>
      </c>
      <c r="M251" s="17">
        <f>SUM($C251:L251)*((1+$B251)^(M$118)-1)</f>
        <v>1998.3749792578742</v>
      </c>
      <c r="N251" s="17">
        <f>SUM($C251:M251)*((1+$B251)^(N$118)-1)</f>
        <v>1056.1687221139382</v>
      </c>
    </row>
    <row r="252" spans="1:14" ht="18" customHeight="1" x14ac:dyDescent="0.25">
      <c r="A252" s="15"/>
      <c r="B252" s="137">
        <v>7.5600000000000001E-2</v>
      </c>
      <c r="C252" s="17">
        <v>55420</v>
      </c>
      <c r="D252" s="17"/>
      <c r="E252" s="17"/>
      <c r="F252" s="122">
        <f>SUM($C252:E252)*((1+$B252)^(F$119)-1)</f>
        <v>2038.0791987674697</v>
      </c>
      <c r="G252" s="17">
        <f>SUM($C252:F252)*((1+$B252)^(G$118)-1)</f>
        <v>4340.748017304506</v>
      </c>
      <c r="H252" s="17">
        <f>SUM($C252:G252)*((1+$B252)^(H$118)-1)</f>
        <v>4681.9393163938166</v>
      </c>
      <c r="I252" s="17">
        <f>SUM($C252:H252)*((1+$B252)^(I$118)-1)</f>
        <v>5022.3790899169999</v>
      </c>
      <c r="J252" s="17">
        <f>SUM($C252:I252)*((1+$B252)^(J$118)-1)</f>
        <v>5401.8014858744418</v>
      </c>
      <c r="K252" s="17">
        <f>SUM($C252:J252)*((1+$B252)^(K$118)-1)</f>
        <v>5809.8878580026803</v>
      </c>
      <c r="L252" s="17">
        <f>SUM($C252:K252)*((1+$B252)^(L$118)-1)</f>
        <v>6266.556427090939</v>
      </c>
      <c r="M252" s="17">
        <f>SUM($C252:L252)*((1+$B252)^(M$118)-1)</f>
        <v>6722.2191144177559</v>
      </c>
      <c r="N252" s="17">
        <f>SUM($C252:M252)*((1+$B252)^(N$118)-1)</f>
        <v>3578.9273040488747</v>
      </c>
    </row>
    <row r="253" spans="1:14" ht="18" customHeight="1" x14ac:dyDescent="0.25">
      <c r="A253" s="15"/>
      <c r="B253" s="137">
        <v>7.0000000000000007E-2</v>
      </c>
      <c r="C253" s="17">
        <v>63706</v>
      </c>
      <c r="D253" s="17"/>
      <c r="E253" s="17"/>
      <c r="F253" s="17"/>
      <c r="G253" s="122">
        <f>SUM($C253:F253)*((1+$B253)^(G$119)-1)</f>
        <v>2172.1655808743844</v>
      </c>
      <c r="H253" s="17">
        <f>SUM($C253:G253)*((1+$B253)^(H$118)-1)</f>
        <v>4621.2653584051741</v>
      </c>
      <c r="I253" s="17">
        <f>SUM($C253:H253)*((1+$B253)^(I$118)-1)</f>
        <v>4931.4668934876536</v>
      </c>
      <c r="J253" s="17">
        <f>SUM($C253:I253)*((1+$B253)^(J$118)-1)</f>
        <v>5276.4252200663577</v>
      </c>
      <c r="K253" s="17">
        <f>SUM($C253:J253)*((1+$B253)^(K$118)-1)</f>
        <v>5645.5135366959166</v>
      </c>
      <c r="L253" s="17">
        <f>SUM($C253:K253)*((1+$B253)^(L$118)-1)</f>
        <v>6057.5361929487226</v>
      </c>
      <c r="M253" s="17">
        <f>SUM($C253:L253)*((1+$B253)^(M$118)-1)</f>
        <v>6464.1471274307132</v>
      </c>
      <c r="N253" s="17">
        <f>SUM($C253:M253)*((1+$B253)^(N$118)-1)</f>
        <v>3428.1323384414936</v>
      </c>
    </row>
    <row r="254" spans="1:14" ht="18" customHeight="1" x14ac:dyDescent="0.25">
      <c r="A254" s="15"/>
      <c r="B254" s="137">
        <v>6.4000000000000001E-2</v>
      </c>
      <c r="C254" s="17">
        <v>146556</v>
      </c>
      <c r="D254" s="17"/>
      <c r="E254" s="17"/>
      <c r="F254" s="17"/>
      <c r="G254" s="17"/>
      <c r="H254" s="122">
        <f>SUM($C254:G254)*((1+$B254)^(H$119)-1)</f>
        <v>4601.0180474162262</v>
      </c>
      <c r="I254" s="17">
        <f>SUM($C254:H254)*((1+$B254)^(I$118)-1)</f>
        <v>9667.220266391254</v>
      </c>
      <c r="J254" s="17">
        <f>SUM($C254:I254)*((1+$B254)^(J$118)-1)</f>
        <v>10285.485623078894</v>
      </c>
      <c r="K254" s="17">
        <f>SUM($C254:J254)*((1+$B254)^(K$118)-1)</f>
        <v>10943.292030942228</v>
      </c>
      <c r="L254" s="17">
        <f>SUM($C254:K254)*((1+$B254)^(L$118)-1)</f>
        <v>11676.069190557353</v>
      </c>
      <c r="M254" s="17">
        <f>SUM($C254:L254)*((1+$B254)^(M$118)-1)</f>
        <v>12389.90926405483</v>
      </c>
      <c r="N254" s="17">
        <f>SUM($C254:M254)*((1+$B254)^(N$118)-1)</f>
        <v>6543.1809075295851</v>
      </c>
    </row>
    <row r="255" spans="1:14" ht="18" customHeight="1" x14ac:dyDescent="0.25">
      <c r="A255" s="15"/>
      <c r="B255" s="137">
        <v>6.2600000000000003E-2</v>
      </c>
      <c r="C255" s="17">
        <v>108264</v>
      </c>
      <c r="D255" s="17"/>
      <c r="E255" s="17"/>
      <c r="F255" s="17"/>
      <c r="G255" s="17"/>
      <c r="H255" s="17"/>
      <c r="I255" s="122">
        <f>SUM($C255:H255)*((1+$B255)^(I$119)-1)</f>
        <v>3307.0846416340382</v>
      </c>
      <c r="J255" s="17">
        <f>SUM($C255:I255)*((1+$B255)^(J$118)-1)</f>
        <v>6979.4228715749623</v>
      </c>
      <c r="K255" s="17">
        <f>SUM($C255:J255)*((1+$B255)^(K$118)-1)</f>
        <v>7416.0265290255247</v>
      </c>
      <c r="L255" s="17">
        <f>SUM($C255:K255)*((1+$B255)^(L$118)-1)</f>
        <v>7902.1946268742613</v>
      </c>
      <c r="M255" s="17">
        <f>SUM($C255:L255)*((1+$B255)^(M$118)-1)</f>
        <v>8374.2707141630308</v>
      </c>
      <c r="N255" s="17">
        <f>SUM($C255:M255)*((1+$B255)^(N$118)-1)</f>
        <v>4418.1477331035503</v>
      </c>
    </row>
    <row r="256" spans="1:14" ht="18" customHeight="1" x14ac:dyDescent="0.25">
      <c r="A256" s="15"/>
      <c r="B256" s="137">
        <v>5.8900000000000001E-2</v>
      </c>
      <c r="C256" s="17">
        <v>103585</v>
      </c>
      <c r="D256" s="17"/>
      <c r="E256" s="17"/>
      <c r="F256" s="17"/>
      <c r="G256" s="17"/>
      <c r="H256" s="17"/>
      <c r="I256" s="17"/>
      <c r="J256" s="122">
        <f>SUM($C256:I256)*((1+$B256)^(J$119)-1)</f>
        <v>2979.7976644436944</v>
      </c>
      <c r="K256" s="17">
        <f>SUM($C256:J256)*((1+$B256)^(K$118)-1)</f>
        <v>6272.246416800208</v>
      </c>
      <c r="L256" s="17">
        <f>SUM($C256:K256)*((1+$B256)^(L$118)-1)</f>
        <v>6660.1439866160517</v>
      </c>
      <c r="M256" s="17">
        <f>SUM($C256:L256)*((1+$B256)^(M$118)-1)</f>
        <v>7033.4277932610185</v>
      </c>
      <c r="N256" s="17">
        <f>SUM($C256:M256)*((1+$B256)^(N$118)-1)</f>
        <v>3701.0703073204904</v>
      </c>
    </row>
    <row r="257" spans="1:14" ht="18" customHeight="1" x14ac:dyDescent="0.25">
      <c r="A257" s="15"/>
      <c r="B257" s="137">
        <v>5.6899999999999999E-2</v>
      </c>
      <c r="C257" s="17">
        <v>86597</v>
      </c>
      <c r="D257" s="17"/>
      <c r="E257" s="17"/>
      <c r="F257" s="17"/>
      <c r="G257" s="17"/>
      <c r="H257" s="17"/>
      <c r="I257" s="17"/>
      <c r="J257" s="17"/>
      <c r="K257" s="122">
        <f>SUM($C257:J257)*((1+$B257)^(K$119)-1)</f>
        <v>2407.6852809885754</v>
      </c>
      <c r="L257" s="17">
        <f>SUM($C257:K257)*((1+$B257)^(L$118)-1)</f>
        <v>5075.0567076027119</v>
      </c>
      <c r="M257" s="17">
        <f>SUM($C257:L257)*((1+$B257)^(M$118)-1)</f>
        <v>5349.3710489408531</v>
      </c>
      <c r="N257" s="17">
        <f>SUM($C257:M257)*((1+$B257)^(N$118)-1)</f>
        <v>2810.9223003970992</v>
      </c>
    </row>
    <row r="258" spans="1:14" ht="18" customHeight="1" x14ac:dyDescent="0.25">
      <c r="A258" s="15"/>
      <c r="B258" s="137">
        <v>4.99E-2</v>
      </c>
      <c r="C258" s="17">
        <v>60841</v>
      </c>
      <c r="D258" s="17"/>
      <c r="E258" s="17"/>
      <c r="F258" s="17"/>
      <c r="G258" s="17"/>
      <c r="H258" s="17"/>
      <c r="I258" s="17"/>
      <c r="J258" s="17"/>
      <c r="K258" s="17"/>
      <c r="L258" s="122">
        <f>SUM($C258:K258)*((1+$B258)^(L$119)-1)</f>
        <v>1494.310063791942</v>
      </c>
      <c r="M258" s="17">
        <f>SUM($C258:L258)*((1+$B258)^(M$118)-1)</f>
        <v>3108.3507079570545</v>
      </c>
      <c r="N258" s="17">
        <f>SUM($C258:M258)*((1+$B258)^(N$118)-1)</f>
        <v>1625.2363711976548</v>
      </c>
    </row>
    <row r="259" spans="1:14" ht="18" customHeight="1" x14ac:dyDescent="0.25">
      <c r="A259" s="15"/>
      <c r="B259" s="137">
        <v>4.4499999999999998E-2</v>
      </c>
      <c r="C259" s="17">
        <v>56981.012230000008</v>
      </c>
      <c r="D259" s="17"/>
      <c r="E259" s="17"/>
      <c r="F259" s="17"/>
      <c r="G259" s="17"/>
      <c r="H259" s="17"/>
      <c r="I259" s="17"/>
      <c r="J259" s="17"/>
      <c r="K259" s="17"/>
      <c r="L259" s="17"/>
      <c r="M259" s="122">
        <f>SUM($C259:L259)*((1+$B259)^(M$119)-1)</f>
        <v>1242.749137690462</v>
      </c>
      <c r="N259" s="17">
        <f>SUM($C259:M259)*((1+$B259)^(N$118)-1)</f>
        <v>1291.1323158361699</v>
      </c>
    </row>
    <row r="260" spans="1:14" ht="18" customHeight="1" x14ac:dyDescent="0.25">
      <c r="A260" s="15"/>
      <c r="B260" s="137">
        <v>5.2999999999999999E-2</v>
      </c>
      <c r="C260" s="81">
        <v>24928.0484</v>
      </c>
      <c r="D260" s="81"/>
      <c r="E260" s="81"/>
      <c r="F260" s="81"/>
      <c r="G260" s="81"/>
      <c r="H260" s="81"/>
      <c r="I260" s="81"/>
      <c r="J260" s="81"/>
      <c r="K260" s="81"/>
      <c r="L260" s="81"/>
      <c r="M260" s="81"/>
      <c r="N260" s="151">
        <f>SUM($C260:M260)*((1+$B260)^(N$119)-1)</f>
        <v>322.8121097038582</v>
      </c>
    </row>
    <row r="261" spans="1:14" ht="18" customHeight="1" x14ac:dyDescent="0.25">
      <c r="A261" s="35" t="s">
        <v>204</v>
      </c>
      <c r="B261" s="119"/>
      <c r="C261" s="46">
        <f>SUM(C249:C260)</f>
        <v>761644.74334000004</v>
      </c>
      <c r="D261" s="46">
        <f>SUM(D249:D260)</f>
        <v>717.16244190121427</v>
      </c>
      <c r="E261" s="46">
        <f>SUM(E249:E260)</f>
        <v>3215.042303702528</v>
      </c>
      <c r="F261" s="46">
        <f t="shared" ref="F261:N261" si="85">SUM(F249:F260)</f>
        <v>6117.4193964498027</v>
      </c>
      <c r="G261" s="46">
        <f t="shared" si="85"/>
        <v>10876.33925807543</v>
      </c>
      <c r="H261" s="46">
        <f t="shared" si="85"/>
        <v>18584.780817125029</v>
      </c>
      <c r="I261" s="46">
        <f t="shared" si="85"/>
        <v>27921.524113107804</v>
      </c>
      <c r="J261" s="46">
        <f t="shared" si="85"/>
        <v>36264.18012145003</v>
      </c>
      <c r="K261" s="46">
        <f t="shared" si="85"/>
        <v>44208.056291661298</v>
      </c>
      <c r="L261" s="46">
        <f t="shared" si="85"/>
        <v>51260.726782400809</v>
      </c>
      <c r="M261" s="46">
        <f t="shared" si="85"/>
        <v>57223.133487957799</v>
      </c>
      <c r="N261" s="46">
        <f t="shared" si="85"/>
        <v>31186.622094429684</v>
      </c>
    </row>
    <row r="262" spans="1:14" ht="18" customHeight="1" x14ac:dyDescent="0.25">
      <c r="A262" s="15"/>
      <c r="B262" s="21"/>
      <c r="C262" s="21"/>
      <c r="D262" s="21"/>
      <c r="E262" s="21"/>
      <c r="F262" s="21"/>
      <c r="G262" s="21"/>
      <c r="H262" s="21"/>
      <c r="I262" s="21"/>
      <c r="J262" s="21"/>
      <c r="K262" s="21"/>
      <c r="L262" s="21"/>
      <c r="M262" s="21"/>
      <c r="N262" s="21"/>
    </row>
    <row r="263" spans="1:14" ht="18" customHeight="1" x14ac:dyDescent="0.25">
      <c r="A263" s="15"/>
      <c r="B263" s="21"/>
      <c r="C263" s="21"/>
      <c r="D263" s="21"/>
      <c r="E263" s="21"/>
      <c r="F263" s="21"/>
      <c r="G263" s="21"/>
      <c r="H263" s="21"/>
      <c r="I263" s="21"/>
      <c r="J263" s="21"/>
      <c r="K263" s="21"/>
      <c r="L263" s="21"/>
      <c r="M263" s="21"/>
      <c r="N263" s="21"/>
    </row>
    <row r="264" spans="1:14" ht="26.25" x14ac:dyDescent="0.25">
      <c r="A264" s="24" t="s">
        <v>205</v>
      </c>
      <c r="B264" s="160" t="s">
        <v>43</v>
      </c>
      <c r="C264" s="161" t="s">
        <v>100</v>
      </c>
    </row>
    <row r="265" spans="1:14" ht="18" customHeight="1" x14ac:dyDescent="0.25">
      <c r="A265" s="15"/>
      <c r="B265" s="137" cm="1">
        <f t="array" ref="B265:B276">TRANSPOSE('Model inputs'!C50:N50)</f>
        <v>7.0499999999999993E-2</v>
      </c>
      <c r="C265" s="17">
        <v>0</v>
      </c>
      <c r="D265" s="122">
        <v>0</v>
      </c>
      <c r="E265" s="122">
        <v>0</v>
      </c>
      <c r="F265" s="122">
        <v>0</v>
      </c>
      <c r="G265" s="122">
        <v>0</v>
      </c>
      <c r="H265" s="122">
        <v>0</v>
      </c>
      <c r="I265" s="122">
        <v>0</v>
      </c>
      <c r="J265" s="122">
        <v>0</v>
      </c>
      <c r="K265" s="122">
        <v>0</v>
      </c>
      <c r="L265" s="122">
        <v>0</v>
      </c>
      <c r="M265" s="122">
        <v>0</v>
      </c>
      <c r="N265" s="122">
        <v>0</v>
      </c>
    </row>
    <row r="266" spans="1:14" ht="18" customHeight="1" x14ac:dyDescent="0.25">
      <c r="A266" s="15"/>
      <c r="B266" s="137">
        <v>7.1800000000000003E-2</v>
      </c>
      <c r="C266" s="17" cm="1">
        <f t="array" ref="C266:C276">-TRANSPOSE(D17:N17)</f>
        <v>-1018</v>
      </c>
      <c r="D266" s="122">
        <f>SUM($C266:C266)*((1+$B266)^(D$120)-1)</f>
        <v>-14.010127563957292</v>
      </c>
      <c r="E266" s="17">
        <f>SUM($C266:D266)*((1+$B266)^(E$118)-1)</f>
        <v>-74.045832181031187</v>
      </c>
      <c r="F266" s="17">
        <f>SUM($C266:E266)*((1+$B266)^(F$118)-1)</f>
        <v>-79.358556462452199</v>
      </c>
      <c r="G266" s="17">
        <f>SUM($C266:F266)*((1+$B266)^(G$118)-1)</f>
        <v>-85.052464106380299</v>
      </c>
      <c r="H266" s="17">
        <f>SUM($C266:G266)*((1+$B266)^(H$118)-1)</f>
        <v>-91.413421083652253</v>
      </c>
      <c r="I266" s="17">
        <f>SUM($C266:H266)*((1+$B266)^(I$118)-1)</f>
        <v>-97.713738420908271</v>
      </c>
      <c r="J266" s="17">
        <f>SUM($C266:I266)*((1+$B266)^(J$118)-1)</f>
        <v>-104.72461446141239</v>
      </c>
      <c r="K266" s="17">
        <f>SUM($C266:J266)*((1+$B266)^(K$118)-1)</f>
        <v>-112.23851478130277</v>
      </c>
      <c r="L266" s="17">
        <f>SUM($C266:K266)*((1+$B266)^(L$118)-1)</f>
        <v>-120.63267915053017</v>
      </c>
      <c r="M266" s="17">
        <f>SUM($C266:L266)*((1+$B266)^(M$118)-1)</f>
        <v>-128.94682111001586</v>
      </c>
      <c r="N266" s="17">
        <f>SUM($C266:M266)*((1+$B266)^(N$118)-1)</f>
        <v>-68.470340624425035</v>
      </c>
    </row>
    <row r="267" spans="1:14" ht="18" customHeight="1" x14ac:dyDescent="0.25">
      <c r="A267" s="15"/>
      <c r="B267" s="137">
        <v>6.5100000000000005E-2</v>
      </c>
      <c r="C267" s="17">
        <v>-3753</v>
      </c>
      <c r="D267" s="17"/>
      <c r="E267" s="122">
        <f>SUM($C267:D267)*((1+$B267)^(E$120)-1)</f>
        <v>-97.146019818937049</v>
      </c>
      <c r="F267" s="17">
        <f>SUM($C267:E267)*((1+$B267)^(F$118)-1)</f>
        <v>-250.46748610226331</v>
      </c>
      <c r="G267" s="17">
        <f>SUM($C267:F267)*((1+$B267)^(G$118)-1)</f>
        <v>-266.76140359823864</v>
      </c>
      <c r="H267" s="17">
        <f>SUM($C267:G267)*((1+$B267)^(H$118)-1)</f>
        <v>-284.91856053800387</v>
      </c>
      <c r="I267" s="17">
        <f>SUM($C267:H267)*((1+$B267)^(I$118)-1)</f>
        <v>-302.65040444104028</v>
      </c>
      <c r="J267" s="17">
        <f>SUM($C267:I267)*((1+$B267)^(J$118)-1)</f>
        <v>-322.33903068481732</v>
      </c>
      <c r="K267" s="17">
        <f>SUM($C267:J267)*((1+$B267)^(K$118)-1)</f>
        <v>-343.30848126478861</v>
      </c>
      <c r="L267" s="17">
        <f>SUM($C267:K267)*((1+$B267)^(L$118)-1)</f>
        <v>-366.67582709891576</v>
      </c>
      <c r="M267" s="17">
        <f>SUM($C267:L267)*((1+$B267)^(M$118)-1)</f>
        <v>-389.49581649117408</v>
      </c>
      <c r="N267" s="17">
        <f>SUM($C267:M267)*((1+$B267)^(N$118)-1)</f>
        <v>-205.85390782113268</v>
      </c>
    </row>
    <row r="268" spans="1:14" ht="18" customHeight="1" x14ac:dyDescent="0.25">
      <c r="A268" s="15"/>
      <c r="B268" s="137">
        <v>7.5600000000000001E-2</v>
      </c>
      <c r="C268" s="17">
        <v>-4789</v>
      </c>
      <c r="D268" s="17"/>
      <c r="E268" s="17"/>
      <c r="F268" s="122">
        <f>SUM($C268:E268)*((1+$B268)^(F$120)-1)</f>
        <v>-143.53072581515798</v>
      </c>
      <c r="G268" s="17">
        <f>SUM($C268:F268)*((1+$B268)^(G$118)-1)</f>
        <v>-372.63468022152381</v>
      </c>
      <c r="H268" s="17">
        <f>SUM($C268:G268)*((1+$B268)^(H$118)-1)</f>
        <v>-401.92449619878522</v>
      </c>
      <c r="I268" s="17">
        <f>SUM($C268:H268)*((1+$B268)^(I$118)-1)</f>
        <v>-431.14979691556721</v>
      </c>
      <c r="J268" s="17">
        <f>SUM($C268:I268)*((1+$B268)^(J$118)-1)</f>
        <v>-463.72158929394237</v>
      </c>
      <c r="K268" s="17">
        <f>SUM($C268:J268)*((1+$B268)^(K$118)-1)</f>
        <v>-498.75406161773265</v>
      </c>
      <c r="L268" s="17">
        <f>SUM($C268:K268)*((1+$B268)^(L$118)-1)</f>
        <v>-537.95710808139165</v>
      </c>
      <c r="M268" s="17">
        <f>SUM($C268:L268)*((1+$B268)^(M$118)-1)</f>
        <v>-577.07380389142577</v>
      </c>
      <c r="N268" s="17">
        <f>SUM($C268:M268)*((1+$B268)^(N$118)-1)</f>
        <v>-307.23562532627369</v>
      </c>
    </row>
    <row r="269" spans="1:14" ht="18" customHeight="1" x14ac:dyDescent="0.25">
      <c r="A269" s="15"/>
      <c r="B269" s="137">
        <v>7.0000000000000007E-2</v>
      </c>
      <c r="C269" s="17">
        <v>-8408</v>
      </c>
      <c r="D269" s="17"/>
      <c r="E269" s="17"/>
      <c r="F269" s="17"/>
      <c r="G269" s="122">
        <f>SUM($C269:F269)*((1+$B269)^(G$120)-1)</f>
        <v>-233.69762252243351</v>
      </c>
      <c r="H269" s="17">
        <f>SUM($C269:G269)*((1+$B269)^(H$118)-1)</f>
        <v>-606.20355027568178</v>
      </c>
      <c r="I269" s="17">
        <f>SUM($C269:H269)*((1+$B269)^(I$118)-1)</f>
        <v>-646.89484525313821</v>
      </c>
      <c r="J269" s="17">
        <f>SUM($C269:I269)*((1+$B269)^(J$118)-1)</f>
        <v>-692.14543054766796</v>
      </c>
      <c r="K269" s="17">
        <f>SUM($C269:J269)*((1+$B269)^(K$118)-1)</f>
        <v>-740.56131462997223</v>
      </c>
      <c r="L269" s="17">
        <f>SUM($C269:K269)*((1+$B269)^(L$118)-1)</f>
        <v>-794.60919494919824</v>
      </c>
      <c r="M269" s="17">
        <f>SUM($C269:L269)*((1+$B269)^(M$118)-1)</f>
        <v>-847.94718204738126</v>
      </c>
      <c r="N269" s="17">
        <f>SUM($C269:M269)*((1+$B269)^(N$118)-1)</f>
        <v>-449.69198546419096</v>
      </c>
    </row>
    <row r="270" spans="1:14" ht="18" customHeight="1" x14ac:dyDescent="0.25">
      <c r="A270" s="15"/>
      <c r="B270" s="137">
        <v>6.4000000000000001E-2</v>
      </c>
      <c r="C270" s="17">
        <v>-15255</v>
      </c>
      <c r="D270" s="17"/>
      <c r="E270" s="17"/>
      <c r="F270" s="17"/>
      <c r="G270" s="17"/>
      <c r="H270" s="122">
        <f>SUM($C270:G270)*((1+$B270)^(H$120)-1)</f>
        <v>-390.98009580850152</v>
      </c>
      <c r="I270" s="17">
        <f>SUM($C270:H270)*((1+$B270)^(I$118)-1)</f>
        <v>-1000.6358806463602</v>
      </c>
      <c r="J270" s="17">
        <f>SUM($C270:I270)*((1+$B270)^(J$118)-1)</f>
        <v>-1064.6313708301393</v>
      </c>
      <c r="K270" s="17">
        <f>SUM($C270:J270)*((1+$B270)^(K$118)-1)</f>
        <v>-1132.7196812326144</v>
      </c>
      <c r="L270" s="17">
        <f>SUM($C270:K270)*((1+$B270)^(L$118)-1)</f>
        <v>-1208.5680738650024</v>
      </c>
      <c r="M270" s="17">
        <f>SUM($C270:L270)*((1+$B270)^(M$118)-1)</f>
        <v>-1282.4563241480853</v>
      </c>
      <c r="N270" s="17">
        <f>SUM($C270:M270)*((1+$B270)^(N$118)-1)</f>
        <v>-677.27241225656087</v>
      </c>
    </row>
    <row r="271" spans="1:14" ht="18" customHeight="1" x14ac:dyDescent="0.25">
      <c r="A271" s="15"/>
      <c r="B271" s="137">
        <v>6.2600000000000003E-2</v>
      </c>
      <c r="C271" s="17">
        <v>-25880</v>
      </c>
      <c r="D271" s="17"/>
      <c r="E271" s="17"/>
      <c r="F271" s="17"/>
      <c r="G271" s="17"/>
      <c r="H271" s="17"/>
      <c r="I271" s="122">
        <f>SUM($C271:H271)*((1+$B271)^(I$120)-1)</f>
        <v>-644.63217867509195</v>
      </c>
      <c r="J271" s="17">
        <f>SUM($C271:I271)*((1+$B271)^(J$118)-1)</f>
        <v>-1659.2706352419561</v>
      </c>
      <c r="K271" s="17">
        <f>SUM($C271:J271)*((1+$B271)^(K$118)-1)</f>
        <v>-1763.0677029045837</v>
      </c>
      <c r="L271" s="17">
        <f>SUM($C271:K271)*((1+$B271)^(L$118)-1)</f>
        <v>-1878.6480973577159</v>
      </c>
      <c r="M271" s="17">
        <f>SUM($C271:L271)*((1+$B271)^(M$118)-1)</f>
        <v>-1990.8782922680032</v>
      </c>
      <c r="N271" s="17">
        <f>SUM($C271:M271)*((1+$B271)^(N$118)-1)</f>
        <v>-1050.3594538677464</v>
      </c>
    </row>
    <row r="272" spans="1:14" ht="18" customHeight="1" x14ac:dyDescent="0.25">
      <c r="A272" s="15"/>
      <c r="B272" s="137">
        <v>5.8900000000000001E-2</v>
      </c>
      <c r="C272" s="17">
        <v>-39993</v>
      </c>
      <c r="D272" s="17"/>
      <c r="E272" s="17"/>
      <c r="F272" s="17"/>
      <c r="G272" s="17"/>
      <c r="H272" s="17"/>
      <c r="I272" s="17"/>
      <c r="J272" s="122">
        <f>SUM($C272:I272)*((1+$B272)^(J$120)-1)</f>
        <v>-938.27337884578878</v>
      </c>
      <c r="K272" s="17">
        <f>SUM($C272:J272)*((1+$B272)^(K$118)-1)</f>
        <v>-2409.154227402018</v>
      </c>
      <c r="L272" s="17">
        <f>SUM($C272:K272)*((1+$B272)^(L$118)-1)</f>
        <v>-2558.1447178932303</v>
      </c>
      <c r="M272" s="17">
        <f>SUM($C272:L272)*((1+$B272)^(M$118)-1)</f>
        <v>-2701.5220983466938</v>
      </c>
      <c r="N272" s="17">
        <f>SUM($C272:M272)*((1+$B272)^(N$118)-1)</f>
        <v>-1421.5718873720496</v>
      </c>
    </row>
    <row r="273" spans="1:14" ht="18" customHeight="1" x14ac:dyDescent="0.25">
      <c r="A273" s="15"/>
      <c r="B273" s="137">
        <v>5.6899999999999999E-2</v>
      </c>
      <c r="C273" s="17">
        <v>-55370</v>
      </c>
      <c r="D273" s="17"/>
      <c r="E273" s="17"/>
      <c r="F273" s="17"/>
      <c r="G273" s="17"/>
      <c r="H273" s="17"/>
      <c r="I273" s="17"/>
      <c r="J273" s="17"/>
      <c r="K273" s="122">
        <f>SUM($C273:J273)*((1+$B273)^(K$120)-1)</f>
        <v>-1255.6375783353519</v>
      </c>
      <c r="L273" s="17">
        <f>SUM($C273:K273)*((1+$B273)^(L$118)-1)</f>
        <v>-3228.7999323513709</v>
      </c>
      <c r="M273" s="17">
        <f>SUM($C273:L273)*((1+$B273)^(M$118)-1)</f>
        <v>-3403.3213569945215</v>
      </c>
      <c r="N273" s="17">
        <f>SUM($C273:M273)*((1+$B273)^(N$118)-1)</f>
        <v>-1788.3358268235531</v>
      </c>
    </row>
    <row r="274" spans="1:14" ht="18" customHeight="1" x14ac:dyDescent="0.25">
      <c r="A274" s="15"/>
      <c r="B274" s="137">
        <v>4.99E-2</v>
      </c>
      <c r="C274" s="17">
        <v>-68261</v>
      </c>
      <c r="D274" s="17"/>
      <c r="E274" s="17"/>
      <c r="F274" s="17"/>
      <c r="G274" s="17"/>
      <c r="H274" s="17"/>
      <c r="I274" s="17"/>
      <c r="J274" s="17"/>
      <c r="K274" s="17"/>
      <c r="L274" s="122">
        <f>SUM($C274:K274)*((1+$B274)^(L$120)-1)</f>
        <v>-1369.5347079045823</v>
      </c>
      <c r="M274" s="17">
        <f>SUM($C274:L274)*((1+$B274)^(M$118)-1)</f>
        <v>-3472.1271400310634</v>
      </c>
      <c r="N274" s="17">
        <f>SUM($C274:M274)*((1+$B274)^(N$118)-1)</f>
        <v>-1815.440998647744</v>
      </c>
    </row>
    <row r="275" spans="1:14" ht="18" customHeight="1" x14ac:dyDescent="0.25">
      <c r="A275" s="15"/>
      <c r="B275" s="137">
        <v>4.4499999999999998E-2</v>
      </c>
      <c r="C275" s="17">
        <v>-80243</v>
      </c>
      <c r="D275" s="17"/>
      <c r="E275" s="17"/>
      <c r="F275" s="17"/>
      <c r="G275" s="17"/>
      <c r="H275" s="17"/>
      <c r="I275" s="17"/>
      <c r="J275" s="17"/>
      <c r="K275" s="17"/>
      <c r="L275" s="17"/>
      <c r="M275" s="122">
        <f>SUM($C275:L275)*((1+$B275)^(M$120)-1)</f>
        <v>-1428.1921324853834</v>
      </c>
      <c r="N275" s="17">
        <f>SUM($C275:M275)*((1+$B275)^(N$118)-1)</f>
        <v>-1811.087311401905</v>
      </c>
    </row>
    <row r="276" spans="1:14" ht="18" customHeight="1" x14ac:dyDescent="0.25">
      <c r="A276" s="15"/>
      <c r="B276" s="137">
        <v>5.2999999999999999E-2</v>
      </c>
      <c r="C276" s="81">
        <v>-44216</v>
      </c>
      <c r="D276" s="81"/>
      <c r="E276" s="81"/>
      <c r="F276" s="81"/>
      <c r="G276" s="81"/>
      <c r="H276" s="81"/>
      <c r="I276" s="81"/>
      <c r="J276" s="81"/>
      <c r="K276" s="81"/>
      <c r="L276" s="81"/>
      <c r="M276" s="81"/>
      <c r="N276" s="151">
        <f>SUM($C276:M276)*((1+$B276)^(N$120)-1)</f>
        <v>-364.09324506357569</v>
      </c>
    </row>
    <row r="277" spans="1:14" ht="18" customHeight="1" x14ac:dyDescent="0.25">
      <c r="A277" s="35" t="s">
        <v>204</v>
      </c>
      <c r="B277" s="119"/>
      <c r="C277" s="120">
        <f>SUM(C265:C276)</f>
        <v>-347186</v>
      </c>
      <c r="D277" s="46">
        <f>SUM(D265:D276)</f>
        <v>-14.010127563957292</v>
      </c>
      <c r="E277" s="46">
        <f t="shared" ref="E277:N277" si="86">SUM(E265:E276)</f>
        <v>-171.19185199996824</v>
      </c>
      <c r="F277" s="46">
        <f t="shared" si="86"/>
        <v>-473.35676837987353</v>
      </c>
      <c r="G277" s="46">
        <f t="shared" si="86"/>
        <v>-958.14617044857619</v>
      </c>
      <c r="H277" s="46">
        <f t="shared" si="86"/>
        <v>-1775.4401239046247</v>
      </c>
      <c r="I277" s="46">
        <f t="shared" si="86"/>
        <v>-3123.6768443521064</v>
      </c>
      <c r="J277" s="46">
        <f t="shared" si="86"/>
        <v>-5245.1060499057248</v>
      </c>
      <c r="K277" s="46">
        <f t="shared" si="86"/>
        <v>-8255.4415621683656</v>
      </c>
      <c r="L277" s="46">
        <f t="shared" si="86"/>
        <v>-12063.570338651938</v>
      </c>
      <c r="M277" s="46">
        <f t="shared" si="86"/>
        <v>-16221.960967813748</v>
      </c>
      <c r="N277" s="46">
        <f t="shared" si="86"/>
        <v>-9959.4129946691573</v>
      </c>
    </row>
    <row r="278" spans="1:14" ht="18" customHeight="1" x14ac:dyDescent="0.25">
      <c r="A278" s="15"/>
      <c r="B278" s="119"/>
      <c r="C278" s="118"/>
      <c r="D278" s="89"/>
      <c r="E278" s="89"/>
      <c r="F278" s="89"/>
      <c r="G278" s="89"/>
      <c r="H278" s="89"/>
      <c r="I278" s="89"/>
      <c r="J278" s="89"/>
      <c r="K278" s="89"/>
      <c r="L278" s="89"/>
      <c r="M278" s="89"/>
      <c r="N278" s="89"/>
    </row>
    <row r="279" spans="1:14" ht="18" customHeight="1" x14ac:dyDescent="0.25">
      <c r="A279" s="15"/>
      <c r="B279" s="21"/>
      <c r="C279" s="89"/>
      <c r="D279" s="89"/>
      <c r="E279" s="89"/>
      <c r="F279" s="89"/>
      <c r="G279" s="89"/>
      <c r="H279" s="89"/>
      <c r="I279" s="89"/>
      <c r="J279" s="89"/>
      <c r="K279" s="89"/>
      <c r="L279" s="89"/>
      <c r="M279" s="89"/>
      <c r="N279" s="89"/>
    </row>
    <row r="280" spans="1:14" ht="18" customHeight="1" x14ac:dyDescent="0.25">
      <c r="A280" s="24" t="s">
        <v>206</v>
      </c>
      <c r="C280" s="89"/>
      <c r="D280" s="89"/>
      <c r="E280" s="89"/>
      <c r="F280" s="89"/>
      <c r="G280" s="89"/>
      <c r="H280" s="89"/>
      <c r="I280" s="89"/>
      <c r="J280" s="89"/>
      <c r="K280" s="89"/>
      <c r="L280" s="89"/>
      <c r="M280" s="89"/>
      <c r="N280" s="89"/>
    </row>
    <row r="281" spans="1:14" ht="18" customHeight="1" x14ac:dyDescent="0.25">
      <c r="A281" s="15"/>
      <c r="B281" s="21" t="s">
        <v>11</v>
      </c>
      <c r="C281" s="17">
        <f>SUM($C249:C249,$C265:C265)</f>
        <v>0</v>
      </c>
      <c r="D281" s="17">
        <f>SUM($C249:D249,$C265:D265)</f>
        <v>0</v>
      </c>
      <c r="E281" s="17">
        <f>SUM($C249:E249,$C265:E265)</f>
        <v>0</v>
      </c>
      <c r="F281" s="17">
        <f>SUM($C249:F249,$C265:F265)</f>
        <v>0</v>
      </c>
      <c r="G281" s="17">
        <f>SUM($C249:G249,$C265:G265)</f>
        <v>0</v>
      </c>
      <c r="H281" s="17">
        <f>SUM($C249:H249,$C265:H265)</f>
        <v>0</v>
      </c>
      <c r="I281" s="17">
        <f>SUM($C249:I249,$C265:I265)</f>
        <v>0</v>
      </c>
      <c r="J281" s="17">
        <f>SUM($C249:J249,$C265:J265)</f>
        <v>0</v>
      </c>
      <c r="K281" s="17">
        <f>SUM($C249:K249,$C265:K265)</f>
        <v>0</v>
      </c>
      <c r="L281" s="17">
        <f>SUM($C249:L249,$C265:L265)</f>
        <v>0</v>
      </c>
      <c r="M281" s="17">
        <f>SUM($C249:M249,$C265:M265)</f>
        <v>0</v>
      </c>
      <c r="N281" s="17">
        <f>SUM($C249:N249,$C265:N265)</f>
        <v>0</v>
      </c>
    </row>
    <row r="282" spans="1:14" ht="18" customHeight="1" x14ac:dyDescent="0.25">
      <c r="A282" s="15"/>
      <c r="B282" s="21" t="s">
        <v>11</v>
      </c>
      <c r="C282" s="17"/>
      <c r="D282" s="17">
        <f>SUM($C250:D250,$C266:D266)</f>
        <v>35305.835024337262</v>
      </c>
      <c r="E282" s="17">
        <f>SUM($C250:E250,$C266:E266)</f>
        <v>37838.998086791064</v>
      </c>
      <c r="F282" s="17">
        <f>SUM($C250:F250,$C266:F266)</f>
        <v>40553.913403413528</v>
      </c>
      <c r="G282" s="17">
        <f>SUM($C250:G250,$C266:G266)</f>
        <v>43463.621540911561</v>
      </c>
      <c r="H282" s="17">
        <f>SUM($C250:H250,$C266:H266)</f>
        <v>46590.942753744996</v>
      </c>
      <c r="I282" s="17">
        <f>SUM($C250:I250,$C266:I266)</f>
        <v>49933.802514669231</v>
      </c>
      <c r="J282" s="17">
        <f>SUM($C250:J250,$C266:J266)</f>
        <v>53516.509566090885</v>
      </c>
      <c r="K282" s="17">
        <f>SUM($C250:K250,$C266:K266)</f>
        <v>57356.272743220885</v>
      </c>
      <c r="L282" s="17">
        <f>SUM($C250:L250,$C266:L266)</f>
        <v>61483.20653473882</v>
      </c>
      <c r="M282" s="17">
        <f>SUM($C250:M250,$C266:M266)</f>
        <v>65894.573314412992</v>
      </c>
      <c r="N282" s="17">
        <f>SUM($C250:N250,$C266:N266)</f>
        <v>68236.994658525538</v>
      </c>
    </row>
    <row r="283" spans="1:14" ht="18" customHeight="1" x14ac:dyDescent="0.25">
      <c r="A283" s="15"/>
      <c r="B283" s="21" t="s">
        <v>11</v>
      </c>
      <c r="C283" s="17"/>
      <c r="D283" s="17"/>
      <c r="E283" s="17">
        <f>SUM($C251:E251,$C267:E267)</f>
        <v>15903.68738924876</v>
      </c>
      <c r="F283" s="17">
        <f>SUM($C251:F251,$C267:F267)</f>
        <v>16938.286227743909</v>
      </c>
      <c r="G283" s="17">
        <f>SUM($C251:G251,$C267:G267)</f>
        <v>18040.189882437797</v>
      </c>
      <c r="H283" s="17">
        <f>SUM($C251:H251,$C267:H267)</f>
        <v>19217.09478289252</v>
      </c>
      <c r="I283" s="17">
        <f>SUM($C251:I251,$C267:I267)</f>
        <v>20467.244100784199</v>
      </c>
      <c r="J283" s="17">
        <f>SUM($C251:J251,$C267:J267)</f>
        <v>21798.720660627994</v>
      </c>
      <c r="K283" s="17">
        <f>SUM($C251:K251,$C267:K267)</f>
        <v>23216.815126658068</v>
      </c>
      <c r="L283" s="17">
        <f>SUM($C251:L251,$C267:L267)</f>
        <v>24731.432415809511</v>
      </c>
      <c r="M283" s="17">
        <f>SUM($C251:M251,$C267:M267)</f>
        <v>26340.311578576213</v>
      </c>
      <c r="N283" s="17">
        <f>SUM($C251:N251,$C267:N267)</f>
        <v>27190.626392869017</v>
      </c>
    </row>
    <row r="284" spans="1:14" ht="18" customHeight="1" x14ac:dyDescent="0.25">
      <c r="A284" s="15"/>
      <c r="B284" s="21" t="s">
        <v>11</v>
      </c>
      <c r="C284" s="17"/>
      <c r="D284" s="17"/>
      <c r="E284" s="17"/>
      <c r="F284" s="17">
        <f>SUM($C252:F252,$C268:F268)</f>
        <v>52525.548472952309</v>
      </c>
      <c r="G284" s="17">
        <f>SUM($C252:G252,$C268:G268)</f>
        <v>56493.661810035286</v>
      </c>
      <c r="H284" s="17">
        <f>SUM($C252:H252,$C268:H268)</f>
        <v>60773.676630230315</v>
      </c>
      <c r="I284" s="17">
        <f>SUM($C252:I252,$C268:I268)</f>
        <v>65364.905923231745</v>
      </c>
      <c r="J284" s="17">
        <f>SUM($C252:J252,$C268:J268)</f>
        <v>70302.985819812253</v>
      </c>
      <c r="K284" s="17">
        <f>SUM($C252:K252,$C268:K268)</f>
        <v>75614.119616197204</v>
      </c>
      <c r="L284" s="17">
        <f>SUM($C252:L252,$C268:L268)</f>
        <v>81342.718935206751</v>
      </c>
      <c r="M284" s="17">
        <f>SUM($C252:M252,$C268:M268)</f>
        <v>87487.864245733086</v>
      </c>
      <c r="N284" s="17">
        <f>SUM($C252:N252,$C268:N268)</f>
        <v>90759.555924455693</v>
      </c>
    </row>
    <row r="285" spans="1:14" ht="18" customHeight="1" x14ac:dyDescent="0.25">
      <c r="A285" s="15"/>
      <c r="B285" s="21" t="s">
        <v>11</v>
      </c>
      <c r="C285" s="17"/>
      <c r="D285" s="17"/>
      <c r="E285" s="17"/>
      <c r="F285" s="17"/>
      <c r="G285" s="17">
        <f>SUM($C253:G253,$C269:G269)</f>
        <v>57236.467958351946</v>
      </c>
      <c r="H285" s="17">
        <f>SUM($C253:H253,$C269:H269)</f>
        <v>61251.529766481435</v>
      </c>
      <c r="I285" s="17">
        <f>SUM($C253:I253,$C269:I269)</f>
        <v>65536.101814715963</v>
      </c>
      <c r="J285" s="17">
        <f>SUM($C253:J253,$C269:J269)</f>
        <v>70120.381604234659</v>
      </c>
      <c r="K285" s="17">
        <f>SUM($C253:K253,$C269:K269)</f>
        <v>75025.333826300601</v>
      </c>
      <c r="L285" s="17">
        <f>SUM($C253:L253,$C269:L269)</f>
        <v>80288.26082430013</v>
      </c>
      <c r="M285" s="17">
        <f>SUM($C253:M253,$C269:M269)</f>
        <v>85904.460769683457</v>
      </c>
      <c r="N285" s="17">
        <f>SUM($C253:N253,$C269:N269)</f>
        <v>88882.901122660754</v>
      </c>
    </row>
    <row r="286" spans="1:14" ht="18" customHeight="1" x14ac:dyDescent="0.25">
      <c r="A286" s="15"/>
      <c r="B286" s="21" t="s">
        <v>11</v>
      </c>
      <c r="C286" s="17"/>
      <c r="D286" s="17"/>
      <c r="E286" s="17"/>
      <c r="F286" s="17"/>
      <c r="G286" s="17"/>
      <c r="H286" s="17">
        <f>SUM($C254:H254,$C270:H270)</f>
        <v>135511.03795160772</v>
      </c>
      <c r="I286" s="17">
        <f>SUM($C254:I254,$C270:I270)</f>
        <v>144177.62233735263</v>
      </c>
      <c r="J286" s="17">
        <f>SUM($C254:J254,$C270:J270)</f>
        <v>153398.47658960137</v>
      </c>
      <c r="K286" s="17">
        <f>SUM($C254:K254,$C270:K270)</f>
        <v>163209.04893931097</v>
      </c>
      <c r="L286" s="17">
        <f>SUM($C254:L254,$C270:L270)</f>
        <v>173676.55005600333</v>
      </c>
      <c r="M286" s="17">
        <f>SUM($C254:M254,$C270:M270)</f>
        <v>184784.00299591006</v>
      </c>
      <c r="N286" s="17">
        <f>SUM($C254:N254,$C270:N270)</f>
        <v>190649.91149118307</v>
      </c>
    </row>
    <row r="287" spans="1:14" ht="18" customHeight="1" x14ac:dyDescent="0.25">
      <c r="A287" s="15"/>
      <c r="B287" s="21" t="s">
        <v>11</v>
      </c>
      <c r="C287" s="17"/>
      <c r="D287" s="17"/>
      <c r="E287" s="17"/>
      <c r="F287" s="17"/>
      <c r="G287" s="17"/>
      <c r="H287" s="17"/>
      <c r="I287" s="17">
        <f>SUM($C255:I255,$C271:I271)</f>
        <v>85046.452462958943</v>
      </c>
      <c r="J287" s="17">
        <f>SUM($C255:J255,$C271:J271)</f>
        <v>90366.604699291944</v>
      </c>
      <c r="K287" s="17">
        <f>SUM($C255:K255,$C271:K271)</f>
        <v>96019.563525412872</v>
      </c>
      <c r="L287" s="17">
        <f>SUM($C255:L255,$C271:L271)</f>
        <v>102043.11005492942</v>
      </c>
      <c r="M287" s="17">
        <f>SUM($C255:M255,$C271:M271)</f>
        <v>108426.50247682445</v>
      </c>
      <c r="N287" s="17">
        <f>SUM($C255:N255,$C271:N271)</f>
        <v>111794.29075606025</v>
      </c>
    </row>
    <row r="288" spans="1:14" ht="18" customHeight="1" x14ac:dyDescent="0.25">
      <c r="A288" s="15"/>
      <c r="B288" s="21" t="s">
        <v>11</v>
      </c>
      <c r="C288" s="17"/>
      <c r="D288" s="17"/>
      <c r="E288" s="17"/>
      <c r="F288" s="17"/>
      <c r="G288" s="17"/>
      <c r="H288" s="17"/>
      <c r="I288" s="17"/>
      <c r="J288" s="17">
        <f>SUM($C256:J256,$C272:J272)</f>
        <v>65633.524285597916</v>
      </c>
      <c r="K288" s="17">
        <f>SUM($C256:K256,$C272:K272)</f>
        <v>69496.616474996103</v>
      </c>
      <c r="L288" s="17">
        <f>SUM($C256:L256,$C272:L272)</f>
        <v>73598.615743718925</v>
      </c>
      <c r="M288" s="17">
        <f>SUM($C256:M256,$C272:M272)</f>
        <v>77930.521438633237</v>
      </c>
      <c r="N288" s="17">
        <f>SUM($C256:N256,$C272:N272)</f>
        <v>80210.019858581683</v>
      </c>
    </row>
    <row r="289" spans="1:18" ht="18" customHeight="1" x14ac:dyDescent="0.25">
      <c r="A289" s="15"/>
      <c r="B289" s="21" t="s">
        <v>11</v>
      </c>
      <c r="C289" s="17"/>
      <c r="D289" s="17"/>
      <c r="E289" s="17"/>
      <c r="F289" s="17"/>
      <c r="G289" s="17"/>
      <c r="H289" s="17"/>
      <c r="I289" s="17"/>
      <c r="J289" s="17"/>
      <c r="K289" s="17">
        <f>SUM($C257:K257,$C273:K273)</f>
        <v>32379.047702653224</v>
      </c>
      <c r="L289" s="17">
        <f>SUM($C257:L257,$C273:L273)</f>
        <v>34225.304477904559</v>
      </c>
      <c r="M289" s="17">
        <f>SUM($C257:M257,$C273:M273)</f>
        <v>36171.354169850893</v>
      </c>
      <c r="N289" s="17">
        <f>SUM($C257:N257,$C273:N273)</f>
        <v>37193.940643424437</v>
      </c>
    </row>
    <row r="290" spans="1:18" ht="18" customHeight="1" x14ac:dyDescent="0.25">
      <c r="A290" s="15"/>
      <c r="B290" s="21" t="s">
        <v>11</v>
      </c>
      <c r="C290" s="17"/>
      <c r="D290" s="17"/>
      <c r="E290" s="17"/>
      <c r="F290" s="17"/>
      <c r="G290" s="17"/>
      <c r="H290" s="17"/>
      <c r="I290" s="17"/>
      <c r="J290" s="17"/>
      <c r="K290" s="17"/>
      <c r="L290" s="17">
        <f>SUM($C258:L258,$C274:L274)</f>
        <v>-7295.2246441126408</v>
      </c>
      <c r="M290" s="17">
        <f>SUM($C258:M258,$C274:M274)</f>
        <v>-7659.0010761866488</v>
      </c>
      <c r="N290" s="17">
        <f>SUM($C258:N258,$C274:N274)</f>
        <v>-7849.2057036367423</v>
      </c>
    </row>
    <row r="291" spans="1:18" ht="18" customHeight="1" x14ac:dyDescent="0.25">
      <c r="A291" s="15"/>
      <c r="B291" s="21" t="s">
        <v>11</v>
      </c>
      <c r="C291" s="17"/>
      <c r="D291" s="17"/>
      <c r="E291" s="17"/>
      <c r="F291" s="17"/>
      <c r="G291" s="17"/>
      <c r="H291" s="17"/>
      <c r="I291" s="17"/>
      <c r="J291" s="17"/>
      <c r="K291" s="17"/>
      <c r="L291" s="17"/>
      <c r="M291" s="17">
        <f>SUM($C259:M259,$C275:M275)</f>
        <v>-23447.43076479491</v>
      </c>
      <c r="N291" s="17">
        <f>SUM($C259:N259,$C275:N275)</f>
        <v>-23967.385760360645</v>
      </c>
    </row>
    <row r="292" spans="1:18" ht="18" customHeight="1" x14ac:dyDescent="0.25">
      <c r="A292" s="15"/>
      <c r="B292" s="21" t="s">
        <v>11</v>
      </c>
      <c r="C292" s="81"/>
      <c r="D292" s="81"/>
      <c r="E292" s="81"/>
      <c r="F292" s="81"/>
      <c r="G292" s="81"/>
      <c r="H292" s="81"/>
      <c r="I292" s="81"/>
      <c r="J292" s="81"/>
      <c r="K292" s="81"/>
      <c r="L292" s="81"/>
      <c r="M292" s="81"/>
      <c r="N292" s="81">
        <f>SUM($C260:N260,$C276:N276)</f>
        <v>-19329.232735359721</v>
      </c>
    </row>
    <row r="293" spans="1:18" ht="18" customHeight="1" x14ac:dyDescent="0.25">
      <c r="A293" s="35" t="s">
        <v>207</v>
      </c>
      <c r="B293" s="21" t="s">
        <v>11</v>
      </c>
      <c r="C293" s="46">
        <f>SUM(C281:C292)</f>
        <v>0</v>
      </c>
      <c r="D293" s="46">
        <f>SUM(D281:D292)</f>
        <v>35305.835024337262</v>
      </c>
      <c r="E293" s="46">
        <f>SUM(E281:E292)</f>
        <v>53742.685476039827</v>
      </c>
      <c r="F293" s="46">
        <f t="shared" ref="F293:N293" si="87">SUM(F281:F292)</f>
        <v>110017.74810410975</v>
      </c>
      <c r="G293" s="46">
        <f t="shared" si="87"/>
        <v>175233.94119173658</v>
      </c>
      <c r="H293" s="46">
        <f t="shared" si="87"/>
        <v>323344.28188495699</v>
      </c>
      <c r="I293" s="46">
        <f t="shared" si="87"/>
        <v>430526.12915371271</v>
      </c>
      <c r="J293" s="46">
        <f t="shared" si="87"/>
        <v>525137.20322525699</v>
      </c>
      <c r="K293" s="46">
        <f t="shared" si="87"/>
        <v>592316.81795474992</v>
      </c>
      <c r="L293" s="46">
        <f t="shared" si="87"/>
        <v>624093.97439849877</v>
      </c>
      <c r="M293" s="46">
        <f t="shared" si="87"/>
        <v>641833.15914864291</v>
      </c>
      <c r="N293" s="46">
        <f t="shared" si="87"/>
        <v>643772.41664840339</v>
      </c>
      <c r="O293" s="12"/>
      <c r="P293" s="12"/>
      <c r="Q293" s="12"/>
    </row>
    <row r="294" spans="1:18" ht="18" customHeight="1" x14ac:dyDescent="0.25">
      <c r="A294" s="24"/>
      <c r="C294" s="12"/>
      <c r="D294" s="12"/>
      <c r="E294" s="12"/>
      <c r="F294" s="12"/>
      <c r="G294" s="12"/>
      <c r="H294" s="12"/>
      <c r="I294" s="12"/>
      <c r="J294" s="12"/>
      <c r="K294" s="12"/>
      <c r="L294" s="12"/>
      <c r="M294" s="12"/>
      <c r="N294" s="12"/>
    </row>
    <row r="295" spans="1:18" s="51" customFormat="1" ht="18" customHeight="1" x14ac:dyDescent="0.35">
      <c r="A295" s="24" t="s">
        <v>208</v>
      </c>
      <c r="O295"/>
      <c r="P295"/>
      <c r="Q295" s="52"/>
      <c r="R295" s="104"/>
    </row>
    <row r="296" spans="1:18" ht="18" customHeight="1" x14ac:dyDescent="0.35">
      <c r="A296" s="155" t="s">
        <v>209</v>
      </c>
      <c r="B296" s="21" t="s">
        <v>11</v>
      </c>
      <c r="C296" s="21"/>
      <c r="D296" s="17">
        <f>C301</f>
        <v>0</v>
      </c>
      <c r="E296" s="17">
        <f>D301</f>
        <v>35305.835024337262</v>
      </c>
      <c r="F296" s="17">
        <f t="shared" ref="F296:N296" si="88">E301</f>
        <v>53742.685476039827</v>
      </c>
      <c r="G296" s="17">
        <f t="shared" si="88"/>
        <v>110017.74810410975</v>
      </c>
      <c r="H296" s="17">
        <f t="shared" si="88"/>
        <v>175233.94119173658</v>
      </c>
      <c r="I296" s="17">
        <f t="shared" si="88"/>
        <v>323344.28188495699</v>
      </c>
      <c r="J296" s="17">
        <f t="shared" si="88"/>
        <v>430526.12915371271</v>
      </c>
      <c r="K296" s="17">
        <f t="shared" si="88"/>
        <v>525137.20322525699</v>
      </c>
      <c r="L296" s="17">
        <f t="shared" si="88"/>
        <v>592316.81795474992</v>
      </c>
      <c r="M296" s="17">
        <f t="shared" si="88"/>
        <v>624093.97439849877</v>
      </c>
      <c r="N296" s="17">
        <f t="shared" si="88"/>
        <v>641833.15914864291</v>
      </c>
      <c r="O296" s="20"/>
      <c r="P296" s="20"/>
      <c r="Q296" s="52"/>
      <c r="R296" s="104"/>
    </row>
    <row r="297" spans="1:18" ht="18" customHeight="1" x14ac:dyDescent="0.35">
      <c r="A297" s="155" t="s">
        <v>210</v>
      </c>
      <c r="B297" s="21" t="s">
        <v>11</v>
      </c>
      <c r="C297" s="21"/>
      <c r="D297" s="17">
        <f t="shared" ref="D297:N297" si="89">D52</f>
        <v>33011.682710000008</v>
      </c>
      <c r="E297" s="17">
        <f t="shared" si="89"/>
        <v>16777</v>
      </c>
      <c r="F297" s="17">
        <f t="shared" si="89"/>
        <v>42616</v>
      </c>
      <c r="G297" s="17">
        <f t="shared" si="89"/>
        <v>53389</v>
      </c>
      <c r="H297" s="17">
        <f t="shared" si="89"/>
        <v>139344</v>
      </c>
      <c r="I297" s="17">
        <f t="shared" si="89"/>
        <v>92618</v>
      </c>
      <c r="J297" s="17">
        <f t="shared" si="89"/>
        <v>83352</v>
      </c>
      <c r="K297" s="17">
        <f t="shared" si="89"/>
        <v>65582</v>
      </c>
      <c r="L297" s="17">
        <f t="shared" si="89"/>
        <v>39181</v>
      </c>
      <c r="M297" s="17">
        <f t="shared" si="89"/>
        <v>36946.731740000003</v>
      </c>
      <c r="N297" s="17">
        <f t="shared" si="89"/>
        <v>14411</v>
      </c>
      <c r="O297" s="20"/>
      <c r="P297" s="20"/>
      <c r="Q297" s="52"/>
      <c r="R297" s="104"/>
    </row>
    <row r="298" spans="1:18" ht="18" customHeight="1" x14ac:dyDescent="0.35">
      <c r="A298" s="155" t="s">
        <v>22</v>
      </c>
      <c r="B298" s="21" t="s">
        <v>11</v>
      </c>
      <c r="C298" s="21"/>
      <c r="D298" s="17">
        <f t="shared" ref="D298:N298" si="90">D236</f>
        <v>0</v>
      </c>
      <c r="E298" s="17">
        <f t="shared" si="90"/>
        <v>-1475</v>
      </c>
      <c r="F298" s="17">
        <f t="shared" si="90"/>
        <v>-2689</v>
      </c>
      <c r="G298" s="17">
        <f t="shared" si="90"/>
        <v>-4488</v>
      </c>
      <c r="H298" s="17">
        <f t="shared" si="90"/>
        <v>-6123</v>
      </c>
      <c r="I298" s="17">
        <f t="shared" si="90"/>
        <v>-13882</v>
      </c>
      <c r="J298" s="17">
        <f t="shared" si="90"/>
        <v>-18139</v>
      </c>
      <c r="K298" s="17">
        <f t="shared" si="90"/>
        <v>-20034</v>
      </c>
      <c r="L298" s="17">
        <f t="shared" si="90"/>
        <v>-22982</v>
      </c>
      <c r="M298" s="17">
        <f t="shared" si="90"/>
        <v>-22790</v>
      </c>
      <c r="N298" s="17">
        <f t="shared" si="90"/>
        <v>-11811.999999999998</v>
      </c>
      <c r="O298" s="20"/>
      <c r="P298" s="20"/>
      <c r="Q298" s="52"/>
      <c r="R298" s="104"/>
    </row>
    <row r="299" spans="1:18" ht="18" customHeight="1" x14ac:dyDescent="0.35">
      <c r="A299" s="155" t="s">
        <v>40</v>
      </c>
      <c r="B299" s="21" t="s">
        <v>11</v>
      </c>
      <c r="C299" s="21"/>
      <c r="D299" s="17">
        <f t="shared" ref="D299:N299" si="91">D28</f>
        <v>0</v>
      </c>
      <c r="E299" s="17">
        <f t="shared" si="91"/>
        <v>0</v>
      </c>
      <c r="F299" s="17">
        <f t="shared" si="91"/>
        <v>0</v>
      </c>
      <c r="G299" s="17">
        <f t="shared" si="91"/>
        <v>0</v>
      </c>
      <c r="H299" s="17">
        <f t="shared" si="91"/>
        <v>0</v>
      </c>
      <c r="I299" s="17">
        <f t="shared" si="91"/>
        <v>0</v>
      </c>
      <c r="J299" s="17">
        <f t="shared" si="91"/>
        <v>0</v>
      </c>
      <c r="K299" s="17">
        <f t="shared" si="91"/>
        <v>0</v>
      </c>
      <c r="L299" s="17">
        <f t="shared" si="91"/>
        <v>0</v>
      </c>
      <c r="M299" s="17">
        <f t="shared" si="91"/>
        <v>0</v>
      </c>
      <c r="N299" s="17">
        <f t="shared" si="91"/>
        <v>0</v>
      </c>
      <c r="O299" s="67"/>
      <c r="P299" s="67"/>
      <c r="Q299" s="52"/>
      <c r="R299" s="104"/>
    </row>
    <row r="300" spans="1:18" ht="18" customHeight="1" x14ac:dyDescent="0.35">
      <c r="A300" s="155" t="s">
        <v>211</v>
      </c>
      <c r="B300" s="21" t="s">
        <v>11</v>
      </c>
      <c r="C300" s="147"/>
      <c r="D300" s="81">
        <f t="shared" ref="D300:N300" si="92">D293-SUM(D296:D299)</f>
        <v>2294.1523143372542</v>
      </c>
      <c r="E300" s="81">
        <f t="shared" si="92"/>
        <v>3134.8504517025649</v>
      </c>
      <c r="F300" s="81">
        <f t="shared" si="92"/>
        <v>16348.062628069922</v>
      </c>
      <c r="G300" s="81">
        <f t="shared" si="92"/>
        <v>16315.193087626831</v>
      </c>
      <c r="H300" s="81">
        <f t="shared" si="92"/>
        <v>14889.34069322038</v>
      </c>
      <c r="I300" s="81">
        <f t="shared" si="92"/>
        <v>28445.847268755722</v>
      </c>
      <c r="J300" s="81">
        <f t="shared" si="92"/>
        <v>29398.074071544281</v>
      </c>
      <c r="K300" s="81">
        <f t="shared" si="92"/>
        <v>21631.614729492925</v>
      </c>
      <c r="L300" s="81">
        <f t="shared" si="92"/>
        <v>15578.156443748856</v>
      </c>
      <c r="M300" s="81">
        <f t="shared" si="92"/>
        <v>3582.4530101441778</v>
      </c>
      <c r="N300" s="81">
        <f t="shared" si="92"/>
        <v>-659.74250023951754</v>
      </c>
      <c r="O300" s="67"/>
      <c r="P300" s="67"/>
      <c r="Q300" s="52"/>
      <c r="R300" s="104"/>
    </row>
    <row r="301" spans="1:18" ht="18" customHeight="1" x14ac:dyDescent="0.35">
      <c r="A301" s="155" t="s">
        <v>212</v>
      </c>
      <c r="B301" s="21" t="s">
        <v>11</v>
      </c>
      <c r="C301" s="153">
        <f>C22</f>
        <v>0</v>
      </c>
      <c r="D301" s="46">
        <f>SUM(D296:D300)</f>
        <v>35305.835024337262</v>
      </c>
      <c r="E301" s="46">
        <f t="shared" ref="E301:N301" si="93">SUM(E296:E300)</f>
        <v>53742.685476039827</v>
      </c>
      <c r="F301" s="46">
        <f t="shared" si="93"/>
        <v>110017.74810410975</v>
      </c>
      <c r="G301" s="46">
        <f t="shared" si="93"/>
        <v>175233.94119173658</v>
      </c>
      <c r="H301" s="46">
        <f t="shared" si="93"/>
        <v>323344.28188495699</v>
      </c>
      <c r="I301" s="46">
        <f t="shared" si="93"/>
        <v>430526.12915371271</v>
      </c>
      <c r="J301" s="46">
        <f t="shared" si="93"/>
        <v>525137.20322525699</v>
      </c>
      <c r="K301" s="46">
        <f t="shared" si="93"/>
        <v>592316.81795474992</v>
      </c>
      <c r="L301" s="46">
        <f t="shared" si="93"/>
        <v>624093.97439849877</v>
      </c>
      <c r="M301" s="46">
        <f t="shared" si="93"/>
        <v>641833.15914864291</v>
      </c>
      <c r="N301" s="46">
        <f t="shared" si="93"/>
        <v>643772.41664840339</v>
      </c>
      <c r="O301" s="20"/>
      <c r="P301" s="20"/>
      <c r="Q301" s="52"/>
      <c r="R301" s="104"/>
    </row>
    <row r="302" spans="1:18" ht="18" customHeight="1" x14ac:dyDescent="0.35">
      <c r="Q302" s="52"/>
    </row>
    <row r="303" spans="1:18" ht="18" customHeight="1" x14ac:dyDescent="0.35">
      <c r="A303" s="24" t="s">
        <v>213</v>
      </c>
      <c r="B303" t="s">
        <v>50</v>
      </c>
      <c r="C303" s="87" t="s">
        <v>214</v>
      </c>
      <c r="D303" s="51"/>
      <c r="E303" s="51"/>
      <c r="F303" s="51"/>
      <c r="G303" s="51"/>
      <c r="H303" s="51"/>
      <c r="I303" s="51"/>
      <c r="J303" s="51"/>
      <c r="K303" s="51"/>
      <c r="L303" s="51"/>
      <c r="M303" s="51"/>
      <c r="N303" s="51"/>
    </row>
    <row r="304" spans="1:18" ht="18" customHeight="1" x14ac:dyDescent="0.25">
      <c r="A304" s="15"/>
      <c r="B304" s="137" cm="1">
        <f t="array" ref="B304:B314">TRANSPOSE('Model inputs'!D45:N45)</f>
        <v>6.4326867547209718E-2</v>
      </c>
      <c r="C304" s="17" cm="1">
        <f t="array" ref="C304:C314">TRANSPOSE(D300:N300)</f>
        <v>2294.1523143372542</v>
      </c>
      <c r="D304" s="149">
        <f>$C304*((1+$B304)^D$119-1)*'Model inputs'!D$48</f>
        <v>12.03099048213223</v>
      </c>
      <c r="E304" s="138">
        <f>$C304*((1+$B304)^E$118-1)*'Model inputs'!E$48</f>
        <v>42.766718452919207</v>
      </c>
      <c r="F304" s="138">
        <f>$C304*((1+$B304)^F$118-1)*'Model inputs'!F$48</f>
        <v>42.766718452919207</v>
      </c>
      <c r="G304" s="138">
        <f>$C304*((1+$B304)^G$118-1)*'Model inputs'!G$48</f>
        <v>42.766718452919207</v>
      </c>
      <c r="H304" s="138">
        <f>$C304*((1+$B304)^H$118-1)*'Model inputs'!H$48</f>
        <v>42.887585564137197</v>
      </c>
      <c r="I304" s="138">
        <f>$C304*((1+$B304)^I$118-1)*'Model inputs'!I$48</f>
        <v>42.766718452919207</v>
      </c>
      <c r="J304" s="138">
        <f>$C304*((1+$B304)^J$118-1)*'Model inputs'!J$48</f>
        <v>42.766718452919207</v>
      </c>
      <c r="K304" s="138">
        <f>$C304*((1+$B304)^K$118-1)*'Model inputs'!K$48</f>
        <v>42.766718452919207</v>
      </c>
      <c r="L304" s="138">
        <f>$C304*((1+$B304)^L$118-1)*'Model inputs'!L$48</f>
        <v>42.887585564137197</v>
      </c>
      <c r="M304" s="138">
        <f>$C304*((1+$B304)^M$118-1)*'Model inputs'!M$48</f>
        <v>42.766718452919207</v>
      </c>
      <c r="N304" s="138">
        <f>$C304*((1+$B304)^N$118-1)*'Model inputs'!N$48</f>
        <v>21.226088696063925</v>
      </c>
    </row>
    <row r="305" spans="1:16" ht="18" customHeight="1" x14ac:dyDescent="0.25">
      <c r="A305" s="15"/>
      <c r="B305" s="137">
        <v>5.239123342763756E-2</v>
      </c>
      <c r="C305" s="17">
        <v>3134.8504517025649</v>
      </c>
      <c r="D305" s="138"/>
      <c r="E305" s="149">
        <f>$C305*((1+$B305)^E$119-1)*'Model inputs'!E$48</f>
        <v>23.298746819093214</v>
      </c>
      <c r="F305" s="138">
        <f>$C305*((1+$B305)^F$118-1)*'Model inputs'!F$48</f>
        <v>47.595778423433998</v>
      </c>
      <c r="G305" s="138">
        <f>$C305*((1+$B305)^G$118-1)*'Model inputs'!G$48</f>
        <v>47.595778423433998</v>
      </c>
      <c r="H305" s="138">
        <f>$C305*((1+$B305)^H$118-1)*'Model inputs'!H$48</f>
        <v>47.729542602639505</v>
      </c>
      <c r="I305" s="138">
        <f>$C305*((1+$B305)^I$118-1)*'Model inputs'!I$48</f>
        <v>47.595778423433998</v>
      </c>
      <c r="J305" s="138">
        <f>$C305*((1+$B305)^J$118-1)*'Model inputs'!J$48</f>
        <v>47.595778423433998</v>
      </c>
      <c r="K305" s="138">
        <f>$C305*((1+$B305)^K$118-1)*'Model inputs'!K$48</f>
        <v>47.595778423433998</v>
      </c>
      <c r="L305" s="138">
        <f>$C305*((1+$B305)^L$118-1)*'Model inputs'!L$48</f>
        <v>47.729542602639505</v>
      </c>
      <c r="M305" s="138">
        <f>$C305*((1+$B305)^M$118-1)*'Model inputs'!M$48</f>
        <v>47.595778423433998</v>
      </c>
      <c r="N305" s="138">
        <f>$C305*((1+$B305)^N$118-1)*'Model inputs'!N$48</f>
        <v>23.689902558031612</v>
      </c>
    </row>
    <row r="306" spans="1:16" ht="18" customHeight="1" x14ac:dyDescent="0.25">
      <c r="A306" s="15"/>
      <c r="B306" s="137">
        <v>6.5210564262641602E-2</v>
      </c>
      <c r="C306" s="17">
        <v>16348.062628069922</v>
      </c>
      <c r="D306" s="138"/>
      <c r="E306" s="138"/>
      <c r="F306" s="149">
        <f>$C306*((1+$B306)^F$119-1)*'Model inputs'!F$48</f>
        <v>150.76350430354393</v>
      </c>
      <c r="G306" s="138">
        <f>$C306*((1+$B306)^G$118-1)*'Model inputs'!G$48</f>
        <v>308.94089516238779</v>
      </c>
      <c r="H306" s="138">
        <f>$C306*((1+$B306)^H$118-1)*'Model inputs'!H$48</f>
        <v>309.8143819151735</v>
      </c>
      <c r="I306" s="138">
        <f>$C306*((1+$B306)^I$118-1)*'Model inputs'!I$48</f>
        <v>308.94089516238779</v>
      </c>
      <c r="J306" s="138">
        <f>$C306*((1+$B306)^J$118-1)*'Model inputs'!J$48</f>
        <v>308.94089516238779</v>
      </c>
      <c r="K306" s="138">
        <f>$C306*((1+$B306)^K$118-1)*'Model inputs'!K$48</f>
        <v>308.94089516238779</v>
      </c>
      <c r="L306" s="138">
        <f>$C306*((1+$B306)^L$118-1)*'Model inputs'!L$48</f>
        <v>309.8143819151735</v>
      </c>
      <c r="M306" s="138">
        <f>$C306*((1+$B306)^M$118-1)*'Model inputs'!M$48</f>
        <v>308.94089516238779</v>
      </c>
      <c r="N306" s="138">
        <f>$C306*((1+$B306)^N$118-1)*'Model inputs'!N$48</f>
        <v>153.30232296354325</v>
      </c>
    </row>
    <row r="307" spans="1:16" ht="18" customHeight="1" x14ac:dyDescent="0.25">
      <c r="A307" s="15"/>
      <c r="B307" s="137">
        <v>5.6007340817272856E-2</v>
      </c>
      <c r="C307" s="17">
        <v>16315.193087626831</v>
      </c>
      <c r="D307" s="138"/>
      <c r="E307" s="138"/>
      <c r="F307" s="138"/>
      <c r="G307" s="149">
        <f>$C307*((1+$B307)^G$119-1)*'Model inputs'!G$48</f>
        <v>129.51306964960153</v>
      </c>
      <c r="H307" s="138">
        <f>$C307*((1+$B307)^H$118-1)*'Model inputs'!H$48</f>
        <v>265.55259483790167</v>
      </c>
      <c r="I307" s="138">
        <f>$C307*((1+$B307)^I$118-1)*'Model inputs'!I$48</f>
        <v>264.80710646373001</v>
      </c>
      <c r="J307" s="138">
        <f>$C307*((1+$B307)^J$118-1)*'Model inputs'!J$48</f>
        <v>264.80710646373001</v>
      </c>
      <c r="K307" s="138">
        <f>$C307*((1+$B307)^K$118-1)*'Model inputs'!K$48</f>
        <v>264.80710646373001</v>
      </c>
      <c r="L307" s="138">
        <f>$C307*((1+$B307)^L$118-1)*'Model inputs'!L$48</f>
        <v>265.55259483790167</v>
      </c>
      <c r="M307" s="138">
        <f>$C307*((1+$B307)^M$118-1)*'Model inputs'!M$48</f>
        <v>264.80710646373001</v>
      </c>
      <c r="N307" s="138">
        <f>$C307*((1+$B307)^N$118-1)*'Model inputs'!N$48</f>
        <v>131.68929750895722</v>
      </c>
    </row>
    <row r="308" spans="1:16" ht="18" customHeight="1" x14ac:dyDescent="0.25">
      <c r="A308" s="15"/>
      <c r="B308" s="137">
        <v>4.8566588558104418E-2</v>
      </c>
      <c r="C308" s="17">
        <v>14889.34069322038</v>
      </c>
      <c r="D308" s="138"/>
      <c r="E308" s="138"/>
      <c r="F308" s="138"/>
      <c r="G308" s="138"/>
      <c r="H308" s="149">
        <f>$C308*((1+$B308)^H$119-1)*'Model inputs'!H$48</f>
        <v>103.25117670578202</v>
      </c>
      <c r="I308" s="138">
        <f>$C308*((1+$B308)^I$118-1)*'Model inputs'!I$48</f>
        <v>209.55913612179043</v>
      </c>
      <c r="J308" s="138">
        <f>$C308*((1+$B308)^J$118-1)*'Model inputs'!J$48</f>
        <v>209.55913612179043</v>
      </c>
      <c r="K308" s="138">
        <f>$C308*((1+$B308)^K$118-1)*'Model inputs'!K$48</f>
        <v>209.55913612179043</v>
      </c>
      <c r="L308" s="138">
        <f>$C308*((1+$B308)^L$118-1)*'Model inputs'!L$48</f>
        <v>210.14702094336769</v>
      </c>
      <c r="M308" s="138">
        <f>$C308*((1+$B308)^M$118-1)*'Model inputs'!M$48</f>
        <v>209.55913612179043</v>
      </c>
      <c r="N308" s="138">
        <f>$C308*((1+$B308)^N$118-1)*'Model inputs'!N$48</f>
        <v>104.39941303897272</v>
      </c>
    </row>
    <row r="309" spans="1:16" ht="18" customHeight="1" x14ac:dyDescent="0.25">
      <c r="A309" s="15"/>
      <c r="B309" s="137">
        <v>4.7363493132139597E-2</v>
      </c>
      <c r="C309" s="17">
        <v>28445.847268755722</v>
      </c>
      <c r="D309" s="138"/>
      <c r="E309" s="138"/>
      <c r="F309" s="138"/>
      <c r="G309" s="138"/>
      <c r="H309" s="138"/>
      <c r="I309" s="149">
        <f>$C309*((1+$B309)^I$119-1)*'Model inputs'!I$48</f>
        <v>191.35977321177651</v>
      </c>
      <c r="J309" s="138">
        <f>$C309*((1+$B309)^J$118-1)*'Model inputs'!J$48</f>
        <v>390.44179925598218</v>
      </c>
      <c r="K309" s="138">
        <f>$C309*((1+$B309)^K$118-1)*'Model inputs'!K$48</f>
        <v>390.44179925598218</v>
      </c>
      <c r="L309" s="138">
        <f>$C309*((1+$B309)^L$118-1)*'Model inputs'!L$48</f>
        <v>391.53649667391062</v>
      </c>
      <c r="M309" s="138">
        <f>$C309*((1+$B309)^M$118-1)*'Model inputs'!M$48</f>
        <v>390.44179925598218</v>
      </c>
      <c r="N309" s="138">
        <f>$C309*((1+$B309)^N$118-1)*'Model inputs'!N$48</f>
        <v>194.56859797698581</v>
      </c>
    </row>
    <row r="310" spans="1:16" ht="18" customHeight="1" x14ac:dyDescent="0.25">
      <c r="A310" s="15"/>
      <c r="B310" s="137">
        <v>4.2480720370542777E-2</v>
      </c>
      <c r="C310" s="17">
        <v>29398.074071544281</v>
      </c>
      <c r="D310" s="138"/>
      <c r="E310" s="138"/>
      <c r="F310" s="138"/>
      <c r="G310" s="138"/>
      <c r="H310" s="138"/>
      <c r="I310" s="138"/>
      <c r="J310" s="149">
        <f>$C310*((1+$B310)^J$119-1)*'Model inputs'!J$48</f>
        <v>177.58908589201314</v>
      </c>
      <c r="K310" s="138">
        <f>$C310*((1+$B310)^K$118-1)*'Model inputs'!K$48</f>
        <v>361.91381719828945</v>
      </c>
      <c r="L310" s="138">
        <f>$C310*((1+$B310)^L$118-1)*'Model inputs'!L$48</f>
        <v>362.92617396256423</v>
      </c>
      <c r="M310" s="138">
        <f>$C310*((1+$B310)^M$118-1)*'Model inputs'!M$48</f>
        <v>361.91381719828945</v>
      </c>
      <c r="N310" s="138">
        <f>$C310*((1+$B310)^N$118-1)*'Model inputs'!N$48</f>
        <v>180.56350580105538</v>
      </c>
    </row>
    <row r="311" spans="1:16" ht="18" customHeight="1" x14ac:dyDescent="0.25">
      <c r="A311" s="15"/>
      <c r="B311" s="137">
        <v>4.0592888091034438E-2</v>
      </c>
      <c r="C311" s="17">
        <v>21631.614729492925</v>
      </c>
      <c r="D311" s="138"/>
      <c r="E311" s="138"/>
      <c r="F311" s="138"/>
      <c r="G311" s="138"/>
      <c r="H311" s="138"/>
      <c r="I311" s="138"/>
      <c r="J311" s="138"/>
      <c r="K311" s="149">
        <f>$C311*((1+$B311)^K$119-1)*'Model inputs'!K$48</f>
        <v>124.92373768591033</v>
      </c>
      <c r="L311" s="138">
        <f>$C311*((1+$B311)^L$118-1)*'Model inputs'!L$48</f>
        <v>255.1793985065502</v>
      </c>
      <c r="M311" s="138">
        <f>$C311*((1+$B311)^M$118-1)*'Model inputs'!M$48</f>
        <v>254.46823367992423</v>
      </c>
      <c r="N311" s="138">
        <f>$C311*((1+$B311)^N$118-1)*'Model inputs'!N$48</f>
        <v>127.01511964043179</v>
      </c>
    </row>
    <row r="312" spans="1:16" ht="18" customHeight="1" x14ac:dyDescent="0.25">
      <c r="A312" s="15"/>
      <c r="B312" s="137">
        <v>2.9597755753197487E-2</v>
      </c>
      <c r="C312" s="17">
        <v>15578.156443748856</v>
      </c>
      <c r="D312" s="138"/>
      <c r="E312" s="138"/>
      <c r="F312" s="138"/>
      <c r="G312" s="138"/>
      <c r="H312" s="138"/>
      <c r="I312" s="138"/>
      <c r="J312" s="138"/>
      <c r="K312" s="138"/>
      <c r="L312" s="149">
        <f>$C312*((1+$B312)^L$119-1)*'Model inputs'!L$48</f>
        <v>66.140077044515053</v>
      </c>
      <c r="M312" s="138">
        <f>$C312*((1+$B312)^M$118-1)*'Model inputs'!M$48</f>
        <v>133.61989444468458</v>
      </c>
      <c r="N312" s="138">
        <f>$C312*((1+$B312)^N$118-1)*'Model inputs'!N$48</f>
        <v>66.872244166099421</v>
      </c>
    </row>
    <row r="313" spans="1:16" ht="18" customHeight="1" x14ac:dyDescent="0.25">
      <c r="A313" s="15"/>
      <c r="B313" s="137">
        <v>2.0048153676001084E-2</v>
      </c>
      <c r="C313" s="17">
        <v>3582.4530101441778</v>
      </c>
      <c r="D313" s="138"/>
      <c r="E313" s="138"/>
      <c r="F313" s="138"/>
      <c r="G313" s="138"/>
      <c r="H313" s="138"/>
      <c r="I313" s="138"/>
      <c r="J313" s="138"/>
      <c r="K313" s="138"/>
      <c r="L313" s="138"/>
      <c r="M313" s="149">
        <f>$C313*((1+$B313)^M$119-1)*'Model inputs'!M$48</f>
        <v>10.269788725066691</v>
      </c>
      <c r="N313" s="138">
        <f>$C313*((1+$B313)^N$118-1)*'Model inputs'!N$48</f>
        <v>10.440858716480722</v>
      </c>
    </row>
    <row r="314" spans="1:16" ht="18" customHeight="1" x14ac:dyDescent="0.25">
      <c r="A314" s="15"/>
      <c r="B314" s="154">
        <v>2.692481461E-2</v>
      </c>
      <c r="C314" s="81">
        <v>-659.74250023951754</v>
      </c>
      <c r="D314" s="136"/>
      <c r="E314" s="136"/>
      <c r="F314" s="136"/>
      <c r="G314" s="136"/>
      <c r="H314" s="136"/>
      <c r="I314" s="136"/>
      <c r="J314" s="136"/>
      <c r="K314" s="136"/>
      <c r="L314" s="136"/>
      <c r="M314" s="136"/>
      <c r="N314" s="150">
        <f>$C314*((1+$B314)^N$119-1)*'Model inputs'!N$48</f>
        <v>-1.2706690135922205</v>
      </c>
    </row>
    <row r="315" spans="1:16" ht="18" customHeight="1" x14ac:dyDescent="0.25">
      <c r="A315" s="71" t="s">
        <v>215</v>
      </c>
      <c r="B315" s="41" t="s">
        <v>11</v>
      </c>
      <c r="C315" s="148"/>
      <c r="D315" s="46">
        <f>SUM(D304:D314)</f>
        <v>12.03099048213223</v>
      </c>
      <c r="E315" s="46">
        <f t="shared" ref="E315:N315" si="94">SUM(E304:E314)</f>
        <v>66.065465272012418</v>
      </c>
      <c r="F315" s="46">
        <f t="shared" si="94"/>
        <v>241.12600117989712</v>
      </c>
      <c r="G315" s="46">
        <f t="shared" si="94"/>
        <v>528.81646168834254</v>
      </c>
      <c r="H315" s="46">
        <f t="shared" si="94"/>
        <v>769.23528162563389</v>
      </c>
      <c r="I315" s="46">
        <f t="shared" si="94"/>
        <v>1065.029407836038</v>
      </c>
      <c r="J315" s="46">
        <f t="shared" si="94"/>
        <v>1441.7005197722567</v>
      </c>
      <c r="K315" s="46">
        <f t="shared" si="94"/>
        <v>1750.9489887644434</v>
      </c>
      <c r="L315" s="46">
        <f t="shared" si="94"/>
        <v>1951.9132720507596</v>
      </c>
      <c r="M315" s="46">
        <f t="shared" si="94"/>
        <v>2024.3831679282086</v>
      </c>
      <c r="N315" s="46">
        <f t="shared" si="94"/>
        <v>1012.4966820530296</v>
      </c>
    </row>
    <row r="316" spans="1:16" ht="18" customHeight="1" x14ac:dyDescent="0.25">
      <c r="A316" s="71"/>
      <c r="B316" s="21"/>
      <c r="C316" s="89"/>
      <c r="D316" s="17"/>
      <c r="E316" s="17"/>
      <c r="F316" s="17"/>
      <c r="G316" s="17"/>
      <c r="H316" s="17"/>
      <c r="I316" s="17"/>
      <c r="J316" s="17"/>
      <c r="K316" s="17"/>
      <c r="L316" s="17"/>
      <c r="M316" s="17"/>
      <c r="N316" s="17"/>
    </row>
    <row r="317" spans="1:16" ht="18" customHeight="1" x14ac:dyDescent="0.25">
      <c r="A317" s="71" t="s">
        <v>140</v>
      </c>
      <c r="B317" s="21" t="s">
        <v>11</v>
      </c>
      <c r="C317" s="89"/>
      <c r="D317" s="17">
        <f t="shared" ref="D317:N317" si="95">D315+D242</f>
        <v>151.80494249154071</v>
      </c>
      <c r="E317" s="17">
        <f t="shared" si="95"/>
        <v>468.56725652353481</v>
      </c>
      <c r="F317" s="17">
        <f t="shared" si="95"/>
        <v>287.9650909713539</v>
      </c>
      <c r="G317" s="17">
        <f t="shared" si="95"/>
        <v>362.97189105425571</v>
      </c>
      <c r="H317" s="17">
        <f t="shared" si="95"/>
        <v>1057.7232930786945</v>
      </c>
      <c r="I317" s="17">
        <f t="shared" si="95"/>
        <v>1492.0431381700305</v>
      </c>
      <c r="J317" s="17">
        <f t="shared" si="95"/>
        <v>1306.9655726561646</v>
      </c>
      <c r="K317" s="17">
        <f t="shared" si="95"/>
        <v>1522.0574482086122</v>
      </c>
      <c r="L317" s="17">
        <f t="shared" si="95"/>
        <v>1815.3395190837496</v>
      </c>
      <c r="M317" s="17">
        <f t="shared" si="95"/>
        <v>3328.0243476372216</v>
      </c>
      <c r="N317" s="17">
        <f t="shared" si="95"/>
        <v>2400.6361045858839</v>
      </c>
      <c r="O317" s="139"/>
      <c r="P317" s="139"/>
    </row>
    <row r="318" spans="1:16" ht="15" customHeight="1" x14ac:dyDescent="0.25">
      <c r="A318" s="15"/>
      <c r="B318" s="12"/>
      <c r="C318" s="12"/>
      <c r="D318" s="12"/>
      <c r="E318" s="12"/>
      <c r="F318" s="12"/>
      <c r="G318" s="12"/>
      <c r="H318" s="12"/>
      <c r="I318" s="12"/>
      <c r="J318" s="12"/>
      <c r="K318" s="12"/>
      <c r="L318" s="12"/>
      <c r="M318" s="12"/>
      <c r="N318" s="12"/>
    </row>
    <row r="319" spans="1:16" ht="12.75" customHeight="1" x14ac:dyDescent="0.25"/>
    <row r="323" spans="4:16" ht="12.75" customHeight="1" x14ac:dyDescent="0.25"/>
    <row r="324" spans="4:16" ht="12.75" customHeight="1" x14ac:dyDescent="0.25"/>
    <row r="326" spans="4:16" ht="12.75" customHeight="1" x14ac:dyDescent="0.25"/>
    <row r="332" spans="4:16" ht="12.75" customHeight="1" x14ac:dyDescent="0.25"/>
    <row r="333" spans="4:16" ht="12.75" customHeight="1" x14ac:dyDescent="0.25">
      <c r="N333" s="20"/>
      <c r="O333" s="20"/>
      <c r="P333" s="20"/>
    </row>
    <row r="334" spans="4:16" ht="12.75" customHeight="1" x14ac:dyDescent="0.25">
      <c r="D334" s="12"/>
      <c r="E334" s="12"/>
      <c r="F334" s="12"/>
      <c r="G334" s="12"/>
      <c r="H334" s="12"/>
      <c r="I334" s="12"/>
      <c r="J334" s="12"/>
      <c r="K334" s="12"/>
      <c r="L334" s="12"/>
      <c r="M334" s="12"/>
      <c r="N334" s="12"/>
      <c r="O334" s="12"/>
      <c r="P334" s="12"/>
    </row>
    <row r="335" spans="4:16" ht="12.75" customHeight="1" x14ac:dyDescent="0.25">
      <c r="D335" s="11"/>
      <c r="E335" s="11"/>
      <c r="F335" s="11"/>
      <c r="G335" s="11"/>
      <c r="H335" s="11"/>
      <c r="I335" s="11"/>
      <c r="J335" s="11"/>
      <c r="K335" s="11"/>
      <c r="L335" s="11"/>
      <c r="M335" s="11"/>
      <c r="N335" s="11"/>
      <c r="O335" s="11"/>
      <c r="P335" s="11"/>
    </row>
    <row r="339" spans="4:16" ht="12.75" customHeight="1" x14ac:dyDescent="0.25">
      <c r="D339" s="12"/>
      <c r="E339" s="12"/>
      <c r="F339" s="12"/>
      <c r="G339" s="12"/>
      <c r="H339" s="12"/>
      <c r="I339" s="12"/>
      <c r="J339" s="12"/>
      <c r="K339" s="12"/>
      <c r="L339" s="12"/>
      <c r="M339" s="12"/>
      <c r="N339" s="12"/>
      <c r="O339" s="12"/>
      <c r="P339" s="12"/>
    </row>
    <row r="340" spans="4:16" ht="12.75" customHeight="1" x14ac:dyDescent="0.25">
      <c r="D340" s="12"/>
      <c r="E340" s="12"/>
      <c r="F340" s="12"/>
      <c r="G340" s="12"/>
      <c r="H340" s="12"/>
      <c r="I340" s="12"/>
      <c r="J340" s="12"/>
      <c r="K340" s="12"/>
      <c r="L340" s="12"/>
      <c r="M340" s="12"/>
      <c r="N340" s="12"/>
      <c r="O340" s="12"/>
      <c r="P340" s="12"/>
    </row>
  </sheetData>
  <pageMargins left="0.7" right="0.7" top="0.75" bottom="0.75" header="0.3" footer="0.3"/>
  <pageSetup paperSize="8" scale="42"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2023-03-28T23:05:00Z</dcterms:created>
  <dcterms:modified xsi:type="dcterms:W3CDTF">2023-03-28T23:05:00Z</dcterms:modified>
  <cp:category/>
  <cp:contentStatus/>
</cp:coreProperties>
</file>

<file path=docProps/custom.xml><?xml version="1.0" encoding="utf-8"?>
<op:Properties xmlns:op="http://schemas.openxmlformats.org/officeDocument/2006/custom-properties">
  <op:property fmtid="{D5CDD505-2E9C-101B-9397-08002B2CF9AE}" pid="3" name="_MarkAsFinal">
    <vt:bool xmlns:vt="http://schemas.openxmlformats.org/officeDocument/2006/docPropsVTypes">true</vt:bool>
  </op:property>
</op:Properties>
</file>