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comments8.xml" ContentType="application/vnd.openxmlformats-officedocument.spreadsheetml.comment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comments6.xml" ContentType="application/vnd.openxmlformats-officedocument.spreadsheetml.comments+xml"/>
  <Override PartName="/xl/drawings/drawing17.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drawings/drawing15.xml" ContentType="application/vnd.openxmlformats-officedocument.drawing+xml"/>
  <Override PartName="/xl/comments18.xml" ContentType="application/vnd.openxmlformats-officedocument.spreadsheetml.comment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omments16.xml" ContentType="application/vnd.openxmlformats-officedocument.spreadsheetml.comments+xml"/>
  <Override PartName="/xl/comments17.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trlProps/ctrlProp4.xml" ContentType="application/vnd.ms-excel.controlproperties+xml"/>
  <Override PartName="/xl/ctrlProps/ctrlProp3.xml" ContentType="application/vnd.ms-excel.controlpropertie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comments9.xml" ContentType="application/vnd.openxmlformats-officedocument.spreadsheetml.comments+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drawings/drawing5.xml" ContentType="application/vnd.openxmlformats-officedocument.drawing+xml"/>
  <Override PartName="/xl/comments7.xml" ContentType="application/vnd.openxmlformats-officedocument.spreadsheetml.comments+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comments5.xml" ContentType="application/vnd.openxmlformats-officedocument.spreadsheetml.comments+xml"/>
  <Override PartName="/xl/drawings/drawing16.xml" ContentType="application/vnd.openxmlformats-officedocument.drawing+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5" yWindow="-15" windowWidth="21720" windowHeight="11310"/>
  </bookViews>
  <sheets>
    <sheet name="Cover" sheetId="4" r:id="rId1"/>
    <sheet name="Inputs" sheetId="5" r:id="rId2"/>
    <sheet name="Results" sheetId="49" r:id="rId3"/>
    <sheet name="Timing Assumptions" sheetId="9" r:id="rId4"/>
    <sheet name="Alp" sheetId="2772" r:id="rId5"/>
    <sheet name="Aur" sheetId="2771" r:id="rId6"/>
    <sheet name="Ctl" sheetId="2770" r:id="rId7"/>
    <sheet name="Est" sheetId="2769" r:id="rId8"/>
    <sheet name="Ash" sheetId="2768" r:id="rId9"/>
    <sheet name="Inv" sheetId="2767" r:id="rId10"/>
    <sheet name="Hoz" sheetId="2766" r:id="rId11"/>
    <sheet name="Nel" sheetId="2765" r:id="rId12"/>
    <sheet name="Tas" sheetId="2764" r:id="rId13"/>
    <sheet name="Ota" sheetId="2763" r:id="rId14"/>
    <sheet name="Pco" sheetId="2762" r:id="rId15"/>
    <sheet name="TLC" sheetId="2761" r:id="rId16"/>
    <sheet name="Top" sheetId="2760" r:id="rId17"/>
    <sheet name="Uni" sheetId="2759" r:id="rId18"/>
    <sheet name="Vct" sheetId="2758" r:id="rId19"/>
    <sheet name="Wel" sheetId="2757" r:id="rId20"/>
    <sheet name="CPI" sheetId="2228" r:id="rId21"/>
  </sheets>
  <definedNames>
    <definedName name="BB_CommAssetsBlock">Inputs!$W$55:$AL$60</definedName>
    <definedName name="BB_ConstPriceRevGrwth">Inputs!$W$48:$AL$52</definedName>
    <definedName name="BB_InputsBlock">Inputs!$U$19:$AL$38</definedName>
    <definedName name="BB_OpexBlock">Inputs!$W$41:$AL$45</definedName>
    <definedName name="ChangeCode">Results!$X$4</definedName>
    <definedName name="CommAssetsBlock">Inputs!$D$56:$S$60</definedName>
    <definedName name="ConstPriceRevGrwth">Inputs!$D$48:$S$52</definedName>
    <definedName name="Debt">Inputs!$C$5</definedName>
    <definedName name="INDIRECTformula">Results!$E$2</definedName>
    <definedName name="Inputs_Anchor">Inputs!$B$19</definedName>
    <definedName name="InputsBlock">Inputs!$B$19:$S$39</definedName>
    <definedName name="Leverage">Inputs!$C$6</definedName>
    <definedName name="NamesAnchor">Cover!#REF!</definedName>
    <definedName name="OpexBlock">Inputs!$D$41:$S$45</definedName>
    <definedName name="R_Spec_Rows">#REF!,#REF!,#REF!,#REF!,#REF!,#REF!,#REF!,#REF!,#REF!,#REF!,#REF!,#REF!,#REF!,#REF!,#REF!,#REF!,#REF!</definedName>
    <definedName name="ResultsAnchor">Results!$D$5</definedName>
    <definedName name="WACC">Inputs!$C$4</definedName>
    <definedName name="X_industry_wide">Inputs!$C$8</definedName>
  </definedNames>
  <calcPr calcId="125725"/>
</workbook>
</file>

<file path=xl/calcChain.xml><?xml version="1.0" encoding="utf-8"?>
<calcChain xmlns="http://schemas.openxmlformats.org/spreadsheetml/2006/main">
  <c r="J246" i="2772"/>
  <c r="I246"/>
  <c r="H246"/>
  <c r="G246"/>
  <c r="F246"/>
  <c r="E246"/>
  <c r="I229"/>
  <c r="J223"/>
  <c r="I223"/>
  <c r="H223"/>
  <c r="G223"/>
  <c r="F223"/>
  <c r="E223"/>
  <c r="H212"/>
  <c r="J209"/>
  <c r="I209"/>
  <c r="H209"/>
  <c r="G209"/>
  <c r="F209"/>
  <c r="E209"/>
  <c r="E119"/>
  <c r="E125" s="1"/>
  <c r="E131" s="1"/>
  <c r="F113" s="1"/>
  <c r="E118"/>
  <c r="E124" s="1"/>
  <c r="E130" s="1"/>
  <c r="F112" s="1"/>
  <c r="E117"/>
  <c r="E123" s="1"/>
  <c r="E129" s="1"/>
  <c r="E116"/>
  <c r="E122" s="1"/>
  <c r="E128" s="1"/>
  <c r="F110" s="1"/>
  <c r="E115"/>
  <c r="E121" s="1"/>
  <c r="E127" s="1"/>
  <c r="F109" s="1"/>
  <c r="E114"/>
  <c r="E120" s="1"/>
  <c r="F111"/>
  <c r="J105"/>
  <c r="I105"/>
  <c r="H105"/>
  <c r="G105"/>
  <c r="F105"/>
  <c r="E105"/>
  <c r="E100"/>
  <c r="E81"/>
  <c r="E93" s="1"/>
  <c r="E80"/>
  <c r="E92" s="1"/>
  <c r="E79"/>
  <c r="E91" s="1"/>
  <c r="E78"/>
  <c r="E90" s="1"/>
  <c r="E77"/>
  <c r="E89" s="1"/>
  <c r="E76"/>
  <c r="E88" s="1"/>
  <c r="E102" s="1"/>
  <c r="F68"/>
  <c r="G68" s="1"/>
  <c r="H68" s="1"/>
  <c r="I68" s="1"/>
  <c r="J68" s="1"/>
  <c r="J67"/>
  <c r="I67"/>
  <c r="H67"/>
  <c r="G67"/>
  <c r="F67"/>
  <c r="E67"/>
  <c r="J58"/>
  <c r="I58"/>
  <c r="H58"/>
  <c r="G58"/>
  <c r="F58"/>
  <c r="E58"/>
  <c r="J53"/>
  <c r="I53"/>
  <c r="H53"/>
  <c r="G53"/>
  <c r="F53"/>
  <c r="E53"/>
  <c r="J30"/>
  <c r="I30"/>
  <c r="I249" s="1"/>
  <c r="H30"/>
  <c r="G30"/>
  <c r="F30"/>
  <c r="J29"/>
  <c r="J158" s="1"/>
  <c r="I29"/>
  <c r="I158" s="1"/>
  <c r="H29"/>
  <c r="H158" s="1"/>
  <c r="G29"/>
  <c r="G69" s="1"/>
  <c r="F29"/>
  <c r="F158" s="1"/>
  <c r="J28"/>
  <c r="J189" s="1"/>
  <c r="I28"/>
  <c r="I189" s="1"/>
  <c r="H28"/>
  <c r="H189" s="1"/>
  <c r="G28"/>
  <c r="G189" s="1"/>
  <c r="F28"/>
  <c r="F189" s="1"/>
  <c r="C27"/>
  <c r="C26"/>
  <c r="C25"/>
  <c r="C24"/>
  <c r="C23"/>
  <c r="C22"/>
  <c r="C20"/>
  <c r="C19"/>
  <c r="C18"/>
  <c r="C17"/>
  <c r="C16"/>
  <c r="C15"/>
  <c r="C14"/>
  <c r="C13"/>
  <c r="C12"/>
  <c r="C11"/>
  <c r="C10"/>
  <c r="C9"/>
  <c r="A9"/>
  <c r="E9" s="1"/>
  <c r="E8"/>
  <c r="C8"/>
  <c r="J6"/>
  <c r="I6"/>
  <c r="H6"/>
  <c r="G6"/>
  <c r="F6"/>
  <c r="E6"/>
  <c r="C1"/>
  <c r="E6" i="49" s="1"/>
  <c r="J246" i="2771"/>
  <c r="I246"/>
  <c r="H246"/>
  <c r="G246"/>
  <c r="F246"/>
  <c r="E246"/>
  <c r="I229"/>
  <c r="J223"/>
  <c r="I223"/>
  <c r="H223"/>
  <c r="G223"/>
  <c r="F223"/>
  <c r="E223"/>
  <c r="H212"/>
  <c r="J209"/>
  <c r="I209"/>
  <c r="H209"/>
  <c r="G209"/>
  <c r="F209"/>
  <c r="E209"/>
  <c r="E119"/>
  <c r="F119" s="1"/>
  <c r="G119" s="1"/>
  <c r="H119" s="1"/>
  <c r="I119" s="1"/>
  <c r="J119" s="1"/>
  <c r="E118"/>
  <c r="F118" s="1"/>
  <c r="G118" s="1"/>
  <c r="H118" s="1"/>
  <c r="I118" s="1"/>
  <c r="J118" s="1"/>
  <c r="E117"/>
  <c r="F117" s="1"/>
  <c r="G117" s="1"/>
  <c r="H117" s="1"/>
  <c r="I117" s="1"/>
  <c r="J117" s="1"/>
  <c r="E116"/>
  <c r="F116" s="1"/>
  <c r="G116" s="1"/>
  <c r="H116" s="1"/>
  <c r="I116" s="1"/>
  <c r="J116" s="1"/>
  <c r="E115"/>
  <c r="F115" s="1"/>
  <c r="G115" s="1"/>
  <c r="H115" s="1"/>
  <c r="I115" s="1"/>
  <c r="J115" s="1"/>
  <c r="E114"/>
  <c r="F114" s="1"/>
  <c r="G114" s="1"/>
  <c r="H114" s="1"/>
  <c r="I114" s="1"/>
  <c r="J114" s="1"/>
  <c r="J105"/>
  <c r="I105"/>
  <c r="H105"/>
  <c r="G105"/>
  <c r="F105"/>
  <c r="E105"/>
  <c r="E100"/>
  <c r="E81"/>
  <c r="E93" s="1"/>
  <c r="E80"/>
  <c r="E92" s="1"/>
  <c r="E79"/>
  <c r="E91" s="1"/>
  <c r="E78"/>
  <c r="E90" s="1"/>
  <c r="E77"/>
  <c r="E89" s="1"/>
  <c r="E76"/>
  <c r="E88" s="1"/>
  <c r="G68"/>
  <c r="H68" s="1"/>
  <c r="I68" s="1"/>
  <c r="J68" s="1"/>
  <c r="F68"/>
  <c r="J67"/>
  <c r="I67"/>
  <c r="H67"/>
  <c r="G67"/>
  <c r="F67"/>
  <c r="E67"/>
  <c r="J58"/>
  <c r="I58"/>
  <c r="H58"/>
  <c r="G58"/>
  <c r="F58"/>
  <c r="E58"/>
  <c r="J53"/>
  <c r="I53"/>
  <c r="H53"/>
  <c r="G53"/>
  <c r="F53"/>
  <c r="E53"/>
  <c r="J30"/>
  <c r="I30"/>
  <c r="H30"/>
  <c r="G30"/>
  <c r="F30"/>
  <c r="J29"/>
  <c r="J69" s="1"/>
  <c r="I29"/>
  <c r="H29"/>
  <c r="H107" s="1"/>
  <c r="G29"/>
  <c r="F29"/>
  <c r="F107" s="1"/>
  <c r="J28"/>
  <c r="J189" s="1"/>
  <c r="I28"/>
  <c r="I189" s="1"/>
  <c r="H28"/>
  <c r="H189" s="1"/>
  <c r="G28"/>
  <c r="G189" s="1"/>
  <c r="F28"/>
  <c r="F189" s="1"/>
  <c r="C27"/>
  <c r="C26"/>
  <c r="C25"/>
  <c r="C24"/>
  <c r="C23"/>
  <c r="C22"/>
  <c r="C20"/>
  <c r="C19"/>
  <c r="C18"/>
  <c r="C17"/>
  <c r="C16"/>
  <c r="C15"/>
  <c r="C14"/>
  <c r="C13"/>
  <c r="C12"/>
  <c r="C11"/>
  <c r="C10"/>
  <c r="C9"/>
  <c r="A9"/>
  <c r="E9" s="1"/>
  <c r="E8"/>
  <c r="C8"/>
  <c r="J6"/>
  <c r="I6"/>
  <c r="H6"/>
  <c r="G6"/>
  <c r="F6"/>
  <c r="E6"/>
  <c r="C1"/>
  <c r="F6" i="49" s="1"/>
  <c r="J246" i="2770"/>
  <c r="I246"/>
  <c r="H246"/>
  <c r="G246"/>
  <c r="F246"/>
  <c r="E246"/>
  <c r="I229"/>
  <c r="J223"/>
  <c r="I223"/>
  <c r="H223"/>
  <c r="G223"/>
  <c r="F223"/>
  <c r="E223"/>
  <c r="H212"/>
  <c r="J209"/>
  <c r="I209"/>
  <c r="H209"/>
  <c r="G209"/>
  <c r="F209"/>
  <c r="E209"/>
  <c r="E119"/>
  <c r="F119" s="1"/>
  <c r="G119" s="1"/>
  <c r="H119" s="1"/>
  <c r="I119" s="1"/>
  <c r="J119" s="1"/>
  <c r="E118"/>
  <c r="F118" s="1"/>
  <c r="G118" s="1"/>
  <c r="H118" s="1"/>
  <c r="I118" s="1"/>
  <c r="J118" s="1"/>
  <c r="E117"/>
  <c r="F117" s="1"/>
  <c r="G117" s="1"/>
  <c r="H117" s="1"/>
  <c r="I117" s="1"/>
  <c r="J117" s="1"/>
  <c r="E116"/>
  <c r="F116" s="1"/>
  <c r="G116" s="1"/>
  <c r="H116" s="1"/>
  <c r="I116" s="1"/>
  <c r="J116" s="1"/>
  <c r="E115"/>
  <c r="F115" s="1"/>
  <c r="G115" s="1"/>
  <c r="H115" s="1"/>
  <c r="I115" s="1"/>
  <c r="J115" s="1"/>
  <c r="E114"/>
  <c r="F114" s="1"/>
  <c r="G114" s="1"/>
  <c r="H114" s="1"/>
  <c r="I114" s="1"/>
  <c r="J114" s="1"/>
  <c r="J105"/>
  <c r="I105"/>
  <c r="H105"/>
  <c r="G105"/>
  <c r="F105"/>
  <c r="E105"/>
  <c r="E100"/>
  <c r="E81"/>
  <c r="E93" s="1"/>
  <c r="E80"/>
  <c r="E92" s="1"/>
  <c r="E79"/>
  <c r="E91" s="1"/>
  <c r="E78"/>
  <c r="E90" s="1"/>
  <c r="E77"/>
  <c r="E89" s="1"/>
  <c r="E76"/>
  <c r="E88" s="1"/>
  <c r="F68"/>
  <c r="G68" s="1"/>
  <c r="H68" s="1"/>
  <c r="I68" s="1"/>
  <c r="J68" s="1"/>
  <c r="J67"/>
  <c r="I67"/>
  <c r="H67"/>
  <c r="G67"/>
  <c r="F67"/>
  <c r="E67"/>
  <c r="J58"/>
  <c r="I58"/>
  <c r="H58"/>
  <c r="G58"/>
  <c r="F58"/>
  <c r="E58"/>
  <c r="J53"/>
  <c r="I53"/>
  <c r="H53"/>
  <c r="G53"/>
  <c r="F53"/>
  <c r="E53"/>
  <c r="J30"/>
  <c r="I30"/>
  <c r="H30"/>
  <c r="G30"/>
  <c r="F30"/>
  <c r="J29"/>
  <c r="J69" s="1"/>
  <c r="I29"/>
  <c r="H29"/>
  <c r="H107" s="1"/>
  <c r="G29"/>
  <c r="F29"/>
  <c r="F107" s="1"/>
  <c r="J28"/>
  <c r="J189" s="1"/>
  <c r="I28"/>
  <c r="I189" s="1"/>
  <c r="H28"/>
  <c r="H189" s="1"/>
  <c r="G28"/>
  <c r="G189" s="1"/>
  <c r="F28"/>
  <c r="F189" s="1"/>
  <c r="C27"/>
  <c r="C26"/>
  <c r="C25"/>
  <c r="C24"/>
  <c r="C23"/>
  <c r="C22"/>
  <c r="C20"/>
  <c r="C19"/>
  <c r="C18"/>
  <c r="C17"/>
  <c r="C16"/>
  <c r="C15"/>
  <c r="C14"/>
  <c r="C13"/>
  <c r="C12"/>
  <c r="C11"/>
  <c r="C10"/>
  <c r="C9"/>
  <c r="A9"/>
  <c r="E9" s="1"/>
  <c r="E8"/>
  <c r="C8"/>
  <c r="J6"/>
  <c r="I6"/>
  <c r="H6"/>
  <c r="G6"/>
  <c r="F6"/>
  <c r="E6"/>
  <c r="C1"/>
  <c r="G6" i="49" s="1"/>
  <c r="J246" i="2769"/>
  <c r="I246"/>
  <c r="H246"/>
  <c r="G246"/>
  <c r="F246"/>
  <c r="E246"/>
  <c r="I229"/>
  <c r="J223"/>
  <c r="I223"/>
  <c r="H223"/>
  <c r="G223"/>
  <c r="F223"/>
  <c r="E223"/>
  <c r="H212"/>
  <c r="J209"/>
  <c r="I209"/>
  <c r="H209"/>
  <c r="G209"/>
  <c r="F209"/>
  <c r="E209"/>
  <c r="E119"/>
  <c r="F119" s="1"/>
  <c r="G119" s="1"/>
  <c r="H119" s="1"/>
  <c r="I119" s="1"/>
  <c r="J119" s="1"/>
  <c r="E118"/>
  <c r="F118" s="1"/>
  <c r="G118" s="1"/>
  <c r="H118" s="1"/>
  <c r="I118" s="1"/>
  <c r="J118" s="1"/>
  <c r="E117"/>
  <c r="F117" s="1"/>
  <c r="G117" s="1"/>
  <c r="H117" s="1"/>
  <c r="I117" s="1"/>
  <c r="J117" s="1"/>
  <c r="E116"/>
  <c r="F116" s="1"/>
  <c r="G116" s="1"/>
  <c r="H116" s="1"/>
  <c r="I116" s="1"/>
  <c r="J116" s="1"/>
  <c r="E115"/>
  <c r="F115" s="1"/>
  <c r="G115" s="1"/>
  <c r="H115" s="1"/>
  <c r="I115" s="1"/>
  <c r="J115" s="1"/>
  <c r="E114"/>
  <c r="F114" s="1"/>
  <c r="G114" s="1"/>
  <c r="H114" s="1"/>
  <c r="I114" s="1"/>
  <c r="J114" s="1"/>
  <c r="J105"/>
  <c r="I105"/>
  <c r="H105"/>
  <c r="G105"/>
  <c r="F105"/>
  <c r="E105"/>
  <c r="E100"/>
  <c r="E81"/>
  <c r="F81" s="1"/>
  <c r="G81" s="1"/>
  <c r="H81" s="1"/>
  <c r="I81" s="1"/>
  <c r="J81" s="1"/>
  <c r="E80"/>
  <c r="F80" s="1"/>
  <c r="G80" s="1"/>
  <c r="H80" s="1"/>
  <c r="I80" s="1"/>
  <c r="J80" s="1"/>
  <c r="E79"/>
  <c r="F79" s="1"/>
  <c r="G79" s="1"/>
  <c r="H79" s="1"/>
  <c r="I79" s="1"/>
  <c r="J79" s="1"/>
  <c r="E78"/>
  <c r="F78" s="1"/>
  <c r="G78" s="1"/>
  <c r="H78" s="1"/>
  <c r="I78" s="1"/>
  <c r="J78" s="1"/>
  <c r="E77"/>
  <c r="F77" s="1"/>
  <c r="G77" s="1"/>
  <c r="H77" s="1"/>
  <c r="I77" s="1"/>
  <c r="J77" s="1"/>
  <c r="E76"/>
  <c r="F76" s="1"/>
  <c r="G76" s="1"/>
  <c r="H76" s="1"/>
  <c r="I76" s="1"/>
  <c r="J76" s="1"/>
  <c r="F68"/>
  <c r="G68" s="1"/>
  <c r="H68" s="1"/>
  <c r="I68" s="1"/>
  <c r="J68" s="1"/>
  <c r="J67"/>
  <c r="I67"/>
  <c r="H67"/>
  <c r="G67"/>
  <c r="F67"/>
  <c r="E67"/>
  <c r="J58"/>
  <c r="I58"/>
  <c r="H58"/>
  <c r="G58"/>
  <c r="F58"/>
  <c r="E58"/>
  <c r="J53"/>
  <c r="I53"/>
  <c r="H53"/>
  <c r="G53"/>
  <c r="F53"/>
  <c r="E53"/>
  <c r="J30"/>
  <c r="J249" s="1"/>
  <c r="I30"/>
  <c r="H30"/>
  <c r="H249" s="1"/>
  <c r="G30"/>
  <c r="F30"/>
  <c r="J29"/>
  <c r="I29"/>
  <c r="I158" s="1"/>
  <c r="H29"/>
  <c r="H172" s="1"/>
  <c r="G29"/>
  <c r="G158" s="1"/>
  <c r="F29"/>
  <c r="F172" s="1"/>
  <c r="J28"/>
  <c r="J189" s="1"/>
  <c r="I28"/>
  <c r="I189" s="1"/>
  <c r="H28"/>
  <c r="H189" s="1"/>
  <c r="G28"/>
  <c r="G189" s="1"/>
  <c r="F28"/>
  <c r="F189" s="1"/>
  <c r="C27"/>
  <c r="C26"/>
  <c r="C25"/>
  <c r="C24"/>
  <c r="C23"/>
  <c r="C22"/>
  <c r="C20"/>
  <c r="C19"/>
  <c r="C18"/>
  <c r="C17"/>
  <c r="C16"/>
  <c r="C15"/>
  <c r="C14"/>
  <c r="C13"/>
  <c r="C12"/>
  <c r="C11"/>
  <c r="C10"/>
  <c r="C9"/>
  <c r="A9"/>
  <c r="A10" s="1"/>
  <c r="E8"/>
  <c r="C8"/>
  <c r="J6"/>
  <c r="I6"/>
  <c r="H6"/>
  <c r="G6"/>
  <c r="F6"/>
  <c r="E6"/>
  <c r="C1"/>
  <c r="H6" i="49" s="1"/>
  <c r="J246" i="2768"/>
  <c r="I246"/>
  <c r="H246"/>
  <c r="G246"/>
  <c r="F246"/>
  <c r="E246"/>
  <c r="I229"/>
  <c r="J223"/>
  <c r="I223"/>
  <c r="H223"/>
  <c r="G223"/>
  <c r="F223"/>
  <c r="E223"/>
  <c r="H212"/>
  <c r="J209"/>
  <c r="I209"/>
  <c r="H209"/>
  <c r="G209"/>
  <c r="F209"/>
  <c r="E209"/>
  <c r="E119"/>
  <c r="F119" s="1"/>
  <c r="G119" s="1"/>
  <c r="H119" s="1"/>
  <c r="I119" s="1"/>
  <c r="J119" s="1"/>
  <c r="E118"/>
  <c r="F118" s="1"/>
  <c r="G118" s="1"/>
  <c r="H118" s="1"/>
  <c r="I118" s="1"/>
  <c r="J118" s="1"/>
  <c r="E117"/>
  <c r="F117" s="1"/>
  <c r="G117" s="1"/>
  <c r="H117" s="1"/>
  <c r="I117" s="1"/>
  <c r="J117" s="1"/>
  <c r="E116"/>
  <c r="F116" s="1"/>
  <c r="G116" s="1"/>
  <c r="H116" s="1"/>
  <c r="I116" s="1"/>
  <c r="J116" s="1"/>
  <c r="E115"/>
  <c r="F115" s="1"/>
  <c r="G115" s="1"/>
  <c r="H115" s="1"/>
  <c r="I115" s="1"/>
  <c r="J115" s="1"/>
  <c r="E114"/>
  <c r="F114" s="1"/>
  <c r="G114" s="1"/>
  <c r="H114" s="1"/>
  <c r="I114" s="1"/>
  <c r="J114" s="1"/>
  <c r="J105"/>
  <c r="I105"/>
  <c r="H105"/>
  <c r="G105"/>
  <c r="F105"/>
  <c r="E105"/>
  <c r="E100"/>
  <c r="E81"/>
  <c r="F81" s="1"/>
  <c r="G81" s="1"/>
  <c r="H81" s="1"/>
  <c r="I81" s="1"/>
  <c r="J81" s="1"/>
  <c r="E80"/>
  <c r="F80" s="1"/>
  <c r="G80" s="1"/>
  <c r="H80" s="1"/>
  <c r="I80" s="1"/>
  <c r="J80" s="1"/>
  <c r="E79"/>
  <c r="F79" s="1"/>
  <c r="G79" s="1"/>
  <c r="H79" s="1"/>
  <c r="I79" s="1"/>
  <c r="J79" s="1"/>
  <c r="E78"/>
  <c r="F78" s="1"/>
  <c r="G78" s="1"/>
  <c r="H78" s="1"/>
  <c r="I78" s="1"/>
  <c r="J78" s="1"/>
  <c r="E77"/>
  <c r="F77" s="1"/>
  <c r="G77" s="1"/>
  <c r="H77" s="1"/>
  <c r="I77" s="1"/>
  <c r="J77" s="1"/>
  <c r="E76"/>
  <c r="F76" s="1"/>
  <c r="G76" s="1"/>
  <c r="H76" s="1"/>
  <c r="I76" s="1"/>
  <c r="J76" s="1"/>
  <c r="F68"/>
  <c r="G68" s="1"/>
  <c r="H68" s="1"/>
  <c r="I68" s="1"/>
  <c r="J68" s="1"/>
  <c r="J67"/>
  <c r="I67"/>
  <c r="H67"/>
  <c r="G67"/>
  <c r="F67"/>
  <c r="E67"/>
  <c r="J58"/>
  <c r="I58"/>
  <c r="H58"/>
  <c r="G58"/>
  <c r="F58"/>
  <c r="E58"/>
  <c r="J53"/>
  <c r="I53"/>
  <c r="H53"/>
  <c r="G53"/>
  <c r="F53"/>
  <c r="E53"/>
  <c r="J30"/>
  <c r="I30"/>
  <c r="H30"/>
  <c r="G30"/>
  <c r="F30"/>
  <c r="J29"/>
  <c r="I29"/>
  <c r="I107" s="1"/>
  <c r="H29"/>
  <c r="G29"/>
  <c r="G107" s="1"/>
  <c r="F29"/>
  <c r="J28"/>
  <c r="J189" s="1"/>
  <c r="I28"/>
  <c r="I189" s="1"/>
  <c r="H28"/>
  <c r="H189" s="1"/>
  <c r="G28"/>
  <c r="G189" s="1"/>
  <c r="F28"/>
  <c r="F189" s="1"/>
  <c r="C27"/>
  <c r="C26"/>
  <c r="C25"/>
  <c r="C24"/>
  <c r="C23"/>
  <c r="C22"/>
  <c r="C20"/>
  <c r="C19"/>
  <c r="C18"/>
  <c r="C17"/>
  <c r="C16"/>
  <c r="C15"/>
  <c r="C14"/>
  <c r="C13"/>
  <c r="C12"/>
  <c r="C11"/>
  <c r="C10"/>
  <c r="C9"/>
  <c r="A9"/>
  <c r="E9" s="1"/>
  <c r="E8"/>
  <c r="C8"/>
  <c r="J6"/>
  <c r="I6"/>
  <c r="H6"/>
  <c r="G6"/>
  <c r="F6"/>
  <c r="E6"/>
  <c r="C1"/>
  <c r="I6" i="49" s="1"/>
  <c r="J246" i="2767"/>
  <c r="I246"/>
  <c r="H246"/>
  <c r="G246"/>
  <c r="F246"/>
  <c r="E246"/>
  <c r="I229"/>
  <c r="J223"/>
  <c r="I223"/>
  <c r="H223"/>
  <c r="G223"/>
  <c r="F223"/>
  <c r="E223"/>
  <c r="H212"/>
  <c r="J209"/>
  <c r="I209"/>
  <c r="H209"/>
  <c r="G209"/>
  <c r="F209"/>
  <c r="E209"/>
  <c r="E119"/>
  <c r="F119" s="1"/>
  <c r="G119" s="1"/>
  <c r="H119" s="1"/>
  <c r="I119" s="1"/>
  <c r="J119" s="1"/>
  <c r="E118"/>
  <c r="F118" s="1"/>
  <c r="G118" s="1"/>
  <c r="H118" s="1"/>
  <c r="I118" s="1"/>
  <c r="J118" s="1"/>
  <c r="E117"/>
  <c r="F117" s="1"/>
  <c r="G117" s="1"/>
  <c r="H117" s="1"/>
  <c r="I117" s="1"/>
  <c r="J117" s="1"/>
  <c r="E116"/>
  <c r="F116" s="1"/>
  <c r="G116" s="1"/>
  <c r="H116" s="1"/>
  <c r="I116" s="1"/>
  <c r="J116" s="1"/>
  <c r="E115"/>
  <c r="F115" s="1"/>
  <c r="G115" s="1"/>
  <c r="H115" s="1"/>
  <c r="I115" s="1"/>
  <c r="J115" s="1"/>
  <c r="E114"/>
  <c r="F114" s="1"/>
  <c r="G114" s="1"/>
  <c r="H114" s="1"/>
  <c r="I114" s="1"/>
  <c r="J114" s="1"/>
  <c r="J105"/>
  <c r="I105"/>
  <c r="H105"/>
  <c r="G105"/>
  <c r="F105"/>
  <c r="E105"/>
  <c r="E100"/>
  <c r="E81"/>
  <c r="E93" s="1"/>
  <c r="E80"/>
  <c r="E92" s="1"/>
  <c r="E79"/>
  <c r="E91" s="1"/>
  <c r="E78"/>
  <c r="E90" s="1"/>
  <c r="E77"/>
  <c r="E89" s="1"/>
  <c r="E76"/>
  <c r="E88" s="1"/>
  <c r="E102" s="1"/>
  <c r="F68"/>
  <c r="G68" s="1"/>
  <c r="H68" s="1"/>
  <c r="I68" s="1"/>
  <c r="J68" s="1"/>
  <c r="J67"/>
  <c r="I67"/>
  <c r="H67"/>
  <c r="G67"/>
  <c r="F67"/>
  <c r="E67"/>
  <c r="J58"/>
  <c r="I58"/>
  <c r="H58"/>
  <c r="G58"/>
  <c r="F58"/>
  <c r="E58"/>
  <c r="J53"/>
  <c r="I53"/>
  <c r="H53"/>
  <c r="G53"/>
  <c r="F53"/>
  <c r="E53"/>
  <c r="J30"/>
  <c r="I30"/>
  <c r="H30"/>
  <c r="G30"/>
  <c r="F30"/>
  <c r="J29"/>
  <c r="J69" s="1"/>
  <c r="I29"/>
  <c r="H29"/>
  <c r="H107" s="1"/>
  <c r="G29"/>
  <c r="F29"/>
  <c r="F107" s="1"/>
  <c r="J28"/>
  <c r="J189" s="1"/>
  <c r="I28"/>
  <c r="I189" s="1"/>
  <c r="H28"/>
  <c r="H189" s="1"/>
  <c r="G28"/>
  <c r="G189" s="1"/>
  <c r="F28"/>
  <c r="F189" s="1"/>
  <c r="C27"/>
  <c r="C26"/>
  <c r="C25"/>
  <c r="C24"/>
  <c r="C23"/>
  <c r="C22"/>
  <c r="C20"/>
  <c r="C19"/>
  <c r="C18"/>
  <c r="C17"/>
  <c r="C16"/>
  <c r="C15"/>
  <c r="C14"/>
  <c r="C13"/>
  <c r="C12"/>
  <c r="C11"/>
  <c r="C10"/>
  <c r="C9"/>
  <c r="A9"/>
  <c r="A10" s="1"/>
  <c r="E8"/>
  <c r="C8"/>
  <c r="J6"/>
  <c r="I6"/>
  <c r="H6"/>
  <c r="G6"/>
  <c r="F6"/>
  <c r="E6"/>
  <c r="C1"/>
  <c r="J6" i="49" s="1"/>
  <c r="J246" i="2766"/>
  <c r="I246"/>
  <c r="H246"/>
  <c r="G246"/>
  <c r="F246"/>
  <c r="E246"/>
  <c r="I229"/>
  <c r="J223"/>
  <c r="I223"/>
  <c r="H223"/>
  <c r="G223"/>
  <c r="F223"/>
  <c r="E223"/>
  <c r="H212"/>
  <c r="J209"/>
  <c r="I209"/>
  <c r="H209"/>
  <c r="G209"/>
  <c r="F209"/>
  <c r="E209"/>
  <c r="E119"/>
  <c r="F119" s="1"/>
  <c r="G119" s="1"/>
  <c r="H119" s="1"/>
  <c r="I119" s="1"/>
  <c r="J119" s="1"/>
  <c r="E118"/>
  <c r="F118" s="1"/>
  <c r="G118" s="1"/>
  <c r="H118" s="1"/>
  <c r="I118" s="1"/>
  <c r="J118" s="1"/>
  <c r="E117"/>
  <c r="F117" s="1"/>
  <c r="G117" s="1"/>
  <c r="H117" s="1"/>
  <c r="I117" s="1"/>
  <c r="J117" s="1"/>
  <c r="E116"/>
  <c r="F116" s="1"/>
  <c r="G116" s="1"/>
  <c r="H116" s="1"/>
  <c r="I116" s="1"/>
  <c r="J116" s="1"/>
  <c r="E115"/>
  <c r="F115" s="1"/>
  <c r="G115" s="1"/>
  <c r="H115" s="1"/>
  <c r="I115" s="1"/>
  <c r="J115" s="1"/>
  <c r="E114"/>
  <c r="F114" s="1"/>
  <c r="G114" s="1"/>
  <c r="H114" s="1"/>
  <c r="I114" s="1"/>
  <c r="J114" s="1"/>
  <c r="J105"/>
  <c r="I105"/>
  <c r="H105"/>
  <c r="G105"/>
  <c r="F105"/>
  <c r="E105"/>
  <c r="E100"/>
  <c r="E81"/>
  <c r="F81" s="1"/>
  <c r="G81" s="1"/>
  <c r="H81" s="1"/>
  <c r="I81" s="1"/>
  <c r="J81" s="1"/>
  <c r="E80"/>
  <c r="F80" s="1"/>
  <c r="G80" s="1"/>
  <c r="H80" s="1"/>
  <c r="I80" s="1"/>
  <c r="J80" s="1"/>
  <c r="E79"/>
  <c r="F79" s="1"/>
  <c r="G79" s="1"/>
  <c r="H79" s="1"/>
  <c r="I79" s="1"/>
  <c r="J79" s="1"/>
  <c r="E78"/>
  <c r="F78" s="1"/>
  <c r="G78" s="1"/>
  <c r="H78" s="1"/>
  <c r="I78" s="1"/>
  <c r="J78" s="1"/>
  <c r="E77"/>
  <c r="F77" s="1"/>
  <c r="G77" s="1"/>
  <c r="H77" s="1"/>
  <c r="I77" s="1"/>
  <c r="J77" s="1"/>
  <c r="E76"/>
  <c r="F76" s="1"/>
  <c r="G76" s="1"/>
  <c r="H76" s="1"/>
  <c r="I76" s="1"/>
  <c r="J76" s="1"/>
  <c r="F68"/>
  <c r="G68" s="1"/>
  <c r="H68" s="1"/>
  <c r="I68" s="1"/>
  <c r="J68" s="1"/>
  <c r="J67"/>
  <c r="I67"/>
  <c r="H67"/>
  <c r="G67"/>
  <c r="F67"/>
  <c r="E67"/>
  <c r="J58"/>
  <c r="I58"/>
  <c r="H58"/>
  <c r="G58"/>
  <c r="F58"/>
  <c r="E58"/>
  <c r="J53"/>
  <c r="I53"/>
  <c r="H53"/>
  <c r="G53"/>
  <c r="F53"/>
  <c r="E53"/>
  <c r="J30"/>
  <c r="I30"/>
  <c r="H30"/>
  <c r="G30"/>
  <c r="F30"/>
  <c r="J29"/>
  <c r="I29"/>
  <c r="I107" s="1"/>
  <c r="H29"/>
  <c r="G29"/>
  <c r="G107" s="1"/>
  <c r="F29"/>
  <c r="J28"/>
  <c r="J189" s="1"/>
  <c r="I28"/>
  <c r="I189" s="1"/>
  <c r="H28"/>
  <c r="H189" s="1"/>
  <c r="G28"/>
  <c r="G189" s="1"/>
  <c r="F28"/>
  <c r="F189" s="1"/>
  <c r="C27"/>
  <c r="C26"/>
  <c r="C25"/>
  <c r="C24"/>
  <c r="C23"/>
  <c r="C22"/>
  <c r="C20"/>
  <c r="C19"/>
  <c r="C18"/>
  <c r="C17"/>
  <c r="C16"/>
  <c r="C15"/>
  <c r="C14"/>
  <c r="C13"/>
  <c r="C12"/>
  <c r="C11"/>
  <c r="C10"/>
  <c r="C9"/>
  <c r="A9"/>
  <c r="E9" s="1"/>
  <c r="E8"/>
  <c r="C8"/>
  <c r="J6"/>
  <c r="I6"/>
  <c r="H6"/>
  <c r="G6"/>
  <c r="F6"/>
  <c r="E6"/>
  <c r="C1"/>
  <c r="K6" i="49" s="1"/>
  <c r="J246" i="2765"/>
  <c r="I246"/>
  <c r="H246"/>
  <c r="G246"/>
  <c r="F246"/>
  <c r="E246"/>
  <c r="I229"/>
  <c r="J223"/>
  <c r="I223"/>
  <c r="H223"/>
  <c r="G223"/>
  <c r="F223"/>
  <c r="E223"/>
  <c r="H212"/>
  <c r="J209"/>
  <c r="I209"/>
  <c r="H209"/>
  <c r="G209"/>
  <c r="F209"/>
  <c r="E209"/>
  <c r="E119"/>
  <c r="F119" s="1"/>
  <c r="G119" s="1"/>
  <c r="H119" s="1"/>
  <c r="I119" s="1"/>
  <c r="J119" s="1"/>
  <c r="E118"/>
  <c r="F118" s="1"/>
  <c r="G118" s="1"/>
  <c r="H118" s="1"/>
  <c r="I118" s="1"/>
  <c r="J118" s="1"/>
  <c r="E117"/>
  <c r="F117" s="1"/>
  <c r="G117" s="1"/>
  <c r="H117" s="1"/>
  <c r="I117" s="1"/>
  <c r="J117" s="1"/>
  <c r="E116"/>
  <c r="F116" s="1"/>
  <c r="G116" s="1"/>
  <c r="H116" s="1"/>
  <c r="I116" s="1"/>
  <c r="J116" s="1"/>
  <c r="E115"/>
  <c r="F115" s="1"/>
  <c r="G115" s="1"/>
  <c r="H115" s="1"/>
  <c r="I115" s="1"/>
  <c r="J115" s="1"/>
  <c r="E114"/>
  <c r="F114" s="1"/>
  <c r="G114" s="1"/>
  <c r="H114" s="1"/>
  <c r="I114" s="1"/>
  <c r="J114" s="1"/>
  <c r="J105"/>
  <c r="I105"/>
  <c r="H105"/>
  <c r="G105"/>
  <c r="F105"/>
  <c r="E105"/>
  <c r="E100"/>
  <c r="E81"/>
  <c r="E93" s="1"/>
  <c r="E80"/>
  <c r="E92" s="1"/>
  <c r="E79"/>
  <c r="E91" s="1"/>
  <c r="E78"/>
  <c r="E90" s="1"/>
  <c r="E77"/>
  <c r="E89" s="1"/>
  <c r="E76"/>
  <c r="E88" s="1"/>
  <c r="F68"/>
  <c r="G68" s="1"/>
  <c r="H68" s="1"/>
  <c r="I68" s="1"/>
  <c r="J68" s="1"/>
  <c r="J67"/>
  <c r="I67"/>
  <c r="H67"/>
  <c r="G67"/>
  <c r="F67"/>
  <c r="E67"/>
  <c r="J58"/>
  <c r="I58"/>
  <c r="H58"/>
  <c r="G58"/>
  <c r="F58"/>
  <c r="E58"/>
  <c r="J53"/>
  <c r="I53"/>
  <c r="H53"/>
  <c r="G53"/>
  <c r="F53"/>
  <c r="E53"/>
  <c r="J30"/>
  <c r="I30"/>
  <c r="H30"/>
  <c r="G30"/>
  <c r="F30"/>
  <c r="J29"/>
  <c r="J69" s="1"/>
  <c r="I29"/>
  <c r="H29"/>
  <c r="H107" s="1"/>
  <c r="G29"/>
  <c r="F29"/>
  <c r="F107" s="1"/>
  <c r="J28"/>
  <c r="J189" s="1"/>
  <c r="I28"/>
  <c r="I189" s="1"/>
  <c r="H28"/>
  <c r="H189" s="1"/>
  <c r="G28"/>
  <c r="G189" s="1"/>
  <c r="F28"/>
  <c r="F189" s="1"/>
  <c r="C27"/>
  <c r="C26"/>
  <c r="C25"/>
  <c r="C24"/>
  <c r="C23"/>
  <c r="C22"/>
  <c r="C20"/>
  <c r="C19"/>
  <c r="C18"/>
  <c r="C17"/>
  <c r="C16"/>
  <c r="C15"/>
  <c r="C14"/>
  <c r="C13"/>
  <c r="C12"/>
  <c r="C11"/>
  <c r="C10"/>
  <c r="C9"/>
  <c r="A9"/>
  <c r="A10" s="1"/>
  <c r="E8"/>
  <c r="C8"/>
  <c r="J6"/>
  <c r="I6"/>
  <c r="H6"/>
  <c r="G6"/>
  <c r="F6"/>
  <c r="E6"/>
  <c r="C1"/>
  <c r="L6" i="49" s="1"/>
  <c r="J246" i="2764"/>
  <c r="I246"/>
  <c r="H246"/>
  <c r="G246"/>
  <c r="F246"/>
  <c r="E246"/>
  <c r="I229"/>
  <c r="J223"/>
  <c r="I223"/>
  <c r="H223"/>
  <c r="G223"/>
  <c r="F223"/>
  <c r="E223"/>
  <c r="H212"/>
  <c r="J209"/>
  <c r="I209"/>
  <c r="H209"/>
  <c r="G209"/>
  <c r="F209"/>
  <c r="E209"/>
  <c r="E119"/>
  <c r="F119" s="1"/>
  <c r="G119" s="1"/>
  <c r="H119" s="1"/>
  <c r="I119" s="1"/>
  <c r="J119" s="1"/>
  <c r="E118"/>
  <c r="F118" s="1"/>
  <c r="G118" s="1"/>
  <c r="H118" s="1"/>
  <c r="I118" s="1"/>
  <c r="J118" s="1"/>
  <c r="E117"/>
  <c r="F117" s="1"/>
  <c r="G117" s="1"/>
  <c r="H117" s="1"/>
  <c r="I117" s="1"/>
  <c r="J117" s="1"/>
  <c r="E116"/>
  <c r="F116" s="1"/>
  <c r="G116" s="1"/>
  <c r="H116" s="1"/>
  <c r="I116" s="1"/>
  <c r="J116" s="1"/>
  <c r="E115"/>
  <c r="F115" s="1"/>
  <c r="G115" s="1"/>
  <c r="H115" s="1"/>
  <c r="I115" s="1"/>
  <c r="J115" s="1"/>
  <c r="E114"/>
  <c r="F114" s="1"/>
  <c r="G114" s="1"/>
  <c r="H114" s="1"/>
  <c r="I114" s="1"/>
  <c r="J114" s="1"/>
  <c r="J105"/>
  <c r="I105"/>
  <c r="H105"/>
  <c r="G105"/>
  <c r="F105"/>
  <c r="E105"/>
  <c r="E100"/>
  <c r="E81"/>
  <c r="E93" s="1"/>
  <c r="E80"/>
  <c r="E92" s="1"/>
  <c r="E79"/>
  <c r="E91" s="1"/>
  <c r="E78"/>
  <c r="E90" s="1"/>
  <c r="E77"/>
  <c r="E89" s="1"/>
  <c r="E76"/>
  <c r="E88" s="1"/>
  <c r="F68"/>
  <c r="G68" s="1"/>
  <c r="H68" s="1"/>
  <c r="I68" s="1"/>
  <c r="J68" s="1"/>
  <c r="J67"/>
  <c r="I67"/>
  <c r="H67"/>
  <c r="G67"/>
  <c r="F67"/>
  <c r="E67"/>
  <c r="J58"/>
  <c r="I58"/>
  <c r="H58"/>
  <c r="G58"/>
  <c r="F58"/>
  <c r="E58"/>
  <c r="J53"/>
  <c r="I53"/>
  <c r="H53"/>
  <c r="G53"/>
  <c r="F53"/>
  <c r="E53"/>
  <c r="J30"/>
  <c r="I30"/>
  <c r="H30"/>
  <c r="G30"/>
  <c r="F30"/>
  <c r="J29"/>
  <c r="J69" s="1"/>
  <c r="I29"/>
  <c r="H29"/>
  <c r="H107" s="1"/>
  <c r="G29"/>
  <c r="F29"/>
  <c r="F107" s="1"/>
  <c r="J28"/>
  <c r="J189" s="1"/>
  <c r="I28"/>
  <c r="I189" s="1"/>
  <c r="H28"/>
  <c r="H189" s="1"/>
  <c r="G28"/>
  <c r="G189" s="1"/>
  <c r="F28"/>
  <c r="F189" s="1"/>
  <c r="C27"/>
  <c r="C26"/>
  <c r="C25"/>
  <c r="C24"/>
  <c r="C23"/>
  <c r="C22"/>
  <c r="C20"/>
  <c r="C19"/>
  <c r="C18"/>
  <c r="C17"/>
  <c r="C16"/>
  <c r="C15"/>
  <c r="C14"/>
  <c r="C13"/>
  <c r="C12"/>
  <c r="C11"/>
  <c r="C10"/>
  <c r="C9"/>
  <c r="A9"/>
  <c r="E9" s="1"/>
  <c r="E8"/>
  <c r="C8"/>
  <c r="J6"/>
  <c r="I6"/>
  <c r="H6"/>
  <c r="G6"/>
  <c r="F6"/>
  <c r="E6"/>
  <c r="C1"/>
  <c r="M6" i="49" s="1"/>
  <c r="J246" i="2763"/>
  <c r="I246"/>
  <c r="H246"/>
  <c r="G246"/>
  <c r="F246"/>
  <c r="E246"/>
  <c r="I229"/>
  <c r="J223"/>
  <c r="I223"/>
  <c r="H223"/>
  <c r="G223"/>
  <c r="F223"/>
  <c r="E223"/>
  <c r="H212"/>
  <c r="J209"/>
  <c r="I209"/>
  <c r="H209"/>
  <c r="G209"/>
  <c r="F209"/>
  <c r="E209"/>
  <c r="E119"/>
  <c r="F119" s="1"/>
  <c r="G119" s="1"/>
  <c r="H119" s="1"/>
  <c r="I119" s="1"/>
  <c r="J119" s="1"/>
  <c r="E118"/>
  <c r="F118" s="1"/>
  <c r="G118" s="1"/>
  <c r="H118" s="1"/>
  <c r="I118" s="1"/>
  <c r="J118" s="1"/>
  <c r="E117"/>
  <c r="F117" s="1"/>
  <c r="G117" s="1"/>
  <c r="H117" s="1"/>
  <c r="I117" s="1"/>
  <c r="J117" s="1"/>
  <c r="E116"/>
  <c r="F116" s="1"/>
  <c r="G116" s="1"/>
  <c r="H116" s="1"/>
  <c r="I116" s="1"/>
  <c r="J116" s="1"/>
  <c r="E115"/>
  <c r="F115" s="1"/>
  <c r="G115" s="1"/>
  <c r="H115" s="1"/>
  <c r="I115" s="1"/>
  <c r="J115" s="1"/>
  <c r="E114"/>
  <c r="F114" s="1"/>
  <c r="G114" s="1"/>
  <c r="H114" s="1"/>
  <c r="I114" s="1"/>
  <c r="J114" s="1"/>
  <c r="J105"/>
  <c r="I105"/>
  <c r="H105"/>
  <c r="G105"/>
  <c r="F105"/>
  <c r="E105"/>
  <c r="E100"/>
  <c r="E81"/>
  <c r="F81" s="1"/>
  <c r="G81" s="1"/>
  <c r="H81" s="1"/>
  <c r="I81" s="1"/>
  <c r="J81" s="1"/>
  <c r="E80"/>
  <c r="F80" s="1"/>
  <c r="G80" s="1"/>
  <c r="H80" s="1"/>
  <c r="I80" s="1"/>
  <c r="J80" s="1"/>
  <c r="E79"/>
  <c r="F79" s="1"/>
  <c r="G79" s="1"/>
  <c r="H79" s="1"/>
  <c r="I79" s="1"/>
  <c r="J79" s="1"/>
  <c r="E78"/>
  <c r="F78" s="1"/>
  <c r="G78" s="1"/>
  <c r="H78" s="1"/>
  <c r="I78" s="1"/>
  <c r="J78" s="1"/>
  <c r="E77"/>
  <c r="F77" s="1"/>
  <c r="G77" s="1"/>
  <c r="H77" s="1"/>
  <c r="I77" s="1"/>
  <c r="J77" s="1"/>
  <c r="E76"/>
  <c r="F76" s="1"/>
  <c r="G76" s="1"/>
  <c r="H76" s="1"/>
  <c r="I76" s="1"/>
  <c r="J76" s="1"/>
  <c r="F68"/>
  <c r="G68" s="1"/>
  <c r="H68" s="1"/>
  <c r="I68" s="1"/>
  <c r="J68" s="1"/>
  <c r="J67"/>
  <c r="I67"/>
  <c r="H67"/>
  <c r="G67"/>
  <c r="F67"/>
  <c r="E67"/>
  <c r="J58"/>
  <c r="I58"/>
  <c r="H58"/>
  <c r="G58"/>
  <c r="F58"/>
  <c r="E58"/>
  <c r="J53"/>
  <c r="I53"/>
  <c r="H53"/>
  <c r="G53"/>
  <c r="F53"/>
  <c r="E53"/>
  <c r="J30"/>
  <c r="I30"/>
  <c r="H30"/>
  <c r="G30"/>
  <c r="F30"/>
  <c r="J29"/>
  <c r="I29"/>
  <c r="I107" s="1"/>
  <c r="H29"/>
  <c r="G29"/>
  <c r="G107" s="1"/>
  <c r="F29"/>
  <c r="J28"/>
  <c r="J189" s="1"/>
  <c r="I28"/>
  <c r="I189" s="1"/>
  <c r="H28"/>
  <c r="H189" s="1"/>
  <c r="G28"/>
  <c r="G189" s="1"/>
  <c r="F28"/>
  <c r="F189" s="1"/>
  <c r="C27"/>
  <c r="C26"/>
  <c r="C25"/>
  <c r="C24"/>
  <c r="C23"/>
  <c r="C22"/>
  <c r="C20"/>
  <c r="C19"/>
  <c r="C18"/>
  <c r="C17"/>
  <c r="C16"/>
  <c r="C15"/>
  <c r="C14"/>
  <c r="C13"/>
  <c r="C12"/>
  <c r="C11"/>
  <c r="C10"/>
  <c r="C9"/>
  <c r="A9"/>
  <c r="E9" s="1"/>
  <c r="E8"/>
  <c r="C8"/>
  <c r="J6"/>
  <c r="I6"/>
  <c r="H6"/>
  <c r="G6"/>
  <c r="F6"/>
  <c r="E6"/>
  <c r="C1"/>
  <c r="N6" i="49" s="1"/>
  <c r="J246" i="2762"/>
  <c r="I246"/>
  <c r="H246"/>
  <c r="G246"/>
  <c r="F246"/>
  <c r="E246"/>
  <c r="I229"/>
  <c r="J223"/>
  <c r="I223"/>
  <c r="H223"/>
  <c r="G223"/>
  <c r="F223"/>
  <c r="E223"/>
  <c r="H212"/>
  <c r="J209"/>
  <c r="I209"/>
  <c r="H209"/>
  <c r="G209"/>
  <c r="F209"/>
  <c r="E209"/>
  <c r="E119"/>
  <c r="F119" s="1"/>
  <c r="G119" s="1"/>
  <c r="H119" s="1"/>
  <c r="I119" s="1"/>
  <c r="J119" s="1"/>
  <c r="E118"/>
  <c r="F118" s="1"/>
  <c r="G118" s="1"/>
  <c r="H118" s="1"/>
  <c r="I118" s="1"/>
  <c r="J118" s="1"/>
  <c r="E117"/>
  <c r="F117" s="1"/>
  <c r="G117" s="1"/>
  <c r="H117" s="1"/>
  <c r="I117" s="1"/>
  <c r="J117" s="1"/>
  <c r="E116"/>
  <c r="F116" s="1"/>
  <c r="G116" s="1"/>
  <c r="H116" s="1"/>
  <c r="I116" s="1"/>
  <c r="J116" s="1"/>
  <c r="E115"/>
  <c r="F115" s="1"/>
  <c r="G115" s="1"/>
  <c r="H115" s="1"/>
  <c r="I115" s="1"/>
  <c r="J115" s="1"/>
  <c r="E114"/>
  <c r="E120" s="1"/>
  <c r="J105"/>
  <c r="I105"/>
  <c r="H105"/>
  <c r="G105"/>
  <c r="F105"/>
  <c r="E105"/>
  <c r="E100"/>
  <c r="E81"/>
  <c r="F81" s="1"/>
  <c r="G81" s="1"/>
  <c r="H81" s="1"/>
  <c r="I81" s="1"/>
  <c r="J81" s="1"/>
  <c r="E80"/>
  <c r="F80" s="1"/>
  <c r="G80" s="1"/>
  <c r="H80" s="1"/>
  <c r="I80" s="1"/>
  <c r="J80" s="1"/>
  <c r="E79"/>
  <c r="F79" s="1"/>
  <c r="G79" s="1"/>
  <c r="H79" s="1"/>
  <c r="I79" s="1"/>
  <c r="J79" s="1"/>
  <c r="E78"/>
  <c r="F78" s="1"/>
  <c r="G78" s="1"/>
  <c r="H78" s="1"/>
  <c r="I78" s="1"/>
  <c r="J78" s="1"/>
  <c r="E77"/>
  <c r="F77" s="1"/>
  <c r="G77" s="1"/>
  <c r="H77" s="1"/>
  <c r="I77" s="1"/>
  <c r="J77" s="1"/>
  <c r="E76"/>
  <c r="F76" s="1"/>
  <c r="G76" s="1"/>
  <c r="H76" s="1"/>
  <c r="I76" s="1"/>
  <c r="J76" s="1"/>
  <c r="F68"/>
  <c r="G68" s="1"/>
  <c r="H68" s="1"/>
  <c r="I68" s="1"/>
  <c r="J68" s="1"/>
  <c r="J67"/>
  <c r="I67"/>
  <c r="H67"/>
  <c r="G67"/>
  <c r="F67"/>
  <c r="E67"/>
  <c r="J58"/>
  <c r="I58"/>
  <c r="H58"/>
  <c r="G58"/>
  <c r="F58"/>
  <c r="E58"/>
  <c r="J53"/>
  <c r="I53"/>
  <c r="H53"/>
  <c r="G53"/>
  <c r="F53"/>
  <c r="E53"/>
  <c r="J30"/>
  <c r="I30"/>
  <c r="H30"/>
  <c r="G30"/>
  <c r="F30"/>
  <c r="J29"/>
  <c r="I29"/>
  <c r="I69" s="1"/>
  <c r="H29"/>
  <c r="G29"/>
  <c r="G69" s="1"/>
  <c r="F29"/>
  <c r="J28"/>
  <c r="J189" s="1"/>
  <c r="I28"/>
  <c r="I189" s="1"/>
  <c r="H28"/>
  <c r="H189" s="1"/>
  <c r="G28"/>
  <c r="G189" s="1"/>
  <c r="F28"/>
  <c r="F189" s="1"/>
  <c r="C27"/>
  <c r="C26"/>
  <c r="C25"/>
  <c r="C24"/>
  <c r="C23"/>
  <c r="C22"/>
  <c r="C20"/>
  <c r="C19"/>
  <c r="C18"/>
  <c r="C17"/>
  <c r="C16"/>
  <c r="C15"/>
  <c r="C14"/>
  <c r="C13"/>
  <c r="C12"/>
  <c r="C11"/>
  <c r="C10"/>
  <c r="C9"/>
  <c r="A9"/>
  <c r="E9" s="1"/>
  <c r="E8"/>
  <c r="C8"/>
  <c r="J6"/>
  <c r="I6"/>
  <c r="H6"/>
  <c r="G6"/>
  <c r="F6"/>
  <c r="E6"/>
  <c r="C1"/>
  <c r="O6" i="49" s="1"/>
  <c r="J246" i="2761"/>
  <c r="I246"/>
  <c r="H246"/>
  <c r="G246"/>
  <c r="F246"/>
  <c r="E246"/>
  <c r="I229"/>
  <c r="J223"/>
  <c r="I223"/>
  <c r="H223"/>
  <c r="G223"/>
  <c r="F223"/>
  <c r="E223"/>
  <c r="H212"/>
  <c r="J209"/>
  <c r="I209"/>
  <c r="H209"/>
  <c r="G209"/>
  <c r="F209"/>
  <c r="E209"/>
  <c r="E119"/>
  <c r="F119" s="1"/>
  <c r="G119" s="1"/>
  <c r="H119" s="1"/>
  <c r="I119" s="1"/>
  <c r="J119" s="1"/>
  <c r="E118"/>
  <c r="F118" s="1"/>
  <c r="G118" s="1"/>
  <c r="H118" s="1"/>
  <c r="I118" s="1"/>
  <c r="J118" s="1"/>
  <c r="E117"/>
  <c r="F117" s="1"/>
  <c r="G117" s="1"/>
  <c r="H117" s="1"/>
  <c r="I117" s="1"/>
  <c r="J117" s="1"/>
  <c r="E116"/>
  <c r="F116" s="1"/>
  <c r="G116" s="1"/>
  <c r="H116" s="1"/>
  <c r="I116" s="1"/>
  <c r="J116" s="1"/>
  <c r="E115"/>
  <c r="F115" s="1"/>
  <c r="G115" s="1"/>
  <c r="H115" s="1"/>
  <c r="I115" s="1"/>
  <c r="J115" s="1"/>
  <c r="E114"/>
  <c r="F114" s="1"/>
  <c r="G114" s="1"/>
  <c r="H114" s="1"/>
  <c r="I114" s="1"/>
  <c r="J114" s="1"/>
  <c r="J105"/>
  <c r="I105"/>
  <c r="H105"/>
  <c r="G105"/>
  <c r="F105"/>
  <c r="E105"/>
  <c r="E100"/>
  <c r="E81"/>
  <c r="E93" s="1"/>
  <c r="E80"/>
  <c r="E92" s="1"/>
  <c r="E79"/>
  <c r="E91" s="1"/>
  <c r="E78"/>
  <c r="E90" s="1"/>
  <c r="E77"/>
  <c r="E89" s="1"/>
  <c r="E76"/>
  <c r="E88" s="1"/>
  <c r="F68"/>
  <c r="G68" s="1"/>
  <c r="H68" s="1"/>
  <c r="I68" s="1"/>
  <c r="J68" s="1"/>
  <c r="J67"/>
  <c r="I67"/>
  <c r="H67"/>
  <c r="G67"/>
  <c r="F67"/>
  <c r="E67"/>
  <c r="J58"/>
  <c r="I58"/>
  <c r="H58"/>
  <c r="G58"/>
  <c r="F58"/>
  <c r="E58"/>
  <c r="J53"/>
  <c r="I53"/>
  <c r="H53"/>
  <c r="G53"/>
  <c r="F53"/>
  <c r="E53"/>
  <c r="J30"/>
  <c r="I30"/>
  <c r="H30"/>
  <c r="G30"/>
  <c r="F30"/>
  <c r="J29"/>
  <c r="J69" s="1"/>
  <c r="I29"/>
  <c r="H29"/>
  <c r="H107" s="1"/>
  <c r="G29"/>
  <c r="F29"/>
  <c r="F107" s="1"/>
  <c r="J28"/>
  <c r="J189" s="1"/>
  <c r="I28"/>
  <c r="I189" s="1"/>
  <c r="H28"/>
  <c r="H189" s="1"/>
  <c r="G28"/>
  <c r="G189" s="1"/>
  <c r="F28"/>
  <c r="F189" s="1"/>
  <c r="C27"/>
  <c r="C26"/>
  <c r="C25"/>
  <c r="C24"/>
  <c r="C23"/>
  <c r="C22"/>
  <c r="C20"/>
  <c r="C19"/>
  <c r="C18"/>
  <c r="C17"/>
  <c r="C16"/>
  <c r="C15"/>
  <c r="C14"/>
  <c r="C13"/>
  <c r="C12"/>
  <c r="C11"/>
  <c r="C10"/>
  <c r="C9"/>
  <c r="A9"/>
  <c r="A10" s="1"/>
  <c r="E8"/>
  <c r="C8"/>
  <c r="J6"/>
  <c r="I6"/>
  <c r="H6"/>
  <c r="G6"/>
  <c r="F6"/>
  <c r="E6"/>
  <c r="C1"/>
  <c r="P6" i="49" s="1"/>
  <c r="J246" i="2760"/>
  <c r="I246"/>
  <c r="H246"/>
  <c r="G246"/>
  <c r="F246"/>
  <c r="E246"/>
  <c r="I229"/>
  <c r="J223"/>
  <c r="I223"/>
  <c r="H223"/>
  <c r="G223"/>
  <c r="F223"/>
  <c r="E223"/>
  <c r="H212"/>
  <c r="J209"/>
  <c r="I209"/>
  <c r="H209"/>
  <c r="G209"/>
  <c r="F209"/>
  <c r="E209"/>
  <c r="E119"/>
  <c r="F119" s="1"/>
  <c r="G119" s="1"/>
  <c r="H119" s="1"/>
  <c r="I119" s="1"/>
  <c r="J119" s="1"/>
  <c r="E118"/>
  <c r="F118" s="1"/>
  <c r="G118" s="1"/>
  <c r="H118" s="1"/>
  <c r="I118" s="1"/>
  <c r="J118" s="1"/>
  <c r="E117"/>
  <c r="F117" s="1"/>
  <c r="G117" s="1"/>
  <c r="H117" s="1"/>
  <c r="I117" s="1"/>
  <c r="J117" s="1"/>
  <c r="E116"/>
  <c r="F116" s="1"/>
  <c r="G116" s="1"/>
  <c r="H116" s="1"/>
  <c r="I116" s="1"/>
  <c r="J116" s="1"/>
  <c r="E115"/>
  <c r="F115" s="1"/>
  <c r="G115" s="1"/>
  <c r="H115" s="1"/>
  <c r="I115" s="1"/>
  <c r="J115" s="1"/>
  <c r="E114"/>
  <c r="F114" s="1"/>
  <c r="G114" s="1"/>
  <c r="H114" s="1"/>
  <c r="I114" s="1"/>
  <c r="J114" s="1"/>
  <c r="J105"/>
  <c r="I105"/>
  <c r="H105"/>
  <c r="G105"/>
  <c r="F105"/>
  <c r="E105"/>
  <c r="E100"/>
  <c r="E81"/>
  <c r="E93" s="1"/>
  <c r="E80"/>
  <c r="E92" s="1"/>
  <c r="E79"/>
  <c r="E91" s="1"/>
  <c r="E78"/>
  <c r="E90" s="1"/>
  <c r="E77"/>
  <c r="E89" s="1"/>
  <c r="E76"/>
  <c r="E88" s="1"/>
  <c r="F68"/>
  <c r="G68" s="1"/>
  <c r="H68" s="1"/>
  <c r="I68" s="1"/>
  <c r="J68" s="1"/>
  <c r="J67"/>
  <c r="I67"/>
  <c r="H67"/>
  <c r="G67"/>
  <c r="F67"/>
  <c r="E67"/>
  <c r="J58"/>
  <c r="I58"/>
  <c r="H58"/>
  <c r="G58"/>
  <c r="F58"/>
  <c r="E58"/>
  <c r="J53"/>
  <c r="I53"/>
  <c r="H53"/>
  <c r="G53"/>
  <c r="F53"/>
  <c r="E53"/>
  <c r="J30"/>
  <c r="I30"/>
  <c r="H30"/>
  <c r="G30"/>
  <c r="F30"/>
  <c r="J29"/>
  <c r="J69" s="1"/>
  <c r="I29"/>
  <c r="H29"/>
  <c r="H107" s="1"/>
  <c r="G29"/>
  <c r="F29"/>
  <c r="F107" s="1"/>
  <c r="J28"/>
  <c r="J189" s="1"/>
  <c r="I28"/>
  <c r="I189" s="1"/>
  <c r="H28"/>
  <c r="H189" s="1"/>
  <c r="G28"/>
  <c r="G189" s="1"/>
  <c r="F28"/>
  <c r="F189" s="1"/>
  <c r="C27"/>
  <c r="C26"/>
  <c r="C25"/>
  <c r="C24"/>
  <c r="C23"/>
  <c r="C22"/>
  <c r="C20"/>
  <c r="C19"/>
  <c r="C18"/>
  <c r="C17"/>
  <c r="C16"/>
  <c r="C15"/>
  <c r="C14"/>
  <c r="C13"/>
  <c r="C12"/>
  <c r="C11"/>
  <c r="C10"/>
  <c r="C9"/>
  <c r="A9"/>
  <c r="E9" s="1"/>
  <c r="E8"/>
  <c r="C8"/>
  <c r="J6"/>
  <c r="I6"/>
  <c r="H6"/>
  <c r="G6"/>
  <c r="F6"/>
  <c r="E6"/>
  <c r="C1"/>
  <c r="Q6" i="49" s="1"/>
  <c r="J246" i="2759"/>
  <c r="I246"/>
  <c r="H246"/>
  <c r="G246"/>
  <c r="F246"/>
  <c r="E246"/>
  <c r="I229"/>
  <c r="J223"/>
  <c r="I223"/>
  <c r="H223"/>
  <c r="G223"/>
  <c r="F223"/>
  <c r="E223"/>
  <c r="H212"/>
  <c r="J209"/>
  <c r="I209"/>
  <c r="H209"/>
  <c r="G209"/>
  <c r="F209"/>
  <c r="E209"/>
  <c r="E119"/>
  <c r="F119" s="1"/>
  <c r="G119" s="1"/>
  <c r="H119" s="1"/>
  <c r="I119" s="1"/>
  <c r="J119" s="1"/>
  <c r="E118"/>
  <c r="F118" s="1"/>
  <c r="G118" s="1"/>
  <c r="H118" s="1"/>
  <c r="I118" s="1"/>
  <c r="J118" s="1"/>
  <c r="E117"/>
  <c r="F117" s="1"/>
  <c r="G117" s="1"/>
  <c r="H117" s="1"/>
  <c r="I117" s="1"/>
  <c r="J117" s="1"/>
  <c r="E116"/>
  <c r="F116" s="1"/>
  <c r="G116" s="1"/>
  <c r="H116" s="1"/>
  <c r="I116" s="1"/>
  <c r="J116" s="1"/>
  <c r="E115"/>
  <c r="F115" s="1"/>
  <c r="G115" s="1"/>
  <c r="H115" s="1"/>
  <c r="I115" s="1"/>
  <c r="J115" s="1"/>
  <c r="E114"/>
  <c r="F114" s="1"/>
  <c r="G114" s="1"/>
  <c r="H114" s="1"/>
  <c r="I114" s="1"/>
  <c r="J114" s="1"/>
  <c r="J105"/>
  <c r="I105"/>
  <c r="H105"/>
  <c r="G105"/>
  <c r="F105"/>
  <c r="E105"/>
  <c r="E100"/>
  <c r="E81"/>
  <c r="F81" s="1"/>
  <c r="G81" s="1"/>
  <c r="H81" s="1"/>
  <c r="I81" s="1"/>
  <c r="J81" s="1"/>
  <c r="E80"/>
  <c r="F80" s="1"/>
  <c r="G80" s="1"/>
  <c r="H80" s="1"/>
  <c r="I80" s="1"/>
  <c r="J80" s="1"/>
  <c r="E79"/>
  <c r="F79" s="1"/>
  <c r="G79" s="1"/>
  <c r="H79" s="1"/>
  <c r="I79" s="1"/>
  <c r="J79" s="1"/>
  <c r="E78"/>
  <c r="F78" s="1"/>
  <c r="G78" s="1"/>
  <c r="H78" s="1"/>
  <c r="I78" s="1"/>
  <c r="J78" s="1"/>
  <c r="E77"/>
  <c r="F77" s="1"/>
  <c r="G77" s="1"/>
  <c r="H77" s="1"/>
  <c r="I77" s="1"/>
  <c r="J77" s="1"/>
  <c r="E76"/>
  <c r="F76" s="1"/>
  <c r="G76" s="1"/>
  <c r="H76" s="1"/>
  <c r="I76" s="1"/>
  <c r="J76" s="1"/>
  <c r="F68"/>
  <c r="G68" s="1"/>
  <c r="H68" s="1"/>
  <c r="I68" s="1"/>
  <c r="J68" s="1"/>
  <c r="J67"/>
  <c r="I67"/>
  <c r="H67"/>
  <c r="G67"/>
  <c r="F67"/>
  <c r="E67"/>
  <c r="J58"/>
  <c r="I58"/>
  <c r="H58"/>
  <c r="G58"/>
  <c r="F58"/>
  <c r="E58"/>
  <c r="J53"/>
  <c r="I53"/>
  <c r="H53"/>
  <c r="G53"/>
  <c r="F53"/>
  <c r="E53"/>
  <c r="J30"/>
  <c r="I30"/>
  <c r="H30"/>
  <c r="G30"/>
  <c r="F30"/>
  <c r="J29"/>
  <c r="I29"/>
  <c r="I107" s="1"/>
  <c r="H29"/>
  <c r="G29"/>
  <c r="G107" s="1"/>
  <c r="F29"/>
  <c r="J28"/>
  <c r="J189" s="1"/>
  <c r="I28"/>
  <c r="I189" s="1"/>
  <c r="H28"/>
  <c r="H189" s="1"/>
  <c r="G28"/>
  <c r="G189" s="1"/>
  <c r="F28"/>
  <c r="F189" s="1"/>
  <c r="C27"/>
  <c r="C26"/>
  <c r="C25"/>
  <c r="C24"/>
  <c r="C23"/>
  <c r="C22"/>
  <c r="C20"/>
  <c r="C19"/>
  <c r="C18"/>
  <c r="C17"/>
  <c r="C16"/>
  <c r="C15"/>
  <c r="C14"/>
  <c r="C13"/>
  <c r="C12"/>
  <c r="C11"/>
  <c r="C10"/>
  <c r="C9"/>
  <c r="A9"/>
  <c r="E9" s="1"/>
  <c r="E8"/>
  <c r="C8"/>
  <c r="J6"/>
  <c r="I6"/>
  <c r="H6"/>
  <c r="G6"/>
  <c r="F6"/>
  <c r="E6"/>
  <c r="C1"/>
  <c r="R6" i="49" s="1"/>
  <c r="J246" i="2758"/>
  <c r="I246"/>
  <c r="H246"/>
  <c r="G246"/>
  <c r="F246"/>
  <c r="E246"/>
  <c r="I229"/>
  <c r="J223"/>
  <c r="I223"/>
  <c r="H223"/>
  <c r="G223"/>
  <c r="F223"/>
  <c r="E223"/>
  <c r="H212"/>
  <c r="J209"/>
  <c r="I209"/>
  <c r="H209"/>
  <c r="G209"/>
  <c r="F209"/>
  <c r="E209"/>
  <c r="E119"/>
  <c r="F119" s="1"/>
  <c r="G119" s="1"/>
  <c r="H119" s="1"/>
  <c r="I119" s="1"/>
  <c r="J119" s="1"/>
  <c r="E118"/>
  <c r="F118" s="1"/>
  <c r="G118" s="1"/>
  <c r="H118" s="1"/>
  <c r="I118" s="1"/>
  <c r="J118" s="1"/>
  <c r="E117"/>
  <c r="F117" s="1"/>
  <c r="G117" s="1"/>
  <c r="H117" s="1"/>
  <c r="I117" s="1"/>
  <c r="J117" s="1"/>
  <c r="E116"/>
  <c r="F116" s="1"/>
  <c r="G116" s="1"/>
  <c r="H116" s="1"/>
  <c r="I116" s="1"/>
  <c r="J116" s="1"/>
  <c r="E115"/>
  <c r="F115" s="1"/>
  <c r="G115" s="1"/>
  <c r="H115" s="1"/>
  <c r="I115" s="1"/>
  <c r="J115" s="1"/>
  <c r="E114"/>
  <c r="F114" s="1"/>
  <c r="G114" s="1"/>
  <c r="H114" s="1"/>
  <c r="I114" s="1"/>
  <c r="J114" s="1"/>
  <c r="J105"/>
  <c r="I105"/>
  <c r="H105"/>
  <c r="G105"/>
  <c r="F105"/>
  <c r="E105"/>
  <c r="E100"/>
  <c r="E81"/>
  <c r="F81" s="1"/>
  <c r="G81" s="1"/>
  <c r="H81" s="1"/>
  <c r="I81" s="1"/>
  <c r="J81" s="1"/>
  <c r="E80"/>
  <c r="F80" s="1"/>
  <c r="G80" s="1"/>
  <c r="H80" s="1"/>
  <c r="I80" s="1"/>
  <c r="J80" s="1"/>
  <c r="E79"/>
  <c r="F79" s="1"/>
  <c r="G79" s="1"/>
  <c r="H79" s="1"/>
  <c r="I79" s="1"/>
  <c r="J79" s="1"/>
  <c r="E78"/>
  <c r="F78" s="1"/>
  <c r="G78" s="1"/>
  <c r="H78" s="1"/>
  <c r="I78" s="1"/>
  <c r="J78" s="1"/>
  <c r="E77"/>
  <c r="F77" s="1"/>
  <c r="G77" s="1"/>
  <c r="H77" s="1"/>
  <c r="I77" s="1"/>
  <c r="J77" s="1"/>
  <c r="E76"/>
  <c r="F76" s="1"/>
  <c r="G76" s="1"/>
  <c r="H76" s="1"/>
  <c r="I76" s="1"/>
  <c r="J76" s="1"/>
  <c r="F68"/>
  <c r="G68" s="1"/>
  <c r="H68" s="1"/>
  <c r="I68" s="1"/>
  <c r="J68" s="1"/>
  <c r="J67"/>
  <c r="I67"/>
  <c r="H67"/>
  <c r="G67"/>
  <c r="F67"/>
  <c r="E67"/>
  <c r="J58"/>
  <c r="I58"/>
  <c r="H58"/>
  <c r="G58"/>
  <c r="F58"/>
  <c r="E58"/>
  <c r="J53"/>
  <c r="I53"/>
  <c r="H53"/>
  <c r="G53"/>
  <c r="F53"/>
  <c r="E53"/>
  <c r="J30"/>
  <c r="I30"/>
  <c r="H30"/>
  <c r="G30"/>
  <c r="F30"/>
  <c r="J29"/>
  <c r="I29"/>
  <c r="I107" s="1"/>
  <c r="H29"/>
  <c r="G29"/>
  <c r="G107" s="1"/>
  <c r="F29"/>
  <c r="J28"/>
  <c r="J189" s="1"/>
  <c r="I28"/>
  <c r="I189" s="1"/>
  <c r="H28"/>
  <c r="H189" s="1"/>
  <c r="G28"/>
  <c r="G189" s="1"/>
  <c r="F28"/>
  <c r="F189" s="1"/>
  <c r="C27"/>
  <c r="C26"/>
  <c r="C25"/>
  <c r="C24"/>
  <c r="C23"/>
  <c r="C22"/>
  <c r="C20"/>
  <c r="C19"/>
  <c r="C18"/>
  <c r="C17"/>
  <c r="C16"/>
  <c r="C15"/>
  <c r="C14"/>
  <c r="C13"/>
  <c r="C12"/>
  <c r="C11"/>
  <c r="C10"/>
  <c r="C9"/>
  <c r="A9"/>
  <c r="E9" s="1"/>
  <c r="E8"/>
  <c r="C8"/>
  <c r="J6"/>
  <c r="I6"/>
  <c r="H6"/>
  <c r="G6"/>
  <c r="F6"/>
  <c r="E6"/>
  <c r="C1"/>
  <c r="S6" i="49" s="1"/>
  <c r="J246" i="2757"/>
  <c r="I246"/>
  <c r="H246"/>
  <c r="G246"/>
  <c r="F246"/>
  <c r="E246"/>
  <c r="I229"/>
  <c r="J223"/>
  <c r="I223"/>
  <c r="H223"/>
  <c r="G223"/>
  <c r="F223"/>
  <c r="E223"/>
  <c r="H212"/>
  <c r="J209"/>
  <c r="I209"/>
  <c r="H209"/>
  <c r="G209"/>
  <c r="F209"/>
  <c r="E209"/>
  <c r="E119"/>
  <c r="F119" s="1"/>
  <c r="G119" s="1"/>
  <c r="H119" s="1"/>
  <c r="I119" s="1"/>
  <c r="J119" s="1"/>
  <c r="E118"/>
  <c r="F118" s="1"/>
  <c r="G118" s="1"/>
  <c r="H118" s="1"/>
  <c r="I118" s="1"/>
  <c r="J118" s="1"/>
  <c r="E117"/>
  <c r="F117" s="1"/>
  <c r="G117" s="1"/>
  <c r="H117" s="1"/>
  <c r="I117" s="1"/>
  <c r="J117" s="1"/>
  <c r="E116"/>
  <c r="F116" s="1"/>
  <c r="G116" s="1"/>
  <c r="H116" s="1"/>
  <c r="I116" s="1"/>
  <c r="J116" s="1"/>
  <c r="E115"/>
  <c r="F115" s="1"/>
  <c r="G115" s="1"/>
  <c r="H115" s="1"/>
  <c r="I115" s="1"/>
  <c r="J115" s="1"/>
  <c r="E114"/>
  <c r="F114" s="1"/>
  <c r="G114" s="1"/>
  <c r="H114" s="1"/>
  <c r="I114" s="1"/>
  <c r="J114" s="1"/>
  <c r="J105"/>
  <c r="I105"/>
  <c r="H105"/>
  <c r="G105"/>
  <c r="F105"/>
  <c r="E105"/>
  <c r="E100"/>
  <c r="E81"/>
  <c r="F81" s="1"/>
  <c r="G81" s="1"/>
  <c r="H81" s="1"/>
  <c r="I81" s="1"/>
  <c r="J81" s="1"/>
  <c r="E80"/>
  <c r="F80" s="1"/>
  <c r="G80" s="1"/>
  <c r="H80" s="1"/>
  <c r="I80" s="1"/>
  <c r="J80" s="1"/>
  <c r="E79"/>
  <c r="F79" s="1"/>
  <c r="G79" s="1"/>
  <c r="H79" s="1"/>
  <c r="I79" s="1"/>
  <c r="J79" s="1"/>
  <c r="E78"/>
  <c r="F78" s="1"/>
  <c r="G78" s="1"/>
  <c r="H78" s="1"/>
  <c r="I78" s="1"/>
  <c r="J78" s="1"/>
  <c r="E77"/>
  <c r="F77" s="1"/>
  <c r="G77" s="1"/>
  <c r="H77" s="1"/>
  <c r="I77" s="1"/>
  <c r="J77" s="1"/>
  <c r="E76"/>
  <c r="F76" s="1"/>
  <c r="G76" s="1"/>
  <c r="H76" s="1"/>
  <c r="I76" s="1"/>
  <c r="J76" s="1"/>
  <c r="F68"/>
  <c r="G68" s="1"/>
  <c r="H68" s="1"/>
  <c r="I68" s="1"/>
  <c r="J68" s="1"/>
  <c r="J67"/>
  <c r="I67"/>
  <c r="H67"/>
  <c r="G67"/>
  <c r="F67"/>
  <c r="E67"/>
  <c r="J58"/>
  <c r="I58"/>
  <c r="H58"/>
  <c r="G58"/>
  <c r="F58"/>
  <c r="E58"/>
  <c r="J53"/>
  <c r="I53"/>
  <c r="H53"/>
  <c r="G53"/>
  <c r="F53"/>
  <c r="E53"/>
  <c r="J30"/>
  <c r="I30"/>
  <c r="H30"/>
  <c r="G30"/>
  <c r="F30"/>
  <c r="J29"/>
  <c r="I29"/>
  <c r="I107" s="1"/>
  <c r="H29"/>
  <c r="G29"/>
  <c r="G107" s="1"/>
  <c r="F29"/>
  <c r="J28"/>
  <c r="J189" s="1"/>
  <c r="I28"/>
  <c r="I189" s="1"/>
  <c r="H28"/>
  <c r="H189" s="1"/>
  <c r="G28"/>
  <c r="G189" s="1"/>
  <c r="F28"/>
  <c r="F189" s="1"/>
  <c r="C27"/>
  <c r="C26"/>
  <c r="C25"/>
  <c r="C24"/>
  <c r="C23"/>
  <c r="C22"/>
  <c r="C20"/>
  <c r="C19"/>
  <c r="C18"/>
  <c r="C17"/>
  <c r="C16"/>
  <c r="C15"/>
  <c r="C14"/>
  <c r="C13"/>
  <c r="C12"/>
  <c r="C11"/>
  <c r="C10"/>
  <c r="C9"/>
  <c r="A9"/>
  <c r="E9" s="1"/>
  <c r="E8"/>
  <c r="C8"/>
  <c r="J6"/>
  <c r="I6"/>
  <c r="H6"/>
  <c r="G6"/>
  <c r="F6"/>
  <c r="E6"/>
  <c r="C1"/>
  <c r="T6" i="49" s="1"/>
  <c r="F17"/>
  <c r="G17"/>
  <c r="H17"/>
  <c r="I17"/>
  <c r="J17"/>
  <c r="K17"/>
  <c r="L17"/>
  <c r="M17"/>
  <c r="N17"/>
  <c r="O17"/>
  <c r="P17"/>
  <c r="Q17"/>
  <c r="R17"/>
  <c r="S17"/>
  <c r="T17"/>
  <c r="E17"/>
  <c r="F114" i="2762" l="1"/>
  <c r="G114" s="1"/>
  <c r="H114" s="1"/>
  <c r="I114" s="1"/>
  <c r="J114" s="1"/>
  <c r="F76" i="2767"/>
  <c r="G76" s="1"/>
  <c r="H76" s="1"/>
  <c r="I76" s="1"/>
  <c r="J76" s="1"/>
  <c r="F77"/>
  <c r="G77" s="1"/>
  <c r="H77" s="1"/>
  <c r="I77" s="1"/>
  <c r="J77" s="1"/>
  <c r="F78"/>
  <c r="G78" s="1"/>
  <c r="H78" s="1"/>
  <c r="I78" s="1"/>
  <c r="J78" s="1"/>
  <c r="F79"/>
  <c r="G79" s="1"/>
  <c r="H79" s="1"/>
  <c r="I79" s="1"/>
  <c r="J79" s="1"/>
  <c r="F80"/>
  <c r="G80" s="1"/>
  <c r="H80" s="1"/>
  <c r="I80" s="1"/>
  <c r="J80" s="1"/>
  <c r="F81"/>
  <c r="G81" s="1"/>
  <c r="H81" s="1"/>
  <c r="I81" s="1"/>
  <c r="J81" s="1"/>
  <c r="F116" i="2772"/>
  <c r="G116" s="1"/>
  <c r="H116" s="1"/>
  <c r="I116" s="1"/>
  <c r="J116" s="1"/>
  <c r="E102" i="2760"/>
  <c r="E102" i="2765"/>
  <c r="E102" i="2761"/>
  <c r="E102" i="2764"/>
  <c r="F114" i="2772"/>
  <c r="G114" s="1"/>
  <c r="H114" s="1"/>
  <c r="I114" s="1"/>
  <c r="J114" s="1"/>
  <c r="F118"/>
  <c r="G118" s="1"/>
  <c r="H118" s="1"/>
  <c r="I118" s="1"/>
  <c r="J118" s="1"/>
  <c r="A10" i="2758"/>
  <c r="A11" s="1"/>
  <c r="A10" i="2762"/>
  <c r="A11" s="1"/>
  <c r="E102" i="2770"/>
  <c r="A10" i="2771"/>
  <c r="E10" s="1"/>
  <c r="F76" i="2772"/>
  <c r="G76" s="1"/>
  <c r="H76" s="1"/>
  <c r="I76" s="1"/>
  <c r="J76" s="1"/>
  <c r="F77"/>
  <c r="G77" s="1"/>
  <c r="H77" s="1"/>
  <c r="I77" s="1"/>
  <c r="J77" s="1"/>
  <c r="F78"/>
  <c r="G78" s="1"/>
  <c r="H78" s="1"/>
  <c r="I78" s="1"/>
  <c r="J78" s="1"/>
  <c r="F79"/>
  <c r="G79" s="1"/>
  <c r="H79" s="1"/>
  <c r="I79" s="1"/>
  <c r="J79" s="1"/>
  <c r="F80"/>
  <c r="G80" s="1"/>
  <c r="H80" s="1"/>
  <c r="I80" s="1"/>
  <c r="J80" s="1"/>
  <c r="F81"/>
  <c r="G81" s="1"/>
  <c r="H81" s="1"/>
  <c r="I81" s="1"/>
  <c r="J81" s="1"/>
  <c r="A10" i="2760"/>
  <c r="E10" s="1"/>
  <c r="A10" i="2764"/>
  <c r="E10" s="1"/>
  <c r="A10" i="2770"/>
  <c r="E10" s="1"/>
  <c r="E102" i="2771"/>
  <c r="A10" i="2772"/>
  <c r="E10" s="1"/>
  <c r="F115"/>
  <c r="G115" s="1"/>
  <c r="H115" s="1"/>
  <c r="I115" s="1"/>
  <c r="J115" s="1"/>
  <c r="F117"/>
  <c r="G117" s="1"/>
  <c r="H117" s="1"/>
  <c r="I117" s="1"/>
  <c r="J117" s="1"/>
  <c r="F119"/>
  <c r="G119" s="1"/>
  <c r="H119" s="1"/>
  <c r="I119" s="1"/>
  <c r="J119" s="1"/>
  <c r="F5" i="49"/>
  <c r="H5"/>
  <c r="J5"/>
  <c r="L5"/>
  <c r="N5"/>
  <c r="P5"/>
  <c r="R5"/>
  <c r="T5"/>
  <c r="E5"/>
  <c r="G5"/>
  <c r="I5"/>
  <c r="K5"/>
  <c r="M5"/>
  <c r="O5"/>
  <c r="Q5"/>
  <c r="S5"/>
  <c r="F121" i="2772"/>
  <c r="F125"/>
  <c r="F131" s="1"/>
  <c r="G113" s="1"/>
  <c r="A11"/>
  <c r="I69"/>
  <c r="H107"/>
  <c r="F123"/>
  <c r="F129" s="1"/>
  <c r="G111" s="1"/>
  <c r="F172"/>
  <c r="J172"/>
  <c r="G249"/>
  <c r="G172"/>
  <c r="G107"/>
  <c r="I172"/>
  <c r="I107"/>
  <c r="H249"/>
  <c r="E243"/>
  <c r="E8" i="49" s="1"/>
  <c r="J249" i="2772"/>
  <c r="E132"/>
  <c r="F69"/>
  <c r="H69"/>
  <c r="J69"/>
  <c r="F107"/>
  <c r="J107"/>
  <c r="F122"/>
  <c r="F128" s="1"/>
  <c r="G110" s="1"/>
  <c r="F124"/>
  <c r="F130" s="1"/>
  <c r="G112" s="1"/>
  <c r="G158"/>
  <c r="H172"/>
  <c r="G158" i="2771"/>
  <c r="G172"/>
  <c r="I158"/>
  <c r="I172"/>
  <c r="H249"/>
  <c r="E243"/>
  <c r="F8" i="49" s="1"/>
  <c r="J249" i="2771"/>
  <c r="A11"/>
  <c r="F69"/>
  <c r="H69"/>
  <c r="F76"/>
  <c r="G76" s="1"/>
  <c r="H76" s="1"/>
  <c r="I76" s="1"/>
  <c r="J76" s="1"/>
  <c r="F77"/>
  <c r="G77" s="1"/>
  <c r="H77" s="1"/>
  <c r="I77" s="1"/>
  <c r="J77" s="1"/>
  <c r="F78"/>
  <c r="G78" s="1"/>
  <c r="H78" s="1"/>
  <c r="I78" s="1"/>
  <c r="J78" s="1"/>
  <c r="F79"/>
  <c r="G79" s="1"/>
  <c r="H79" s="1"/>
  <c r="I79" s="1"/>
  <c r="J79" s="1"/>
  <c r="F80"/>
  <c r="G80" s="1"/>
  <c r="H80" s="1"/>
  <c r="I80" s="1"/>
  <c r="J80" s="1"/>
  <c r="F81"/>
  <c r="G81" s="1"/>
  <c r="H81" s="1"/>
  <c r="I81" s="1"/>
  <c r="J81" s="1"/>
  <c r="F172"/>
  <c r="F158"/>
  <c r="H172"/>
  <c r="H158"/>
  <c r="J172"/>
  <c r="J107"/>
  <c r="J158"/>
  <c r="G249"/>
  <c r="I249"/>
  <c r="G69"/>
  <c r="I69"/>
  <c r="G107"/>
  <c r="I107"/>
  <c r="E120"/>
  <c r="E121"/>
  <c r="E127" s="1"/>
  <c r="F109" s="1"/>
  <c r="E122"/>
  <c r="E128" s="1"/>
  <c r="F110" s="1"/>
  <c r="E123"/>
  <c r="E129" s="1"/>
  <c r="F111" s="1"/>
  <c r="E124"/>
  <c r="E130" s="1"/>
  <c r="F112" s="1"/>
  <c r="E125"/>
  <c r="E131" s="1"/>
  <c r="F113" s="1"/>
  <c r="G158" i="2770"/>
  <c r="G172"/>
  <c r="I158"/>
  <c r="I172"/>
  <c r="H249"/>
  <c r="E243"/>
  <c r="G8" i="49" s="1"/>
  <c r="J249" i="2770"/>
  <c r="A11"/>
  <c r="F69"/>
  <c r="H69"/>
  <c r="F76"/>
  <c r="G76" s="1"/>
  <c r="H76" s="1"/>
  <c r="I76" s="1"/>
  <c r="J76" s="1"/>
  <c r="F77"/>
  <c r="G77" s="1"/>
  <c r="H77" s="1"/>
  <c r="I77" s="1"/>
  <c r="J77" s="1"/>
  <c r="F78"/>
  <c r="G78" s="1"/>
  <c r="H78" s="1"/>
  <c r="I78" s="1"/>
  <c r="J78" s="1"/>
  <c r="F79"/>
  <c r="G79" s="1"/>
  <c r="H79" s="1"/>
  <c r="I79" s="1"/>
  <c r="J79" s="1"/>
  <c r="F80"/>
  <c r="G80" s="1"/>
  <c r="H80" s="1"/>
  <c r="I80" s="1"/>
  <c r="J80" s="1"/>
  <c r="F81"/>
  <c r="G81" s="1"/>
  <c r="H81" s="1"/>
  <c r="I81" s="1"/>
  <c r="J81" s="1"/>
  <c r="F172"/>
  <c r="F158"/>
  <c r="H172"/>
  <c r="H158"/>
  <c r="J172"/>
  <c r="J107"/>
  <c r="J158"/>
  <c r="G249"/>
  <c r="I249"/>
  <c r="G69"/>
  <c r="I69"/>
  <c r="G107"/>
  <c r="I107"/>
  <c r="E120"/>
  <c r="E121"/>
  <c r="E127" s="1"/>
  <c r="F109" s="1"/>
  <c r="E122"/>
  <c r="E128" s="1"/>
  <c r="F110" s="1"/>
  <c r="E123"/>
  <c r="E129" s="1"/>
  <c r="F111" s="1"/>
  <c r="E124"/>
  <c r="E130" s="1"/>
  <c r="F112" s="1"/>
  <c r="E125"/>
  <c r="E131" s="1"/>
  <c r="F113" s="1"/>
  <c r="E10" i="2769"/>
  <c r="A11"/>
  <c r="E9"/>
  <c r="J172"/>
  <c r="J107"/>
  <c r="G249"/>
  <c r="I249"/>
  <c r="G69"/>
  <c r="I69"/>
  <c r="E88"/>
  <c r="E89"/>
  <c r="E90"/>
  <c r="E91"/>
  <c r="E92"/>
  <c r="E93"/>
  <c r="G107"/>
  <c r="I107"/>
  <c r="E120"/>
  <c r="E122"/>
  <c r="E128" s="1"/>
  <c r="F110" s="1"/>
  <c r="E124"/>
  <c r="E130" s="1"/>
  <c r="F112" s="1"/>
  <c r="F158"/>
  <c r="J158"/>
  <c r="G172"/>
  <c r="E243"/>
  <c r="H8" i="49" s="1"/>
  <c r="F69" i="2769"/>
  <c r="H69"/>
  <c r="J69"/>
  <c r="F107"/>
  <c r="H107"/>
  <c r="E121"/>
  <c r="E127" s="1"/>
  <c r="F109" s="1"/>
  <c r="E123"/>
  <c r="E129" s="1"/>
  <c r="F111" s="1"/>
  <c r="E125"/>
  <c r="E131" s="1"/>
  <c r="F113" s="1"/>
  <c r="H158"/>
  <c r="I172"/>
  <c r="F172" i="2768"/>
  <c r="F158"/>
  <c r="H172"/>
  <c r="H158"/>
  <c r="J172"/>
  <c r="J107"/>
  <c r="J158"/>
  <c r="G249"/>
  <c r="I249"/>
  <c r="A10"/>
  <c r="G69"/>
  <c r="I69"/>
  <c r="E88"/>
  <c r="E89"/>
  <c r="E90"/>
  <c r="E91"/>
  <c r="E92"/>
  <c r="E93"/>
  <c r="G158"/>
  <c r="G172"/>
  <c r="I158"/>
  <c r="I172"/>
  <c r="H249"/>
  <c r="E243"/>
  <c r="I8" i="49" s="1"/>
  <c r="J249" i="2768"/>
  <c r="F69"/>
  <c r="H69"/>
  <c r="J69"/>
  <c r="F107"/>
  <c r="H107"/>
  <c r="E120"/>
  <c r="E121"/>
  <c r="E127" s="1"/>
  <c r="F109" s="1"/>
  <c r="E122"/>
  <c r="E128" s="1"/>
  <c r="F110" s="1"/>
  <c r="E123"/>
  <c r="E129" s="1"/>
  <c r="F111" s="1"/>
  <c r="E124"/>
  <c r="E130" s="1"/>
  <c r="F112" s="1"/>
  <c r="E125"/>
  <c r="E131" s="1"/>
  <c r="F113" s="1"/>
  <c r="E10" i="2767"/>
  <c r="A11"/>
  <c r="G158"/>
  <c r="G172"/>
  <c r="I158"/>
  <c r="I172"/>
  <c r="H249"/>
  <c r="E243"/>
  <c r="J8" i="49" s="1"/>
  <c r="J249" i="2767"/>
  <c r="E9"/>
  <c r="F69"/>
  <c r="H69"/>
  <c r="F172"/>
  <c r="F158"/>
  <c r="H172"/>
  <c r="H158"/>
  <c r="J172"/>
  <c r="J107"/>
  <c r="J158"/>
  <c r="G249"/>
  <c r="I249"/>
  <c r="G69"/>
  <c r="I69"/>
  <c r="G107"/>
  <c r="I107"/>
  <c r="E120"/>
  <c r="E121"/>
  <c r="E127" s="1"/>
  <c r="F109" s="1"/>
  <c r="E122"/>
  <c r="E128" s="1"/>
  <c r="F110" s="1"/>
  <c r="E123"/>
  <c r="E129" s="1"/>
  <c r="F111" s="1"/>
  <c r="E124"/>
  <c r="E130" s="1"/>
  <c r="F112" s="1"/>
  <c r="E125"/>
  <c r="E131" s="1"/>
  <c r="F113" s="1"/>
  <c r="F172" i="2766"/>
  <c r="F158"/>
  <c r="H172"/>
  <c r="H158"/>
  <c r="J172"/>
  <c r="J107"/>
  <c r="J158"/>
  <c r="G249"/>
  <c r="I249"/>
  <c r="A10"/>
  <c r="G69"/>
  <c r="I69"/>
  <c r="E88"/>
  <c r="E89"/>
  <c r="E90"/>
  <c r="E91"/>
  <c r="E92"/>
  <c r="E93"/>
  <c r="G158"/>
  <c r="G172"/>
  <c r="I158"/>
  <c r="I172"/>
  <c r="H249"/>
  <c r="E243"/>
  <c r="K8" i="49" s="1"/>
  <c r="J249" i="2766"/>
  <c r="F69"/>
  <c r="H69"/>
  <c r="J69"/>
  <c r="F107"/>
  <c r="H107"/>
  <c r="E120"/>
  <c r="E121"/>
  <c r="E127" s="1"/>
  <c r="F109" s="1"/>
  <c r="E122"/>
  <c r="E128" s="1"/>
  <c r="F110" s="1"/>
  <c r="E123"/>
  <c r="E129" s="1"/>
  <c r="F111" s="1"/>
  <c r="E124"/>
  <c r="E130" s="1"/>
  <c r="F112" s="1"/>
  <c r="E125"/>
  <c r="E131" s="1"/>
  <c r="F113" s="1"/>
  <c r="E10" i="2765"/>
  <c r="A11"/>
  <c r="G158"/>
  <c r="G172"/>
  <c r="I158"/>
  <c r="I172"/>
  <c r="H249"/>
  <c r="E243"/>
  <c r="L8" i="49" s="1"/>
  <c r="J249" i="2765"/>
  <c r="E9"/>
  <c r="F69"/>
  <c r="H69"/>
  <c r="F76"/>
  <c r="G76" s="1"/>
  <c r="H76" s="1"/>
  <c r="I76" s="1"/>
  <c r="J76" s="1"/>
  <c r="F77"/>
  <c r="G77" s="1"/>
  <c r="H77" s="1"/>
  <c r="I77" s="1"/>
  <c r="J77" s="1"/>
  <c r="F78"/>
  <c r="G78" s="1"/>
  <c r="H78" s="1"/>
  <c r="I78" s="1"/>
  <c r="J78" s="1"/>
  <c r="F79"/>
  <c r="G79" s="1"/>
  <c r="H79" s="1"/>
  <c r="I79" s="1"/>
  <c r="J79" s="1"/>
  <c r="F80"/>
  <c r="G80" s="1"/>
  <c r="H80" s="1"/>
  <c r="I80" s="1"/>
  <c r="J80" s="1"/>
  <c r="F81"/>
  <c r="G81" s="1"/>
  <c r="H81" s="1"/>
  <c r="I81" s="1"/>
  <c r="J81" s="1"/>
  <c r="F172"/>
  <c r="F158"/>
  <c r="H172"/>
  <c r="H158"/>
  <c r="J172"/>
  <c r="J107"/>
  <c r="J158"/>
  <c r="G249"/>
  <c r="I249"/>
  <c r="G69"/>
  <c r="I69"/>
  <c r="G107"/>
  <c r="I107"/>
  <c r="E120"/>
  <c r="E121"/>
  <c r="E127" s="1"/>
  <c r="F109" s="1"/>
  <c r="E122"/>
  <c r="E128" s="1"/>
  <c r="F110" s="1"/>
  <c r="E123"/>
  <c r="E129" s="1"/>
  <c r="F111" s="1"/>
  <c r="E124"/>
  <c r="E130" s="1"/>
  <c r="F112" s="1"/>
  <c r="E125"/>
  <c r="E131" s="1"/>
  <c r="F113" s="1"/>
  <c r="G158" i="2764"/>
  <c r="G172"/>
  <c r="I158"/>
  <c r="I172"/>
  <c r="I107"/>
  <c r="H249"/>
  <c r="E243"/>
  <c r="M8" i="49" s="1"/>
  <c r="J249" i="2764"/>
  <c r="A11"/>
  <c r="F69"/>
  <c r="H69"/>
  <c r="F76"/>
  <c r="G76" s="1"/>
  <c r="H76" s="1"/>
  <c r="I76" s="1"/>
  <c r="J76" s="1"/>
  <c r="F77"/>
  <c r="G77" s="1"/>
  <c r="H77" s="1"/>
  <c r="I77" s="1"/>
  <c r="J77" s="1"/>
  <c r="F78"/>
  <c r="G78" s="1"/>
  <c r="H78" s="1"/>
  <c r="I78" s="1"/>
  <c r="J78" s="1"/>
  <c r="F79"/>
  <c r="G79" s="1"/>
  <c r="H79" s="1"/>
  <c r="I79" s="1"/>
  <c r="J79" s="1"/>
  <c r="F80"/>
  <c r="G80" s="1"/>
  <c r="H80" s="1"/>
  <c r="I80" s="1"/>
  <c r="J80" s="1"/>
  <c r="F81"/>
  <c r="G81" s="1"/>
  <c r="H81" s="1"/>
  <c r="I81" s="1"/>
  <c r="J81" s="1"/>
  <c r="F172"/>
  <c r="F158"/>
  <c r="H172"/>
  <c r="H158"/>
  <c r="J172"/>
  <c r="J107"/>
  <c r="J158"/>
  <c r="G249"/>
  <c r="I249"/>
  <c r="G69"/>
  <c r="I69"/>
  <c r="G107"/>
  <c r="E120"/>
  <c r="E121"/>
  <c r="E127" s="1"/>
  <c r="F109" s="1"/>
  <c r="E122"/>
  <c r="E128" s="1"/>
  <c r="F110" s="1"/>
  <c r="E123"/>
  <c r="E129" s="1"/>
  <c r="F111" s="1"/>
  <c r="E124"/>
  <c r="E130" s="1"/>
  <c r="F112" s="1"/>
  <c r="E125"/>
  <c r="E131" s="1"/>
  <c r="F113" s="1"/>
  <c r="F172" i="2763"/>
  <c r="F158"/>
  <c r="H172"/>
  <c r="H158"/>
  <c r="J172"/>
  <c r="J107"/>
  <c r="J158"/>
  <c r="G249"/>
  <c r="I249"/>
  <c r="A10"/>
  <c r="G69"/>
  <c r="I69"/>
  <c r="E88"/>
  <c r="E89"/>
  <c r="E90"/>
  <c r="E91"/>
  <c r="E92"/>
  <c r="E93"/>
  <c r="G158"/>
  <c r="G172"/>
  <c r="I158"/>
  <c r="I172"/>
  <c r="H249"/>
  <c r="E243"/>
  <c r="N8" i="49" s="1"/>
  <c r="J249" i="2763"/>
  <c r="F69"/>
  <c r="H69"/>
  <c r="J69"/>
  <c r="F107"/>
  <c r="H107"/>
  <c r="E120"/>
  <c r="E121"/>
  <c r="E127" s="1"/>
  <c r="F109" s="1"/>
  <c r="E122"/>
  <c r="E128" s="1"/>
  <c r="F110" s="1"/>
  <c r="E123"/>
  <c r="E129" s="1"/>
  <c r="F111" s="1"/>
  <c r="E124"/>
  <c r="E130" s="1"/>
  <c r="F112" s="1"/>
  <c r="E125"/>
  <c r="E131" s="1"/>
  <c r="F113" s="1"/>
  <c r="E11" i="2762"/>
  <c r="A12"/>
  <c r="F172"/>
  <c r="F158"/>
  <c r="H172"/>
  <c r="H107"/>
  <c r="H158"/>
  <c r="J172"/>
  <c r="J107"/>
  <c r="J158"/>
  <c r="G249"/>
  <c r="I249"/>
  <c r="E10"/>
  <c r="E88"/>
  <c r="E89"/>
  <c r="E90"/>
  <c r="E91"/>
  <c r="E92"/>
  <c r="E93"/>
  <c r="G158"/>
  <c r="G172"/>
  <c r="G107"/>
  <c r="I158"/>
  <c r="I172"/>
  <c r="I107"/>
  <c r="H249"/>
  <c r="E243"/>
  <c r="O8" i="49" s="1"/>
  <c r="J249" i="2762"/>
  <c r="F69"/>
  <c r="H69"/>
  <c r="J69"/>
  <c r="F107"/>
  <c r="E121"/>
  <c r="E127" s="1"/>
  <c r="F109" s="1"/>
  <c r="E122"/>
  <c r="E128" s="1"/>
  <c r="F110" s="1"/>
  <c r="E123"/>
  <c r="E129" s="1"/>
  <c r="F111" s="1"/>
  <c r="E124"/>
  <c r="E130" s="1"/>
  <c r="F112" s="1"/>
  <c r="E125"/>
  <c r="E131" s="1"/>
  <c r="F113" s="1"/>
  <c r="E10" i="2761"/>
  <c r="A11"/>
  <c r="G158"/>
  <c r="G172"/>
  <c r="I158"/>
  <c r="I172"/>
  <c r="H249"/>
  <c r="E243"/>
  <c r="P8" i="49" s="1"/>
  <c r="J249" i="2761"/>
  <c r="E9"/>
  <c r="F69"/>
  <c r="H69"/>
  <c r="F76"/>
  <c r="G76" s="1"/>
  <c r="H76" s="1"/>
  <c r="I76" s="1"/>
  <c r="J76" s="1"/>
  <c r="F77"/>
  <c r="G77" s="1"/>
  <c r="H77" s="1"/>
  <c r="I77" s="1"/>
  <c r="J77" s="1"/>
  <c r="F78"/>
  <c r="G78" s="1"/>
  <c r="H78" s="1"/>
  <c r="I78" s="1"/>
  <c r="J78" s="1"/>
  <c r="F79"/>
  <c r="G79" s="1"/>
  <c r="H79" s="1"/>
  <c r="I79" s="1"/>
  <c r="J79" s="1"/>
  <c r="F80"/>
  <c r="G80" s="1"/>
  <c r="H80" s="1"/>
  <c r="I80" s="1"/>
  <c r="J80" s="1"/>
  <c r="F81"/>
  <c r="G81" s="1"/>
  <c r="H81" s="1"/>
  <c r="I81" s="1"/>
  <c r="J81" s="1"/>
  <c r="F172"/>
  <c r="F158"/>
  <c r="H172"/>
  <c r="H158"/>
  <c r="J172"/>
  <c r="J107"/>
  <c r="J158"/>
  <c r="G249"/>
  <c r="I249"/>
  <c r="G69"/>
  <c r="I69"/>
  <c r="G107"/>
  <c r="I107"/>
  <c r="E120"/>
  <c r="E121"/>
  <c r="E127" s="1"/>
  <c r="F109" s="1"/>
  <c r="E122"/>
  <c r="E128" s="1"/>
  <c r="F110" s="1"/>
  <c r="E123"/>
  <c r="E129" s="1"/>
  <c r="F111" s="1"/>
  <c r="E124"/>
  <c r="E130" s="1"/>
  <c r="F112" s="1"/>
  <c r="E125"/>
  <c r="E131" s="1"/>
  <c r="F113" s="1"/>
  <c r="G158" i="2760"/>
  <c r="G172"/>
  <c r="I158"/>
  <c r="I172"/>
  <c r="H249"/>
  <c r="E243"/>
  <c r="Q8" i="49" s="1"/>
  <c r="J249" i="2760"/>
  <c r="A11"/>
  <c r="F69"/>
  <c r="H69"/>
  <c r="F76"/>
  <c r="G76" s="1"/>
  <c r="H76" s="1"/>
  <c r="I76" s="1"/>
  <c r="J76" s="1"/>
  <c r="F77"/>
  <c r="G77" s="1"/>
  <c r="H77" s="1"/>
  <c r="I77" s="1"/>
  <c r="J77" s="1"/>
  <c r="F78"/>
  <c r="G78" s="1"/>
  <c r="H78" s="1"/>
  <c r="I78" s="1"/>
  <c r="J78" s="1"/>
  <c r="F79"/>
  <c r="G79" s="1"/>
  <c r="H79" s="1"/>
  <c r="I79" s="1"/>
  <c r="J79" s="1"/>
  <c r="F80"/>
  <c r="G80" s="1"/>
  <c r="H80" s="1"/>
  <c r="I80" s="1"/>
  <c r="J80" s="1"/>
  <c r="F81"/>
  <c r="G81" s="1"/>
  <c r="H81" s="1"/>
  <c r="I81" s="1"/>
  <c r="J81" s="1"/>
  <c r="F172"/>
  <c r="F158"/>
  <c r="H172"/>
  <c r="H158"/>
  <c r="J172"/>
  <c r="J107"/>
  <c r="J158"/>
  <c r="G249"/>
  <c r="I249"/>
  <c r="G69"/>
  <c r="I69"/>
  <c r="G107"/>
  <c r="I107"/>
  <c r="E120"/>
  <c r="E121"/>
  <c r="E127" s="1"/>
  <c r="F109" s="1"/>
  <c r="E122"/>
  <c r="E128" s="1"/>
  <c r="F110" s="1"/>
  <c r="E123"/>
  <c r="E129" s="1"/>
  <c r="F111" s="1"/>
  <c r="E124"/>
  <c r="E130" s="1"/>
  <c r="F112" s="1"/>
  <c r="E125"/>
  <c r="E131" s="1"/>
  <c r="F113" s="1"/>
  <c r="F172" i="2759"/>
  <c r="F158"/>
  <c r="H172"/>
  <c r="H158"/>
  <c r="J172"/>
  <c r="J107"/>
  <c r="J158"/>
  <c r="G249"/>
  <c r="I249"/>
  <c r="A10"/>
  <c r="G69"/>
  <c r="I69"/>
  <c r="E88"/>
  <c r="E89"/>
  <c r="E90"/>
  <c r="E91"/>
  <c r="E92"/>
  <c r="E93"/>
  <c r="G158"/>
  <c r="G172"/>
  <c r="I158"/>
  <c r="I172"/>
  <c r="H249"/>
  <c r="E243"/>
  <c r="R8" i="49" s="1"/>
  <c r="J249" i="2759"/>
  <c r="F69"/>
  <c r="H69"/>
  <c r="J69"/>
  <c r="F107"/>
  <c r="H107"/>
  <c r="E120"/>
  <c r="E121"/>
  <c r="E127" s="1"/>
  <c r="F109" s="1"/>
  <c r="E122"/>
  <c r="E128" s="1"/>
  <c r="F110" s="1"/>
  <c r="E123"/>
  <c r="E129" s="1"/>
  <c r="F111" s="1"/>
  <c r="E124"/>
  <c r="E130" s="1"/>
  <c r="F112" s="1"/>
  <c r="E125"/>
  <c r="E131" s="1"/>
  <c r="F113" s="1"/>
  <c r="E11" i="2758"/>
  <c r="A12"/>
  <c r="F172"/>
  <c r="F158"/>
  <c r="H172"/>
  <c r="H158"/>
  <c r="J172"/>
  <c r="J107"/>
  <c r="J158"/>
  <c r="G249"/>
  <c r="I249"/>
  <c r="E10"/>
  <c r="G69"/>
  <c r="I69"/>
  <c r="E88"/>
  <c r="E89"/>
  <c r="E90"/>
  <c r="E91"/>
  <c r="E92"/>
  <c r="E93"/>
  <c r="G158"/>
  <c r="G172"/>
  <c r="I158"/>
  <c r="I172"/>
  <c r="H249"/>
  <c r="E243"/>
  <c r="S8" i="49" s="1"/>
  <c r="J249" i="2758"/>
  <c r="F69"/>
  <c r="H69"/>
  <c r="J69"/>
  <c r="F107"/>
  <c r="H107"/>
  <c r="E120"/>
  <c r="E121"/>
  <c r="E127" s="1"/>
  <c r="F109" s="1"/>
  <c r="E122"/>
  <c r="E128" s="1"/>
  <c r="F110" s="1"/>
  <c r="E123"/>
  <c r="E129" s="1"/>
  <c r="F111" s="1"/>
  <c r="E124"/>
  <c r="E130" s="1"/>
  <c r="F112" s="1"/>
  <c r="E125"/>
  <c r="E131" s="1"/>
  <c r="F113" s="1"/>
  <c r="F172" i="2757"/>
  <c r="F158"/>
  <c r="H172"/>
  <c r="H158"/>
  <c r="J172"/>
  <c r="J107"/>
  <c r="J158"/>
  <c r="G249"/>
  <c r="I249"/>
  <c r="A10"/>
  <c r="G69"/>
  <c r="I69"/>
  <c r="E88"/>
  <c r="E89"/>
  <c r="E90"/>
  <c r="E91"/>
  <c r="E92"/>
  <c r="E93"/>
  <c r="G158"/>
  <c r="G172"/>
  <c r="I158"/>
  <c r="I172"/>
  <c r="H249"/>
  <c r="E243"/>
  <c r="T8" i="49" s="1"/>
  <c r="J249" i="2757"/>
  <c r="F69"/>
  <c r="H69"/>
  <c r="J69"/>
  <c r="F107"/>
  <c r="H107"/>
  <c r="E120"/>
  <c r="E121"/>
  <c r="E127" s="1"/>
  <c r="F109" s="1"/>
  <c r="E122"/>
  <c r="E128" s="1"/>
  <c r="F110" s="1"/>
  <c r="E123"/>
  <c r="E129" s="1"/>
  <c r="F111" s="1"/>
  <c r="E124"/>
  <c r="E130" s="1"/>
  <c r="F112" s="1"/>
  <c r="E125"/>
  <c r="E131" s="1"/>
  <c r="F113" s="1"/>
  <c r="G34" i="49"/>
  <c r="P34"/>
  <c r="Q34"/>
  <c r="E34"/>
  <c r="F127" i="2772" l="1"/>
  <c r="G109" s="1"/>
  <c r="G122"/>
  <c r="G128" s="1"/>
  <c r="H110" s="1"/>
  <c r="G121"/>
  <c r="G127" s="1"/>
  <c r="H109" s="1"/>
  <c r="G124"/>
  <c r="G130" s="1"/>
  <c r="H112" s="1"/>
  <c r="G123"/>
  <c r="G129" s="1"/>
  <c r="H111" s="1"/>
  <c r="A12"/>
  <c r="E11"/>
  <c r="G125"/>
  <c r="G131" s="1"/>
  <c r="H113" s="1"/>
  <c r="F125" i="2771"/>
  <c r="F131" s="1"/>
  <c r="G113" s="1"/>
  <c r="F123"/>
  <c r="F129" s="1"/>
  <c r="G111" s="1"/>
  <c r="F121"/>
  <c r="F127" s="1"/>
  <c r="G109" s="1"/>
  <c r="F124"/>
  <c r="F130" s="1"/>
  <c r="G112" s="1"/>
  <c r="F122"/>
  <c r="F128" s="1"/>
  <c r="G110" s="1"/>
  <c r="E132"/>
  <c r="A12"/>
  <c r="E11"/>
  <c r="F125" i="2770"/>
  <c r="F131" s="1"/>
  <c r="G113" s="1"/>
  <c r="F123"/>
  <c r="F129" s="1"/>
  <c r="G111" s="1"/>
  <c r="F121"/>
  <c r="F127" s="1"/>
  <c r="G109" s="1"/>
  <c r="F124"/>
  <c r="F130" s="1"/>
  <c r="G112" s="1"/>
  <c r="F122"/>
  <c r="F128" s="1"/>
  <c r="G110" s="1"/>
  <c r="E132"/>
  <c r="A12"/>
  <c r="E11"/>
  <c r="F125" i="2769"/>
  <c r="F131" s="1"/>
  <c r="G113" s="1"/>
  <c r="F121"/>
  <c r="F127" s="1"/>
  <c r="G109" s="1"/>
  <c r="F124"/>
  <c r="F130" s="1"/>
  <c r="G112" s="1"/>
  <c r="E132"/>
  <c r="E102"/>
  <c r="F123"/>
  <c r="F129" s="1"/>
  <c r="G111" s="1"/>
  <c r="F122"/>
  <c r="F128" s="1"/>
  <c r="G110" s="1"/>
  <c r="A12"/>
  <c r="E11"/>
  <c r="F124" i="2768"/>
  <c r="F130" s="1"/>
  <c r="G112" s="1"/>
  <c r="F122"/>
  <c r="F128" s="1"/>
  <c r="G110" s="1"/>
  <c r="E132"/>
  <c r="E102"/>
  <c r="F125"/>
  <c r="F131" s="1"/>
  <c r="G113" s="1"/>
  <c r="F123"/>
  <c r="F129" s="1"/>
  <c r="G111" s="1"/>
  <c r="F121"/>
  <c r="F127" s="1"/>
  <c r="G109" s="1"/>
  <c r="A11"/>
  <c r="E10"/>
  <c r="F125" i="2767"/>
  <c r="F131" s="1"/>
  <c r="G113" s="1"/>
  <c r="F123"/>
  <c r="F129" s="1"/>
  <c r="G111" s="1"/>
  <c r="F121"/>
  <c r="F127" s="1"/>
  <c r="G109" s="1"/>
  <c r="F124"/>
  <c r="F130" s="1"/>
  <c r="G112" s="1"/>
  <c r="F122"/>
  <c r="F128" s="1"/>
  <c r="G110" s="1"/>
  <c r="E132"/>
  <c r="A12"/>
  <c r="E11"/>
  <c r="F124" i="2766"/>
  <c r="F130" s="1"/>
  <c r="G112" s="1"/>
  <c r="F122"/>
  <c r="F128" s="1"/>
  <c r="G110" s="1"/>
  <c r="E132"/>
  <c r="E102"/>
  <c r="F125"/>
  <c r="F131" s="1"/>
  <c r="G113" s="1"/>
  <c r="F123"/>
  <c r="F129" s="1"/>
  <c r="G111" s="1"/>
  <c r="F121"/>
  <c r="F127" s="1"/>
  <c r="G109" s="1"/>
  <c r="A11"/>
  <c r="E10"/>
  <c r="F125" i="2765"/>
  <c r="F131" s="1"/>
  <c r="G113" s="1"/>
  <c r="F123"/>
  <c r="F129" s="1"/>
  <c r="G111" s="1"/>
  <c r="F121"/>
  <c r="F127" s="1"/>
  <c r="G109" s="1"/>
  <c r="F124"/>
  <c r="F130" s="1"/>
  <c r="G112" s="1"/>
  <c r="F122"/>
  <c r="F128" s="1"/>
  <c r="G110" s="1"/>
  <c r="E132"/>
  <c r="A12"/>
  <c r="E11"/>
  <c r="F125" i="2764"/>
  <c r="F131" s="1"/>
  <c r="G113" s="1"/>
  <c r="F123"/>
  <c r="F129" s="1"/>
  <c r="G111" s="1"/>
  <c r="F121"/>
  <c r="F127" s="1"/>
  <c r="G109" s="1"/>
  <c r="A12"/>
  <c r="E11"/>
  <c r="F124"/>
  <c r="F130" s="1"/>
  <c r="G112" s="1"/>
  <c r="F122"/>
  <c r="F128" s="1"/>
  <c r="G110" s="1"/>
  <c r="E132"/>
  <c r="F124" i="2763"/>
  <c r="F130" s="1"/>
  <c r="G112" s="1"/>
  <c r="F122"/>
  <c r="F128" s="1"/>
  <c r="G110" s="1"/>
  <c r="E132"/>
  <c r="E102"/>
  <c r="F125"/>
  <c r="F131" s="1"/>
  <c r="G113" s="1"/>
  <c r="F123"/>
  <c r="F129" s="1"/>
  <c r="G111" s="1"/>
  <c r="F121"/>
  <c r="F127" s="1"/>
  <c r="G109" s="1"/>
  <c r="A11"/>
  <c r="E10"/>
  <c r="F125" i="2762"/>
  <c r="F131" s="1"/>
  <c r="G113" s="1"/>
  <c r="F123"/>
  <c r="F129" s="1"/>
  <c r="G111" s="1"/>
  <c r="F121"/>
  <c r="F127" s="1"/>
  <c r="G109" s="1"/>
  <c r="E59"/>
  <c r="E132"/>
  <c r="F124"/>
  <c r="F130" s="1"/>
  <c r="G112" s="1"/>
  <c r="F122"/>
  <c r="F128" s="1"/>
  <c r="G110" s="1"/>
  <c r="A13"/>
  <c r="E12"/>
  <c r="E102"/>
  <c r="F125" i="2761"/>
  <c r="F131" s="1"/>
  <c r="G113" s="1"/>
  <c r="F123"/>
  <c r="F129" s="1"/>
  <c r="G111" s="1"/>
  <c r="F121"/>
  <c r="F127" s="1"/>
  <c r="G109" s="1"/>
  <c r="F124"/>
  <c r="F130" s="1"/>
  <c r="G112" s="1"/>
  <c r="F122"/>
  <c r="F128" s="1"/>
  <c r="G110" s="1"/>
  <c r="E132"/>
  <c r="A12"/>
  <c r="E11"/>
  <c r="F125" i="2760"/>
  <c r="F131" s="1"/>
  <c r="G113" s="1"/>
  <c r="F123"/>
  <c r="F129" s="1"/>
  <c r="G111" s="1"/>
  <c r="F121"/>
  <c r="F127" s="1"/>
  <c r="G109" s="1"/>
  <c r="F124"/>
  <c r="F130" s="1"/>
  <c r="G112" s="1"/>
  <c r="F122"/>
  <c r="F128" s="1"/>
  <c r="G110" s="1"/>
  <c r="E132"/>
  <c r="A12"/>
  <c r="E11"/>
  <c r="F124" i="2759"/>
  <c r="F130" s="1"/>
  <c r="G112" s="1"/>
  <c r="F122"/>
  <c r="F128" s="1"/>
  <c r="G110" s="1"/>
  <c r="E132"/>
  <c r="E102"/>
  <c r="F125"/>
  <c r="F131" s="1"/>
  <c r="G113" s="1"/>
  <c r="F123"/>
  <c r="F129" s="1"/>
  <c r="G111" s="1"/>
  <c r="F121"/>
  <c r="F127" s="1"/>
  <c r="G109" s="1"/>
  <c r="A11"/>
  <c r="E10"/>
  <c r="F124" i="2758"/>
  <c r="F130" s="1"/>
  <c r="G112" s="1"/>
  <c r="F122"/>
  <c r="F128" s="1"/>
  <c r="G110" s="1"/>
  <c r="E132"/>
  <c r="E59"/>
  <c r="E102"/>
  <c r="F125"/>
  <c r="F131" s="1"/>
  <c r="G113" s="1"/>
  <c r="F123"/>
  <c r="F129" s="1"/>
  <c r="G111" s="1"/>
  <c r="F121"/>
  <c r="F127" s="1"/>
  <c r="G109" s="1"/>
  <c r="A13"/>
  <c r="E12"/>
  <c r="F124" i="2757"/>
  <c r="F130" s="1"/>
  <c r="G112" s="1"/>
  <c r="F122"/>
  <c r="F128" s="1"/>
  <c r="G110" s="1"/>
  <c r="E132"/>
  <c r="E102"/>
  <c r="F125"/>
  <c r="F131" s="1"/>
  <c r="G113" s="1"/>
  <c r="F123"/>
  <c r="F129" s="1"/>
  <c r="G111" s="1"/>
  <c r="F121"/>
  <c r="F127" s="1"/>
  <c r="G109" s="1"/>
  <c r="A11"/>
  <c r="E10"/>
  <c r="H125" i="2772" l="1"/>
  <c r="H131" s="1"/>
  <c r="I113" s="1"/>
  <c r="E59"/>
  <c r="H123"/>
  <c r="H129" s="1"/>
  <c r="I111" s="1"/>
  <c r="H124"/>
  <c r="H130" s="1"/>
  <c r="I112" s="1"/>
  <c r="H121"/>
  <c r="H127" s="1"/>
  <c r="I109" s="1"/>
  <c r="H122"/>
  <c r="H128" s="1"/>
  <c r="I110" s="1"/>
  <c r="E12"/>
  <c r="A13"/>
  <c r="G121" i="2771"/>
  <c r="G127" s="1"/>
  <c r="H109" s="1"/>
  <c r="G125"/>
  <c r="G131" s="1"/>
  <c r="H113" s="1"/>
  <c r="G124"/>
  <c r="G130" s="1"/>
  <c r="H112" s="1"/>
  <c r="G123"/>
  <c r="G129" s="1"/>
  <c r="H111" s="1"/>
  <c r="E59"/>
  <c r="E12"/>
  <c r="A13"/>
  <c r="G122"/>
  <c r="G128" s="1"/>
  <c r="H110" s="1"/>
  <c r="G122" i="2770"/>
  <c r="G128" s="1"/>
  <c r="H110" s="1"/>
  <c r="G121"/>
  <c r="G127" s="1"/>
  <c r="H109" s="1"/>
  <c r="G125"/>
  <c r="G131" s="1"/>
  <c r="H113" s="1"/>
  <c r="G124"/>
  <c r="G130" s="1"/>
  <c r="H112" s="1"/>
  <c r="G123"/>
  <c r="G129" s="1"/>
  <c r="H111" s="1"/>
  <c r="E59"/>
  <c r="E12"/>
  <c r="A13"/>
  <c r="G123" i="2769"/>
  <c r="G129" s="1"/>
  <c r="H111" s="1"/>
  <c r="G122"/>
  <c r="G128" s="1"/>
  <c r="H110" s="1"/>
  <c r="E59"/>
  <c r="G124"/>
  <c r="G130" s="1"/>
  <c r="H112" s="1"/>
  <c r="G121"/>
  <c r="G127" s="1"/>
  <c r="H109" s="1"/>
  <c r="G125"/>
  <c r="G131" s="1"/>
  <c r="H113" s="1"/>
  <c r="E12"/>
  <c r="A13"/>
  <c r="G123" i="2768"/>
  <c r="G129" s="1"/>
  <c r="H111" s="1"/>
  <c r="G124"/>
  <c r="G130" s="1"/>
  <c r="H112" s="1"/>
  <c r="G121"/>
  <c r="G127" s="1"/>
  <c r="H109" s="1"/>
  <c r="G125"/>
  <c r="G131" s="1"/>
  <c r="H113" s="1"/>
  <c r="G122"/>
  <c r="G128" s="1"/>
  <c r="H110" s="1"/>
  <c r="E11"/>
  <c r="A12"/>
  <c r="G121" i="2767"/>
  <c r="G127" s="1"/>
  <c r="H109" s="1"/>
  <c r="G125"/>
  <c r="G131" s="1"/>
  <c r="H113" s="1"/>
  <c r="G123"/>
  <c r="G129" s="1"/>
  <c r="H111" s="1"/>
  <c r="E59"/>
  <c r="E12"/>
  <c r="A13"/>
  <c r="G122"/>
  <c r="G128" s="1"/>
  <c r="H110" s="1"/>
  <c r="G124"/>
  <c r="G130" s="1"/>
  <c r="H112" s="1"/>
  <c r="G124" i="2766"/>
  <c r="G130" s="1"/>
  <c r="H112" s="1"/>
  <c r="G122"/>
  <c r="G128" s="1"/>
  <c r="H110" s="1"/>
  <c r="E11"/>
  <c r="A12"/>
  <c r="G121"/>
  <c r="G127" s="1"/>
  <c r="H109" s="1"/>
  <c r="G123"/>
  <c r="G129" s="1"/>
  <c r="H111" s="1"/>
  <c r="G125"/>
  <c r="G131" s="1"/>
  <c r="H113" s="1"/>
  <c r="G121" i="2765"/>
  <c r="G127" s="1"/>
  <c r="H109" s="1"/>
  <c r="G125"/>
  <c r="G131" s="1"/>
  <c r="H113" s="1"/>
  <c r="G123"/>
  <c r="G129" s="1"/>
  <c r="H111" s="1"/>
  <c r="E59"/>
  <c r="E12"/>
  <c r="A13"/>
  <c r="G122"/>
  <c r="G128" s="1"/>
  <c r="H110" s="1"/>
  <c r="G124"/>
  <c r="G130" s="1"/>
  <c r="H112" s="1"/>
  <c r="G121" i="2764"/>
  <c r="G127" s="1"/>
  <c r="H109" s="1"/>
  <c r="G125"/>
  <c r="G131" s="1"/>
  <c r="H113" s="1"/>
  <c r="G123"/>
  <c r="G129" s="1"/>
  <c r="H111" s="1"/>
  <c r="E12"/>
  <c r="A13"/>
  <c r="G122"/>
  <c r="G128" s="1"/>
  <c r="H110" s="1"/>
  <c r="G124"/>
  <c r="G130" s="1"/>
  <c r="H112" s="1"/>
  <c r="E59"/>
  <c r="G124" i="2763"/>
  <c r="G130" s="1"/>
  <c r="H112" s="1"/>
  <c r="G122"/>
  <c r="G128" s="1"/>
  <c r="H110" s="1"/>
  <c r="E11"/>
  <c r="A12"/>
  <c r="G121"/>
  <c r="G127" s="1"/>
  <c r="H109" s="1"/>
  <c r="G123"/>
  <c r="G129" s="1"/>
  <c r="H111" s="1"/>
  <c r="G125"/>
  <c r="G131" s="1"/>
  <c r="H113" s="1"/>
  <c r="G124" i="2762"/>
  <c r="G130" s="1"/>
  <c r="H112" s="1"/>
  <c r="G125"/>
  <c r="G131" s="1"/>
  <c r="H113" s="1"/>
  <c r="G122"/>
  <c r="G128" s="1"/>
  <c r="H110" s="1"/>
  <c r="E137"/>
  <c r="E61"/>
  <c r="G121"/>
  <c r="G127" s="1"/>
  <c r="H109" s="1"/>
  <c r="G123"/>
  <c r="G129" s="1"/>
  <c r="H111" s="1"/>
  <c r="E13"/>
  <c r="A14"/>
  <c r="E143"/>
  <c r="E171" s="1"/>
  <c r="E135"/>
  <c r="G121" i="2761"/>
  <c r="G127" s="1"/>
  <c r="H109" s="1"/>
  <c r="G125"/>
  <c r="G131" s="1"/>
  <c r="H113" s="1"/>
  <c r="G123"/>
  <c r="G129" s="1"/>
  <c r="H111" s="1"/>
  <c r="E59"/>
  <c r="E12"/>
  <c r="A13"/>
  <c r="G122"/>
  <c r="G128" s="1"/>
  <c r="H110" s="1"/>
  <c r="G124"/>
  <c r="G130" s="1"/>
  <c r="H112" s="1"/>
  <c r="G121" i="2760"/>
  <c r="G127" s="1"/>
  <c r="H109" s="1"/>
  <c r="G125"/>
  <c r="G131" s="1"/>
  <c r="H113" s="1"/>
  <c r="G124"/>
  <c r="G130" s="1"/>
  <c r="H112" s="1"/>
  <c r="G123"/>
  <c r="G129" s="1"/>
  <c r="H111" s="1"/>
  <c r="E59"/>
  <c r="E12"/>
  <c r="A13"/>
  <c r="G122"/>
  <c r="G128" s="1"/>
  <c r="H110" s="1"/>
  <c r="G123" i="2759"/>
  <c r="G129" s="1"/>
  <c r="H111" s="1"/>
  <c r="G124"/>
  <c r="G130" s="1"/>
  <c r="H112" s="1"/>
  <c r="G121"/>
  <c r="G127" s="1"/>
  <c r="H109" s="1"/>
  <c r="G125"/>
  <c r="G131" s="1"/>
  <c r="H113" s="1"/>
  <c r="G122"/>
  <c r="G128" s="1"/>
  <c r="H110" s="1"/>
  <c r="E11"/>
  <c r="A12"/>
  <c r="G121" i="2758"/>
  <c r="G127" s="1"/>
  <c r="H109" s="1"/>
  <c r="G125"/>
  <c r="G131" s="1"/>
  <c r="H113" s="1"/>
  <c r="G124"/>
  <c r="G130" s="1"/>
  <c r="H112" s="1"/>
  <c r="G123"/>
  <c r="G129" s="1"/>
  <c r="H111" s="1"/>
  <c r="G122"/>
  <c r="G128" s="1"/>
  <c r="H110" s="1"/>
  <c r="E137"/>
  <c r="E61"/>
  <c r="E13"/>
  <c r="A14"/>
  <c r="E143"/>
  <c r="E171" s="1"/>
  <c r="E135"/>
  <c r="G123" i="2757"/>
  <c r="G129" s="1"/>
  <c r="H111" s="1"/>
  <c r="G124"/>
  <c r="G130" s="1"/>
  <c r="H112" s="1"/>
  <c r="G121"/>
  <c r="G127" s="1"/>
  <c r="H109" s="1"/>
  <c r="G125"/>
  <c r="G131" s="1"/>
  <c r="H113" s="1"/>
  <c r="G122"/>
  <c r="G128" s="1"/>
  <c r="H110" s="1"/>
  <c r="E11"/>
  <c r="A12"/>
  <c r="F28" i="49"/>
  <c r="H28"/>
  <c r="J28"/>
  <c r="L28"/>
  <c r="N28"/>
  <c r="P28"/>
  <c r="R28"/>
  <c r="T28"/>
  <c r="E28"/>
  <c r="G28"/>
  <c r="I28"/>
  <c r="K28"/>
  <c r="M28"/>
  <c r="O28"/>
  <c r="Q28"/>
  <c r="S28"/>
  <c r="I121" i="2772" l="1"/>
  <c r="I127" s="1"/>
  <c r="J109" s="1"/>
  <c r="I123"/>
  <c r="I129" s="1"/>
  <c r="J111" s="1"/>
  <c r="I125"/>
  <c r="I131" s="1"/>
  <c r="J113" s="1"/>
  <c r="I122"/>
  <c r="I128" s="1"/>
  <c r="J110" s="1"/>
  <c r="I124"/>
  <c r="I130" s="1"/>
  <c r="J112" s="1"/>
  <c r="E137"/>
  <c r="E61"/>
  <c r="E143"/>
  <c r="E171" s="1"/>
  <c r="E135"/>
  <c r="A14"/>
  <c r="E13"/>
  <c r="H122" i="2771"/>
  <c r="H128" s="1"/>
  <c r="I110" s="1"/>
  <c r="E137"/>
  <c r="E61"/>
  <c r="A14"/>
  <c r="E13"/>
  <c r="E143"/>
  <c r="E171" s="1"/>
  <c r="E135"/>
  <c r="H123"/>
  <c r="H129" s="1"/>
  <c r="I111" s="1"/>
  <c r="H124"/>
  <c r="H130" s="1"/>
  <c r="I112" s="1"/>
  <c r="H125"/>
  <c r="H131" s="1"/>
  <c r="I113" s="1"/>
  <c r="H121"/>
  <c r="H127" s="1"/>
  <c r="I109" s="1"/>
  <c r="H122" i="2770"/>
  <c r="H128" s="1"/>
  <c r="I110" s="1"/>
  <c r="E137"/>
  <c r="E61"/>
  <c r="A14"/>
  <c r="E13"/>
  <c r="E143"/>
  <c r="E171" s="1"/>
  <c r="E135"/>
  <c r="H123"/>
  <c r="H129" s="1"/>
  <c r="I111" s="1"/>
  <c r="H124"/>
  <c r="H130" s="1"/>
  <c r="I112" s="1"/>
  <c r="H125"/>
  <c r="H131" s="1"/>
  <c r="I113" s="1"/>
  <c r="H121"/>
  <c r="H127" s="1"/>
  <c r="I109" s="1"/>
  <c r="H121" i="2769"/>
  <c r="H127" s="1"/>
  <c r="I109" s="1"/>
  <c r="H123"/>
  <c r="H129" s="1"/>
  <c r="I111" s="1"/>
  <c r="H125"/>
  <c r="H131" s="1"/>
  <c r="I113" s="1"/>
  <c r="H124"/>
  <c r="H130" s="1"/>
  <c r="I112" s="1"/>
  <c r="H122"/>
  <c r="H128" s="1"/>
  <c r="I110" s="1"/>
  <c r="E137"/>
  <c r="E61"/>
  <c r="E135"/>
  <c r="E143"/>
  <c r="E171" s="1"/>
  <c r="A14"/>
  <c r="E13"/>
  <c r="H122" i="2768"/>
  <c r="H128" s="1"/>
  <c r="I110" s="1"/>
  <c r="H121"/>
  <c r="H127" s="1"/>
  <c r="I109" s="1"/>
  <c r="H123"/>
  <c r="H129" s="1"/>
  <c r="I111" s="1"/>
  <c r="H125"/>
  <c r="H131" s="1"/>
  <c r="I113" s="1"/>
  <c r="H124"/>
  <c r="H130" s="1"/>
  <c r="I112" s="1"/>
  <c r="A13"/>
  <c r="E12"/>
  <c r="E59"/>
  <c r="A14" i="2767"/>
  <c r="E13"/>
  <c r="H124"/>
  <c r="H130" s="1"/>
  <c r="I112" s="1"/>
  <c r="H122"/>
  <c r="H128" s="1"/>
  <c r="I110" s="1"/>
  <c r="E137"/>
  <c r="E61"/>
  <c r="E143"/>
  <c r="E171" s="1"/>
  <c r="E135"/>
  <c r="H123"/>
  <c r="H129" s="1"/>
  <c r="I111" s="1"/>
  <c r="H125"/>
  <c r="H131" s="1"/>
  <c r="I113" s="1"/>
  <c r="H121"/>
  <c r="H127" s="1"/>
  <c r="I109" s="1"/>
  <c r="H124" i="2766"/>
  <c r="H130" s="1"/>
  <c r="I112" s="1"/>
  <c r="H122"/>
  <c r="H128" s="1"/>
  <c r="I110" s="1"/>
  <c r="A13"/>
  <c r="E12"/>
  <c r="H125"/>
  <c r="H131" s="1"/>
  <c r="I113" s="1"/>
  <c r="H123"/>
  <c r="H129" s="1"/>
  <c r="I111" s="1"/>
  <c r="H121"/>
  <c r="H127" s="1"/>
  <c r="I109" s="1"/>
  <c r="E59"/>
  <c r="H123" i="2765"/>
  <c r="H129" s="1"/>
  <c r="I111" s="1"/>
  <c r="H121"/>
  <c r="H127" s="1"/>
  <c r="I109" s="1"/>
  <c r="H125"/>
  <c r="H131" s="1"/>
  <c r="I113" s="1"/>
  <c r="H124"/>
  <c r="H130" s="1"/>
  <c r="I112" s="1"/>
  <c r="H122"/>
  <c r="H128" s="1"/>
  <c r="I110" s="1"/>
  <c r="E137"/>
  <c r="E61"/>
  <c r="A14"/>
  <c r="E13"/>
  <c r="E143"/>
  <c r="E171" s="1"/>
  <c r="E135"/>
  <c r="A14" i="2764"/>
  <c r="E13"/>
  <c r="E143"/>
  <c r="E171" s="1"/>
  <c r="E135"/>
  <c r="H124"/>
  <c r="H130" s="1"/>
  <c r="I112" s="1"/>
  <c r="H122"/>
  <c r="H128" s="1"/>
  <c r="I110" s="1"/>
  <c r="E137"/>
  <c r="E61"/>
  <c r="H123"/>
  <c r="H129" s="1"/>
  <c r="I111" s="1"/>
  <c r="H125"/>
  <c r="H131" s="1"/>
  <c r="I113" s="1"/>
  <c r="H121"/>
  <c r="H127" s="1"/>
  <c r="I109" s="1"/>
  <c r="H124" i="2763"/>
  <c r="H130" s="1"/>
  <c r="I112" s="1"/>
  <c r="H122"/>
  <c r="H128" s="1"/>
  <c r="I110" s="1"/>
  <c r="A13"/>
  <c r="E12"/>
  <c r="H125"/>
  <c r="H131" s="1"/>
  <c r="I113" s="1"/>
  <c r="H123"/>
  <c r="H129" s="1"/>
  <c r="I111" s="1"/>
  <c r="H121"/>
  <c r="H127" s="1"/>
  <c r="I109" s="1"/>
  <c r="E59"/>
  <c r="H122" i="2762"/>
  <c r="H128" s="1"/>
  <c r="I110" s="1"/>
  <c r="H124"/>
  <c r="H130" s="1"/>
  <c r="I112" s="1"/>
  <c r="H125"/>
  <c r="H131" s="1"/>
  <c r="I113" s="1"/>
  <c r="E138"/>
  <c r="E62"/>
  <c r="A15"/>
  <c r="E14"/>
  <c r="H123"/>
  <c r="H129" s="1"/>
  <c r="I111" s="1"/>
  <c r="H121"/>
  <c r="H127" s="1"/>
  <c r="I109" s="1"/>
  <c r="H124" i="2761"/>
  <c r="H130" s="1"/>
  <c r="I112" s="1"/>
  <c r="H122"/>
  <c r="H128" s="1"/>
  <c r="I110" s="1"/>
  <c r="E137"/>
  <c r="E61"/>
  <c r="A14"/>
  <c r="E13"/>
  <c r="E143"/>
  <c r="E171" s="1"/>
  <c r="E135"/>
  <c r="H123"/>
  <c r="H129" s="1"/>
  <c r="I111" s="1"/>
  <c r="H125"/>
  <c r="H131" s="1"/>
  <c r="I113" s="1"/>
  <c r="H121"/>
  <c r="H127" s="1"/>
  <c r="I109" s="1"/>
  <c r="H122" i="2760"/>
  <c r="H128" s="1"/>
  <c r="I110" s="1"/>
  <c r="E137"/>
  <c r="E61"/>
  <c r="A14"/>
  <c r="E13"/>
  <c r="E143"/>
  <c r="E171" s="1"/>
  <c r="E135"/>
  <c r="H123"/>
  <c r="H129" s="1"/>
  <c r="I111" s="1"/>
  <c r="H124"/>
  <c r="H130" s="1"/>
  <c r="I112" s="1"/>
  <c r="H125"/>
  <c r="H131" s="1"/>
  <c r="I113" s="1"/>
  <c r="H121"/>
  <c r="H127" s="1"/>
  <c r="I109" s="1"/>
  <c r="H122" i="2759"/>
  <c r="H128" s="1"/>
  <c r="I110" s="1"/>
  <c r="H121"/>
  <c r="H127" s="1"/>
  <c r="I109" s="1"/>
  <c r="H123"/>
  <c r="H129" s="1"/>
  <c r="I111" s="1"/>
  <c r="H125"/>
  <c r="H131" s="1"/>
  <c r="I113" s="1"/>
  <c r="H124"/>
  <c r="H130" s="1"/>
  <c r="I112" s="1"/>
  <c r="A13"/>
  <c r="E12"/>
  <c r="E59"/>
  <c r="H121" i="2758"/>
  <c r="H127" s="1"/>
  <c r="I109" s="1"/>
  <c r="H125"/>
  <c r="H131" s="1"/>
  <c r="I113" s="1"/>
  <c r="E138"/>
  <c r="E62"/>
  <c r="H122"/>
  <c r="H128" s="1"/>
  <c r="I110" s="1"/>
  <c r="H123"/>
  <c r="H129" s="1"/>
  <c r="I111" s="1"/>
  <c r="H124"/>
  <c r="H130" s="1"/>
  <c r="I112" s="1"/>
  <c r="A15"/>
  <c r="E14"/>
  <c r="H123" i="2757"/>
  <c r="H129" s="1"/>
  <c r="I111" s="1"/>
  <c r="A13"/>
  <c r="E12"/>
  <c r="H122"/>
  <c r="H128" s="1"/>
  <c r="I110" s="1"/>
  <c r="H125"/>
  <c r="H131" s="1"/>
  <c r="I113" s="1"/>
  <c r="H121"/>
  <c r="H127" s="1"/>
  <c r="I109" s="1"/>
  <c r="H124"/>
  <c r="H130" s="1"/>
  <c r="I112" s="1"/>
  <c r="E59"/>
  <c r="J121" i="2772" l="1"/>
  <c r="J127" s="1"/>
  <c r="J123"/>
  <c r="J129" s="1"/>
  <c r="E138"/>
  <c r="E62"/>
  <c r="E14"/>
  <c r="A15"/>
  <c r="J124"/>
  <c r="J130" s="1"/>
  <c r="J122"/>
  <c r="J128" s="1"/>
  <c r="J125"/>
  <c r="J131" s="1"/>
  <c r="I121" i="2771"/>
  <c r="I127" s="1"/>
  <c r="J109" s="1"/>
  <c r="I124"/>
  <c r="I130" s="1"/>
  <c r="J112" s="1"/>
  <c r="I122"/>
  <c r="I128" s="1"/>
  <c r="J110" s="1"/>
  <c r="I125"/>
  <c r="I131" s="1"/>
  <c r="J113" s="1"/>
  <c r="I123"/>
  <c r="I129" s="1"/>
  <c r="J111" s="1"/>
  <c r="E138"/>
  <c r="E62"/>
  <c r="E14"/>
  <c r="A15"/>
  <c r="I121" i="2770"/>
  <c r="I127" s="1"/>
  <c r="J109" s="1"/>
  <c r="I124"/>
  <c r="I130" s="1"/>
  <c r="J112" s="1"/>
  <c r="I125"/>
  <c r="I131" s="1"/>
  <c r="J113" s="1"/>
  <c r="I123"/>
  <c r="I129" s="1"/>
  <c r="J111" s="1"/>
  <c r="E14"/>
  <c r="A15"/>
  <c r="E138"/>
  <c r="E62"/>
  <c r="I122"/>
  <c r="I128" s="1"/>
  <c r="J110" s="1"/>
  <c r="I122" i="2769"/>
  <c r="I128" s="1"/>
  <c r="J110" s="1"/>
  <c r="I125"/>
  <c r="I131" s="1"/>
  <c r="J113" s="1"/>
  <c r="I124"/>
  <c r="I130" s="1"/>
  <c r="J112" s="1"/>
  <c r="E138"/>
  <c r="E62"/>
  <c r="I123"/>
  <c r="I129" s="1"/>
  <c r="J111" s="1"/>
  <c r="I121"/>
  <c r="I127" s="1"/>
  <c r="J109" s="1"/>
  <c r="E14"/>
  <c r="A15"/>
  <c r="I125" i="2768"/>
  <c r="I131" s="1"/>
  <c r="J113" s="1"/>
  <c r="I124"/>
  <c r="I130" s="1"/>
  <c r="J112" s="1"/>
  <c r="E137"/>
  <c r="E61"/>
  <c r="I123"/>
  <c r="I129" s="1"/>
  <c r="J111" s="1"/>
  <c r="I121"/>
  <c r="I127" s="1"/>
  <c r="J109" s="1"/>
  <c r="I122"/>
  <c r="I128" s="1"/>
  <c r="J110" s="1"/>
  <c r="E143"/>
  <c r="E171" s="1"/>
  <c r="E135"/>
  <c r="E13"/>
  <c r="A14"/>
  <c r="I121" i="2767"/>
  <c r="I127" s="1"/>
  <c r="J109" s="1"/>
  <c r="I125"/>
  <c r="I131" s="1"/>
  <c r="J113" s="1"/>
  <c r="I123"/>
  <c r="I129" s="1"/>
  <c r="J111" s="1"/>
  <c r="I122"/>
  <c r="I128" s="1"/>
  <c r="J110" s="1"/>
  <c r="I124"/>
  <c r="I130" s="1"/>
  <c r="J112" s="1"/>
  <c r="E138"/>
  <c r="E62"/>
  <c r="E14"/>
  <c r="A15"/>
  <c r="I123" i="2766"/>
  <c r="I129" s="1"/>
  <c r="J111" s="1"/>
  <c r="I124"/>
  <c r="I130" s="1"/>
  <c r="J112" s="1"/>
  <c r="I121"/>
  <c r="I127" s="1"/>
  <c r="J109" s="1"/>
  <c r="I125"/>
  <c r="I131" s="1"/>
  <c r="J113" s="1"/>
  <c r="E143"/>
  <c r="E171" s="1"/>
  <c r="E135"/>
  <c r="E137"/>
  <c r="E61"/>
  <c r="E13"/>
  <c r="A14"/>
  <c r="I122"/>
  <c r="I128" s="1"/>
  <c r="J110" s="1"/>
  <c r="I122" i="2765"/>
  <c r="I128" s="1"/>
  <c r="J110" s="1"/>
  <c r="I123"/>
  <c r="I129" s="1"/>
  <c r="J111" s="1"/>
  <c r="I124"/>
  <c r="I130" s="1"/>
  <c r="J112" s="1"/>
  <c r="E138"/>
  <c r="E62"/>
  <c r="I125"/>
  <c r="I131" s="1"/>
  <c r="J113" s="1"/>
  <c r="I121"/>
  <c r="I127" s="1"/>
  <c r="J109" s="1"/>
  <c r="E14"/>
  <c r="A15"/>
  <c r="I121" i="2764"/>
  <c r="I127" s="1"/>
  <c r="J109" s="1"/>
  <c r="I125"/>
  <c r="I131" s="1"/>
  <c r="J113" s="1"/>
  <c r="I123"/>
  <c r="I129" s="1"/>
  <c r="J111" s="1"/>
  <c r="I122"/>
  <c r="I128" s="1"/>
  <c r="J110" s="1"/>
  <c r="I124"/>
  <c r="I130" s="1"/>
  <c r="J112" s="1"/>
  <c r="E138"/>
  <c r="E62"/>
  <c r="E14"/>
  <c r="A15"/>
  <c r="I123" i="2763"/>
  <c r="I129" s="1"/>
  <c r="J111" s="1"/>
  <c r="I124"/>
  <c r="I130" s="1"/>
  <c r="J112" s="1"/>
  <c r="I121"/>
  <c r="I127" s="1"/>
  <c r="J109" s="1"/>
  <c r="I125"/>
  <c r="I131" s="1"/>
  <c r="J113" s="1"/>
  <c r="E143"/>
  <c r="E171" s="1"/>
  <c r="E135"/>
  <c r="E137"/>
  <c r="E61"/>
  <c r="E13"/>
  <c r="A14"/>
  <c r="I122"/>
  <c r="I128" s="1"/>
  <c r="J110" s="1"/>
  <c r="E64" i="2762"/>
  <c r="E145" s="1"/>
  <c r="E54"/>
  <c r="I121"/>
  <c r="I127" s="1"/>
  <c r="J109" s="1"/>
  <c r="I123"/>
  <c r="I129" s="1"/>
  <c r="J111" s="1"/>
  <c r="E15"/>
  <c r="E56" s="1"/>
  <c r="A16"/>
  <c r="I125"/>
  <c r="I131" s="1"/>
  <c r="J113" s="1"/>
  <c r="I124"/>
  <c r="I130" s="1"/>
  <c r="J112" s="1"/>
  <c r="I122"/>
  <c r="I128" s="1"/>
  <c r="J110" s="1"/>
  <c r="I121" i="2761"/>
  <c r="I127" s="1"/>
  <c r="J109" s="1"/>
  <c r="I123"/>
  <c r="I129" s="1"/>
  <c r="J111" s="1"/>
  <c r="I124"/>
  <c r="I130" s="1"/>
  <c r="J112" s="1"/>
  <c r="I125"/>
  <c r="I131" s="1"/>
  <c r="J113" s="1"/>
  <c r="I122"/>
  <c r="I128" s="1"/>
  <c r="J110" s="1"/>
  <c r="E138"/>
  <c r="E62"/>
  <c r="E14"/>
  <c r="A15"/>
  <c r="I125" i="2760"/>
  <c r="I131" s="1"/>
  <c r="J113" s="1"/>
  <c r="I123"/>
  <c r="I129" s="1"/>
  <c r="J111" s="1"/>
  <c r="I122"/>
  <c r="I128" s="1"/>
  <c r="J110" s="1"/>
  <c r="I121"/>
  <c r="I127" s="1"/>
  <c r="J109" s="1"/>
  <c r="I124"/>
  <c r="I130" s="1"/>
  <c r="J112" s="1"/>
  <c r="E14"/>
  <c r="A15"/>
  <c r="E138"/>
  <c r="E62"/>
  <c r="I123" i="2759"/>
  <c r="I129" s="1"/>
  <c r="J111" s="1"/>
  <c r="I122"/>
  <c r="I128" s="1"/>
  <c r="J110" s="1"/>
  <c r="I121"/>
  <c r="I127" s="1"/>
  <c r="J109" s="1"/>
  <c r="E143"/>
  <c r="E171" s="1"/>
  <c r="E135"/>
  <c r="E137"/>
  <c r="E61"/>
  <c r="E13"/>
  <c r="A14"/>
  <c r="I124"/>
  <c r="I130" s="1"/>
  <c r="J112" s="1"/>
  <c r="I125"/>
  <c r="I131" s="1"/>
  <c r="J113" s="1"/>
  <c r="I121" i="2758"/>
  <c r="I127" s="1"/>
  <c r="J109" s="1"/>
  <c r="E64"/>
  <c r="E145" s="1"/>
  <c r="E54"/>
  <c r="E15"/>
  <c r="E56" s="1"/>
  <c r="A16"/>
  <c r="I124"/>
  <c r="I130" s="1"/>
  <c r="J112" s="1"/>
  <c r="I123"/>
  <c r="I129" s="1"/>
  <c r="J111" s="1"/>
  <c r="I122"/>
  <c r="I128" s="1"/>
  <c r="J110" s="1"/>
  <c r="I125"/>
  <c r="I131" s="1"/>
  <c r="J113" s="1"/>
  <c r="I121" i="2757"/>
  <c r="I127" s="1"/>
  <c r="J109" s="1"/>
  <c r="I122"/>
  <c r="I128" s="1"/>
  <c r="J110" s="1"/>
  <c r="I124"/>
  <c r="I130" s="1"/>
  <c r="J112" s="1"/>
  <c r="I125"/>
  <c r="I131" s="1"/>
  <c r="J113" s="1"/>
  <c r="E143"/>
  <c r="E171" s="1"/>
  <c r="E135"/>
  <c r="E137"/>
  <c r="E61"/>
  <c r="E13"/>
  <c r="A14"/>
  <c r="I123"/>
  <c r="I129" s="1"/>
  <c r="J111" s="1"/>
  <c r="A16" i="2772" l="1"/>
  <c r="E15"/>
  <c r="E56" s="1"/>
  <c r="E64"/>
  <c r="E145" s="1"/>
  <c r="E54"/>
  <c r="J121" i="2771"/>
  <c r="J127" s="1"/>
  <c r="J124"/>
  <c r="J130" s="1"/>
  <c r="A16"/>
  <c r="E15"/>
  <c r="E56" s="1"/>
  <c r="E64"/>
  <c r="E145" s="1"/>
  <c r="E54"/>
  <c r="J123"/>
  <c r="J129" s="1"/>
  <c r="J125"/>
  <c r="J131" s="1"/>
  <c r="J122"/>
  <c r="J128" s="1"/>
  <c r="J125" i="2770"/>
  <c r="J131" s="1"/>
  <c r="J121"/>
  <c r="J127" s="1"/>
  <c r="J122"/>
  <c r="J128" s="1"/>
  <c r="J123"/>
  <c r="J129" s="1"/>
  <c r="J124"/>
  <c r="J130" s="1"/>
  <c r="A16"/>
  <c r="E15"/>
  <c r="E56" s="1"/>
  <c r="E64"/>
  <c r="E145" s="1"/>
  <c r="E54"/>
  <c r="J123" i="2769"/>
  <c r="J129" s="1"/>
  <c r="J121"/>
  <c r="J127" s="1"/>
  <c r="A16"/>
  <c r="E15"/>
  <c r="E56" s="1"/>
  <c r="J124"/>
  <c r="J130" s="1"/>
  <c r="J125"/>
  <c r="J131" s="1"/>
  <c r="J122"/>
  <c r="J128" s="1"/>
  <c r="E64"/>
  <c r="E145" s="1"/>
  <c r="E54"/>
  <c r="J125" i="2768"/>
  <c r="J131" s="1"/>
  <c r="J124"/>
  <c r="J130" s="1"/>
  <c r="A15"/>
  <c r="E14"/>
  <c r="E138"/>
  <c r="E62"/>
  <c r="J122"/>
  <c r="J128" s="1"/>
  <c r="J121"/>
  <c r="J127" s="1"/>
  <c r="J123"/>
  <c r="J129" s="1"/>
  <c r="A16" i="2767"/>
  <c r="E15"/>
  <c r="E56" s="1"/>
  <c r="E64"/>
  <c r="E145" s="1"/>
  <c r="E54"/>
  <c r="J124"/>
  <c r="J130" s="1"/>
  <c r="J122"/>
  <c r="J128" s="1"/>
  <c r="J123"/>
  <c r="J129" s="1"/>
  <c r="J125"/>
  <c r="J131" s="1"/>
  <c r="J121"/>
  <c r="J127" s="1"/>
  <c r="J123" i="2766"/>
  <c r="J129" s="1"/>
  <c r="A15"/>
  <c r="E14"/>
  <c r="J122"/>
  <c r="J128" s="1"/>
  <c r="E138"/>
  <c r="E62"/>
  <c r="J125"/>
  <c r="J131" s="1"/>
  <c r="J121"/>
  <c r="J127" s="1"/>
  <c r="J124"/>
  <c r="J130" s="1"/>
  <c r="J122" i="2765"/>
  <c r="J128" s="1"/>
  <c r="A16"/>
  <c r="E15"/>
  <c r="E56" s="1"/>
  <c r="E64"/>
  <c r="E145" s="1"/>
  <c r="E54"/>
  <c r="J121"/>
  <c r="J127" s="1"/>
  <c r="J125"/>
  <c r="J131" s="1"/>
  <c r="J124"/>
  <c r="J130" s="1"/>
  <c r="J123"/>
  <c r="J129" s="1"/>
  <c r="E64" i="2764"/>
  <c r="E145" s="1"/>
  <c r="E54"/>
  <c r="A16"/>
  <c r="E15"/>
  <c r="E56" s="1"/>
  <c r="J124"/>
  <c r="J130" s="1"/>
  <c r="J122"/>
  <c r="J128" s="1"/>
  <c r="J123"/>
  <c r="J129" s="1"/>
  <c r="J125"/>
  <c r="J131" s="1"/>
  <c r="J121"/>
  <c r="J127" s="1"/>
  <c r="J122" i="2763"/>
  <c r="J128" s="1"/>
  <c r="J123"/>
  <c r="J129" s="1"/>
  <c r="E138"/>
  <c r="E62"/>
  <c r="A15"/>
  <c r="E14"/>
  <c r="J125"/>
  <c r="J131" s="1"/>
  <c r="J121"/>
  <c r="J127" s="1"/>
  <c r="J124"/>
  <c r="J130" s="1"/>
  <c r="A17" i="2762"/>
  <c r="E16"/>
  <c r="F54"/>
  <c r="G54" s="1"/>
  <c r="H54" s="1"/>
  <c r="I54" s="1"/>
  <c r="J54" s="1"/>
  <c r="E139"/>
  <c r="E147" s="1"/>
  <c r="E179" s="1"/>
  <c r="J122"/>
  <c r="J128" s="1"/>
  <c r="J124"/>
  <c r="J130" s="1"/>
  <c r="J125"/>
  <c r="J131" s="1"/>
  <c r="E136"/>
  <c r="E60"/>
  <c r="J123"/>
  <c r="J129" s="1"/>
  <c r="J121"/>
  <c r="J127" s="1"/>
  <c r="E183"/>
  <c r="E184" s="1"/>
  <c r="J124" i="2761"/>
  <c r="J130" s="1"/>
  <c r="J121"/>
  <c r="J127" s="1"/>
  <c r="J125"/>
  <c r="J131" s="1"/>
  <c r="J123"/>
  <c r="J129" s="1"/>
  <c r="E64"/>
  <c r="E145" s="1"/>
  <c r="E54"/>
  <c r="A16"/>
  <c r="E15"/>
  <c r="E56" s="1"/>
  <c r="J122"/>
  <c r="J128" s="1"/>
  <c r="J125" i="2760"/>
  <c r="J131" s="1"/>
  <c r="J123"/>
  <c r="J129" s="1"/>
  <c r="A16"/>
  <c r="E15"/>
  <c r="E56" s="1"/>
  <c r="E64"/>
  <c r="E145" s="1"/>
  <c r="E54"/>
  <c r="J124"/>
  <c r="J130" s="1"/>
  <c r="J121"/>
  <c r="J127" s="1"/>
  <c r="J122"/>
  <c r="J128" s="1"/>
  <c r="A15" i="2759"/>
  <c r="E14"/>
  <c r="J125"/>
  <c r="J131" s="1"/>
  <c r="J124"/>
  <c r="J130" s="1"/>
  <c r="E138"/>
  <c r="E62"/>
  <c r="J121"/>
  <c r="J127" s="1"/>
  <c r="J122"/>
  <c r="J128" s="1"/>
  <c r="J123"/>
  <c r="J129" s="1"/>
  <c r="J125" i="2758"/>
  <c r="J131" s="1"/>
  <c r="J123"/>
  <c r="J129" s="1"/>
  <c r="J122"/>
  <c r="J128" s="1"/>
  <c r="J124"/>
  <c r="J130" s="1"/>
  <c r="E136"/>
  <c r="E60"/>
  <c r="F54"/>
  <c r="G54" s="1"/>
  <c r="H54" s="1"/>
  <c r="I54" s="1"/>
  <c r="J54" s="1"/>
  <c r="E139"/>
  <c r="E147" s="1"/>
  <c r="A17"/>
  <c r="E16"/>
  <c r="E183"/>
  <c r="E184" s="1"/>
  <c r="E179"/>
  <c r="J121"/>
  <c r="J127" s="1"/>
  <c r="J124" i="2757"/>
  <c r="J130" s="1"/>
  <c r="J121"/>
  <c r="J127" s="1"/>
  <c r="J125"/>
  <c r="J131" s="1"/>
  <c r="J122"/>
  <c r="J128" s="1"/>
  <c r="A15"/>
  <c r="E14"/>
  <c r="J123"/>
  <c r="J129" s="1"/>
  <c r="E138"/>
  <c r="E62"/>
  <c r="T32" i="49"/>
  <c r="L32"/>
  <c r="H32"/>
  <c r="I32"/>
  <c r="R32"/>
  <c r="J32"/>
  <c r="M32"/>
  <c r="N32"/>
  <c r="F32"/>
  <c r="S32"/>
  <c r="O32"/>
  <c r="K32"/>
  <c r="E140" i="2762" l="1"/>
  <c r="F135" s="1"/>
  <c r="F54" i="2772"/>
  <c r="G54" s="1"/>
  <c r="H54" s="1"/>
  <c r="I54" s="1"/>
  <c r="J54" s="1"/>
  <c r="E139"/>
  <c r="E147" s="1"/>
  <c r="E136"/>
  <c r="E60"/>
  <c r="E183"/>
  <c r="E184" s="1"/>
  <c r="E179"/>
  <c r="E16"/>
  <c r="A17"/>
  <c r="F54" i="2771"/>
  <c r="G54" s="1"/>
  <c r="H54" s="1"/>
  <c r="I54" s="1"/>
  <c r="J54" s="1"/>
  <c r="E139"/>
  <c r="E147" s="1"/>
  <c r="E179" s="1"/>
  <c r="E136"/>
  <c r="E60"/>
  <c r="E183"/>
  <c r="E184" s="1"/>
  <c r="E16"/>
  <c r="A17"/>
  <c r="E183" i="2770"/>
  <c r="E184" s="1"/>
  <c r="E136"/>
  <c r="E60"/>
  <c r="F54"/>
  <c r="G54" s="1"/>
  <c r="H54" s="1"/>
  <c r="I54" s="1"/>
  <c r="J54" s="1"/>
  <c r="E139"/>
  <c r="E147" s="1"/>
  <c r="E16"/>
  <c r="A17"/>
  <c r="F54" i="2769"/>
  <c r="G54" s="1"/>
  <c r="H54" s="1"/>
  <c r="I54" s="1"/>
  <c r="J54" s="1"/>
  <c r="E139"/>
  <c r="E147" s="1"/>
  <c r="E179" s="1"/>
  <c r="E60"/>
  <c r="E136"/>
  <c r="E140" s="1"/>
  <c r="F135" s="1"/>
  <c r="E183"/>
  <c r="E184" s="1"/>
  <c r="E16"/>
  <c r="A17"/>
  <c r="E64" i="2768"/>
  <c r="E145" s="1"/>
  <c r="E54"/>
  <c r="E15"/>
  <c r="E56" s="1"/>
  <c r="A16"/>
  <c r="F54" i="2767"/>
  <c r="G54" s="1"/>
  <c r="H54" s="1"/>
  <c r="I54" s="1"/>
  <c r="J54" s="1"/>
  <c r="E139"/>
  <c r="E147" s="1"/>
  <c r="E136"/>
  <c r="E60"/>
  <c r="E183"/>
  <c r="E184" s="1"/>
  <c r="E179"/>
  <c r="E16"/>
  <c r="A17"/>
  <c r="E64" i="2766"/>
  <c r="E145" s="1"/>
  <c r="E54"/>
  <c r="E15"/>
  <c r="E56" s="1"/>
  <c r="A16"/>
  <c r="F54" i="2765"/>
  <c r="G54" s="1"/>
  <c r="H54" s="1"/>
  <c r="I54" s="1"/>
  <c r="J54" s="1"/>
  <c r="E139"/>
  <c r="E147" s="1"/>
  <c r="E136"/>
  <c r="E60"/>
  <c r="E183"/>
  <c r="E184" s="1"/>
  <c r="E179"/>
  <c r="E16"/>
  <c r="A17"/>
  <c r="E16" i="2764"/>
  <c r="A17"/>
  <c r="F54"/>
  <c r="G54" s="1"/>
  <c r="H54" s="1"/>
  <c r="I54" s="1"/>
  <c r="J54" s="1"/>
  <c r="E139"/>
  <c r="E147" s="1"/>
  <c r="E136"/>
  <c r="E140" s="1"/>
  <c r="F135" s="1"/>
  <c r="E60"/>
  <c r="E183"/>
  <c r="E184" s="1"/>
  <c r="E179"/>
  <c r="E15" i="2763"/>
  <c r="E56" s="1"/>
  <c r="A16"/>
  <c r="E64"/>
  <c r="E145" s="1"/>
  <c r="E54"/>
  <c r="F139" i="2762"/>
  <c r="E17"/>
  <c r="A18"/>
  <c r="E16" i="2761"/>
  <c r="A17"/>
  <c r="F54"/>
  <c r="G54" s="1"/>
  <c r="H54" s="1"/>
  <c r="I54" s="1"/>
  <c r="J54" s="1"/>
  <c r="E139"/>
  <c r="E147" s="1"/>
  <c r="E179" s="1"/>
  <c r="E136"/>
  <c r="E60"/>
  <c r="E183"/>
  <c r="E184" s="1"/>
  <c r="F54" i="2760"/>
  <c r="G54" s="1"/>
  <c r="H54" s="1"/>
  <c r="I54" s="1"/>
  <c r="J54" s="1"/>
  <c r="E139"/>
  <c r="E147" s="1"/>
  <c r="E136"/>
  <c r="E60"/>
  <c r="E183"/>
  <c r="E184" s="1"/>
  <c r="E179"/>
  <c r="E16"/>
  <c r="A17"/>
  <c r="E64" i="2759"/>
  <c r="E145" s="1"/>
  <c r="E54"/>
  <c r="E15"/>
  <c r="E56" s="1"/>
  <c r="A16"/>
  <c r="E17" i="2758"/>
  <c r="A18"/>
  <c r="E140"/>
  <c r="F135" s="1"/>
  <c r="E64" i="2757"/>
  <c r="E145" s="1"/>
  <c r="E54"/>
  <c r="E15"/>
  <c r="E56" s="1"/>
  <c r="A16"/>
  <c r="E140" i="2772" l="1"/>
  <c r="F135" s="1"/>
  <c r="F139" s="1"/>
  <c r="A18"/>
  <c r="E17"/>
  <c r="A18" i="2771"/>
  <c r="E17"/>
  <c r="E140" i="2765"/>
  <c r="F135" s="1"/>
  <c r="E140" i="2771"/>
  <c r="F135" s="1"/>
  <c r="E140" i="2770"/>
  <c r="F135" s="1"/>
  <c r="A18"/>
  <c r="E17"/>
  <c r="E179"/>
  <c r="A18" i="2769"/>
  <c r="E17"/>
  <c r="F139"/>
  <c r="A17" i="2768"/>
  <c r="E16"/>
  <c r="F54"/>
  <c r="G54" s="1"/>
  <c r="H54" s="1"/>
  <c r="I54" s="1"/>
  <c r="J54" s="1"/>
  <c r="E139"/>
  <c r="E147" s="1"/>
  <c r="E179" s="1"/>
  <c r="E140" i="2767"/>
  <c r="F135" s="1"/>
  <c r="F139" s="1"/>
  <c r="E136" i="2768"/>
  <c r="E60"/>
  <c r="E183"/>
  <c r="E184" s="1"/>
  <c r="A18" i="2767"/>
  <c r="E17"/>
  <c r="A17" i="2766"/>
  <c r="E16"/>
  <c r="F54"/>
  <c r="G54" s="1"/>
  <c r="H54" s="1"/>
  <c r="I54" s="1"/>
  <c r="J54" s="1"/>
  <c r="E139"/>
  <c r="E147" s="1"/>
  <c r="E179" s="1"/>
  <c r="E136"/>
  <c r="E60"/>
  <c r="E183"/>
  <c r="E184" s="1"/>
  <c r="F139" i="2765"/>
  <c r="A18"/>
  <c r="E17"/>
  <c r="F139" i="2764"/>
  <c r="A18"/>
  <c r="E17"/>
  <c r="F54" i="2763"/>
  <c r="G54" s="1"/>
  <c r="H54" s="1"/>
  <c r="I54" s="1"/>
  <c r="J54" s="1"/>
  <c r="E139"/>
  <c r="E147" s="1"/>
  <c r="E179" s="1"/>
  <c r="A17"/>
  <c r="E16"/>
  <c r="E140" i="2761"/>
  <c r="F135" s="1"/>
  <c r="E183" i="2763"/>
  <c r="E184" s="1"/>
  <c r="E136"/>
  <c r="E60"/>
  <c r="A19" i="2762"/>
  <c r="E18"/>
  <c r="D155" s="1"/>
  <c r="E157"/>
  <c r="E162" s="1"/>
  <c r="E166" s="1"/>
  <c r="F139" i="2761"/>
  <c r="A18"/>
  <c r="E17"/>
  <c r="E140" i="2760"/>
  <c r="F135" s="1"/>
  <c r="F139"/>
  <c r="A18"/>
  <c r="E17"/>
  <c r="A17" i="2759"/>
  <c r="E16"/>
  <c r="F54"/>
  <c r="G54" s="1"/>
  <c r="H54" s="1"/>
  <c r="I54" s="1"/>
  <c r="J54" s="1"/>
  <c r="E139"/>
  <c r="E147" s="1"/>
  <c r="E136"/>
  <c r="E60"/>
  <c r="E183"/>
  <c r="E184" s="1"/>
  <c r="E179"/>
  <c r="F139" i="2758"/>
  <c r="A19"/>
  <c r="E18"/>
  <c r="D155" s="1"/>
  <c r="E157"/>
  <c r="E162" s="1"/>
  <c r="E166" s="1"/>
  <c r="A17" i="2757"/>
  <c r="E16"/>
  <c r="F54"/>
  <c r="G54" s="1"/>
  <c r="H54" s="1"/>
  <c r="I54" s="1"/>
  <c r="J54" s="1"/>
  <c r="E139"/>
  <c r="E147" s="1"/>
  <c r="E179" s="1"/>
  <c r="E136"/>
  <c r="E60"/>
  <c r="E183"/>
  <c r="E184" s="1"/>
  <c r="I35" i="2228"/>
  <c r="I36"/>
  <c r="I37"/>
  <c r="I34"/>
  <c r="I31"/>
  <c r="I32"/>
  <c r="I33"/>
  <c r="I30"/>
  <c r="I27"/>
  <c r="I28"/>
  <c r="I29"/>
  <c r="I26"/>
  <c r="E140" i="2759" l="1"/>
  <c r="F135" s="1"/>
  <c r="E140" i="2768"/>
  <c r="F135" s="1"/>
  <c r="E140" i="2763"/>
  <c r="F135" s="1"/>
  <c r="E18" i="2772"/>
  <c r="A19"/>
  <c r="D155"/>
  <c r="E157"/>
  <c r="E162" s="1"/>
  <c r="E166" s="1"/>
  <c r="F139" i="2771"/>
  <c r="E18"/>
  <c r="D155" s="1"/>
  <c r="A19"/>
  <c r="E157"/>
  <c r="E162" s="1"/>
  <c r="E166" s="1"/>
  <c r="E157" i="2770"/>
  <c r="E162" s="1"/>
  <c r="E166" s="1"/>
  <c r="F139"/>
  <c r="E18"/>
  <c r="A19"/>
  <c r="E18" i="2769"/>
  <c r="A19"/>
  <c r="E157"/>
  <c r="E162" s="1"/>
  <c r="E166" s="1"/>
  <c r="F139" i="2768"/>
  <c r="E17"/>
  <c r="A18"/>
  <c r="E18" i="2767"/>
  <c r="D155" s="1"/>
  <c r="A19"/>
  <c r="E157"/>
  <c r="E162" s="1"/>
  <c r="E166" s="1"/>
  <c r="E17" i="2766"/>
  <c r="A18"/>
  <c r="E140"/>
  <c r="F135" s="1"/>
  <c r="E18" i="2765"/>
  <c r="D155" s="1"/>
  <c r="A19"/>
  <c r="E157"/>
  <c r="E162" s="1"/>
  <c r="E166" s="1"/>
  <c r="E18" i="2764"/>
  <c r="A19"/>
  <c r="E157"/>
  <c r="E162" s="1"/>
  <c r="E166" s="1"/>
  <c r="F139" i="2763"/>
  <c r="E17"/>
  <c r="A18"/>
  <c r="E19" i="2762"/>
  <c r="E167" s="1"/>
  <c r="E168" s="1"/>
  <c r="A20"/>
  <c r="E156"/>
  <c r="E18" i="2761"/>
  <c r="A19"/>
  <c r="E157"/>
  <c r="E162" s="1"/>
  <c r="E166" s="1"/>
  <c r="E18" i="2760"/>
  <c r="D155" s="1"/>
  <c r="A19"/>
  <c r="E157"/>
  <c r="E162" s="1"/>
  <c r="E166" s="1"/>
  <c r="E17" i="2759"/>
  <c r="A18"/>
  <c r="F139"/>
  <c r="E19" i="2758"/>
  <c r="E167" s="1"/>
  <c r="E168" s="1"/>
  <c r="A20"/>
  <c r="E156"/>
  <c r="E17" i="2757"/>
  <c r="A18"/>
  <c r="E140"/>
  <c r="F135" s="1"/>
  <c r="E156" i="2772" l="1"/>
  <c r="A20"/>
  <c r="E19"/>
  <c r="E167" s="1"/>
  <c r="E156" i="2771"/>
  <c r="A20"/>
  <c r="E19"/>
  <c r="E167" s="1"/>
  <c r="A20" i="2770"/>
  <c r="E19"/>
  <c r="E167" s="1"/>
  <c r="E156"/>
  <c r="D155"/>
  <c r="E156" i="2769"/>
  <c r="A20"/>
  <c r="E19"/>
  <c r="E167" s="1"/>
  <c r="D155"/>
  <c r="A19" i="2768"/>
  <c r="E18"/>
  <c r="D155" s="1"/>
  <c r="E157"/>
  <c r="E162" s="1"/>
  <c r="E166" s="1"/>
  <c r="A20" i="2767"/>
  <c r="E19"/>
  <c r="E156"/>
  <c r="E167"/>
  <c r="E168"/>
  <c r="F139" i="2766"/>
  <c r="A19"/>
  <c r="E18"/>
  <c r="D155" s="1"/>
  <c r="E157"/>
  <c r="E162" s="1"/>
  <c r="E166" s="1"/>
  <c r="A20" i="2765"/>
  <c r="E19"/>
  <c r="E167" s="1"/>
  <c r="E156"/>
  <c r="E156" i="2764"/>
  <c r="A20"/>
  <c r="E19"/>
  <c r="E167" s="1"/>
  <c r="D155"/>
  <c r="A19" i="2763"/>
  <c r="E18"/>
  <c r="D155" s="1"/>
  <c r="E157"/>
  <c r="E162" s="1"/>
  <c r="E166" s="1"/>
  <c r="F165" i="2762"/>
  <c r="E193"/>
  <c r="A21"/>
  <c r="E20"/>
  <c r="E152" s="1"/>
  <c r="F167"/>
  <c r="E156" i="2761"/>
  <c r="A20"/>
  <c r="E19"/>
  <c r="E167" s="1"/>
  <c r="D155"/>
  <c r="A20" i="2760"/>
  <c r="E19"/>
  <c r="E156"/>
  <c r="E167"/>
  <c r="E168"/>
  <c r="E157" i="2759"/>
  <c r="E162" s="1"/>
  <c r="E166" s="1"/>
  <c r="A19"/>
  <c r="E18"/>
  <c r="F165" i="2758"/>
  <c r="E193"/>
  <c r="F167"/>
  <c r="A21"/>
  <c r="E20"/>
  <c r="E152" s="1"/>
  <c r="A19" i="2757"/>
  <c r="E18"/>
  <c r="D155" s="1"/>
  <c r="F139"/>
  <c r="E157"/>
  <c r="E162" s="1"/>
  <c r="E166" s="1"/>
  <c r="F167" i="2772" l="1"/>
  <c r="E168"/>
  <c r="E20"/>
  <c r="E152" s="1"/>
  <c r="A21"/>
  <c r="F167" i="2771"/>
  <c r="E168"/>
  <c r="E20"/>
  <c r="E152" s="1"/>
  <c r="A21"/>
  <c r="F167" i="2770"/>
  <c r="E168"/>
  <c r="E20"/>
  <c r="E152" s="1"/>
  <c r="A21"/>
  <c r="F167" i="2769"/>
  <c r="E168"/>
  <c r="A21"/>
  <c r="E20"/>
  <c r="E152" s="1"/>
  <c r="E19" i="2768"/>
  <c r="A20"/>
  <c r="E156"/>
  <c r="E167"/>
  <c r="E20" i="2767"/>
  <c r="E152" s="1"/>
  <c r="A21"/>
  <c r="F165"/>
  <c r="E193"/>
  <c r="F167"/>
  <c r="E19" i="2766"/>
  <c r="E167" s="1"/>
  <c r="A20"/>
  <c r="E156"/>
  <c r="F167" i="2765"/>
  <c r="E168"/>
  <c r="E20"/>
  <c r="E152" s="1"/>
  <c r="A21"/>
  <c r="F167" i="2764"/>
  <c r="E168"/>
  <c r="E20"/>
  <c r="E152" s="1"/>
  <c r="A21"/>
  <c r="E19" i="2763"/>
  <c r="E167" s="1"/>
  <c r="A20"/>
  <c r="E156"/>
  <c r="G167" i="2762"/>
  <c r="A22"/>
  <c r="E21"/>
  <c r="E29" s="1"/>
  <c r="E173"/>
  <c r="E178"/>
  <c r="E180" s="1"/>
  <c r="F167" i="2761"/>
  <c r="E168"/>
  <c r="E20"/>
  <c r="E152" s="1"/>
  <c r="A21"/>
  <c r="E20" i="2760"/>
  <c r="E152" s="1"/>
  <c r="A21"/>
  <c r="F165"/>
  <c r="E193"/>
  <c r="F167"/>
  <c r="E156" i="2759"/>
  <c r="E19"/>
  <c r="E167" s="1"/>
  <c r="A20"/>
  <c r="D155"/>
  <c r="A22" i="2758"/>
  <c r="E21"/>
  <c r="E29" s="1"/>
  <c r="G167"/>
  <c r="E173"/>
  <c r="E178"/>
  <c r="E180" s="1"/>
  <c r="E19" i="2757"/>
  <c r="E167" s="1"/>
  <c r="A20"/>
  <c r="E156"/>
  <c r="E21" i="2772" l="1"/>
  <c r="E29" s="1"/>
  <c r="A22"/>
  <c r="E193"/>
  <c r="F165"/>
  <c r="E173"/>
  <c r="E178"/>
  <c r="E180" s="1"/>
  <c r="G167"/>
  <c r="E21" i="2771"/>
  <c r="E29" s="1"/>
  <c r="A22"/>
  <c r="F165"/>
  <c r="E193"/>
  <c r="G167"/>
  <c r="E173"/>
  <c r="E178"/>
  <c r="E180" s="1"/>
  <c r="E21" i="2770"/>
  <c r="E29" s="1"/>
  <c r="A22"/>
  <c r="F165"/>
  <c r="E193"/>
  <c r="G167"/>
  <c r="E173"/>
  <c r="E178"/>
  <c r="E180" s="1"/>
  <c r="A22" i="2769"/>
  <c r="E21"/>
  <c r="E29" s="1"/>
  <c r="E173"/>
  <c r="E178"/>
  <c r="E180" s="1"/>
  <c r="F165"/>
  <c r="E193"/>
  <c r="G167"/>
  <c r="F167" i="2768"/>
  <c r="A21"/>
  <c r="E20"/>
  <c r="E152" s="1"/>
  <c r="E168"/>
  <c r="E21" i="2767"/>
  <c r="E29" s="1"/>
  <c r="A22"/>
  <c r="G167"/>
  <c r="E173"/>
  <c r="E178"/>
  <c r="E180" s="1"/>
  <c r="A21" i="2766"/>
  <c r="E20"/>
  <c r="E152" s="1"/>
  <c r="F167"/>
  <c r="E168"/>
  <c r="E21" i="2765"/>
  <c r="E29" s="1"/>
  <c r="A22"/>
  <c r="F165"/>
  <c r="E193"/>
  <c r="G167"/>
  <c r="E173"/>
  <c r="E178"/>
  <c r="E180" s="1"/>
  <c r="E21" i="2764"/>
  <c r="E29" s="1"/>
  <c r="A22"/>
  <c r="F165"/>
  <c r="E193"/>
  <c r="G167"/>
  <c r="E173"/>
  <c r="E178"/>
  <c r="E180" s="1"/>
  <c r="A21" i="2763"/>
  <c r="E20"/>
  <c r="E152" s="1"/>
  <c r="F167"/>
  <c r="E168"/>
  <c r="E22" i="2762"/>
  <c r="E28" s="1"/>
  <c r="E189" s="1"/>
  <c r="A23"/>
  <c r="E158"/>
  <c r="E159" s="1"/>
  <c r="F156" s="1"/>
  <c r="E172"/>
  <c r="E107"/>
  <c r="E126" s="1"/>
  <c r="F108" s="1"/>
  <c r="E69"/>
  <c r="H167"/>
  <c r="E21" i="2761"/>
  <c r="E29" s="1"/>
  <c r="A22"/>
  <c r="F165"/>
  <c r="E193"/>
  <c r="G167"/>
  <c r="E173"/>
  <c r="E178"/>
  <c r="E180" s="1"/>
  <c r="E21" i="2760"/>
  <c r="E29" s="1"/>
  <c r="A22"/>
  <c r="G167"/>
  <c r="E173"/>
  <c r="E178"/>
  <c r="E180" s="1"/>
  <c r="F167" i="2759"/>
  <c r="E168"/>
  <c r="A21"/>
  <c r="E20"/>
  <c r="E152" s="1"/>
  <c r="E22" i="2758"/>
  <c r="E28" s="1"/>
  <c r="E189" s="1"/>
  <c r="A23"/>
  <c r="H167"/>
  <c r="E158"/>
  <c r="E159" s="1"/>
  <c r="F156" s="1"/>
  <c r="E172"/>
  <c r="E107"/>
  <c r="E126" s="1"/>
  <c r="F108" s="1"/>
  <c r="E69"/>
  <c r="F167" i="2757"/>
  <c r="A21"/>
  <c r="E20"/>
  <c r="E152" s="1"/>
  <c r="E168"/>
  <c r="E172" i="2772" l="1"/>
  <c r="E107"/>
  <c r="E126" s="1"/>
  <c r="F108" s="1"/>
  <c r="E158"/>
  <c r="E159" s="1"/>
  <c r="F156" s="1"/>
  <c r="E69"/>
  <c r="H167"/>
  <c r="A23"/>
  <c r="E22"/>
  <c r="E28" s="1"/>
  <c r="E189" s="1"/>
  <c r="E158" i="2771"/>
  <c r="E159" s="1"/>
  <c r="F156" s="1"/>
  <c r="E172"/>
  <c r="E107"/>
  <c r="E126" s="1"/>
  <c r="F108" s="1"/>
  <c r="E69"/>
  <c r="H167"/>
  <c r="A23"/>
  <c r="E22"/>
  <c r="E28" s="1"/>
  <c r="E189" s="1"/>
  <c r="E158" i="2770"/>
  <c r="E159" s="1"/>
  <c r="F156" s="1"/>
  <c r="E172"/>
  <c r="E107"/>
  <c r="E126" s="1"/>
  <c r="F108" s="1"/>
  <c r="E69"/>
  <c r="H167"/>
  <c r="A23"/>
  <c r="E22"/>
  <c r="E28" s="1"/>
  <c r="E189" s="1"/>
  <c r="H167" i="2769"/>
  <c r="E22"/>
  <c r="E28" s="1"/>
  <c r="E189" s="1"/>
  <c r="A23"/>
  <c r="E158"/>
  <c r="E159" s="1"/>
  <c r="F156" s="1"/>
  <c r="E172"/>
  <c r="E107"/>
  <c r="E126" s="1"/>
  <c r="F108" s="1"/>
  <c r="E69"/>
  <c r="F165" i="2768"/>
  <c r="E193"/>
  <c r="A22"/>
  <c r="E21"/>
  <c r="E29" s="1"/>
  <c r="G167"/>
  <c r="E173"/>
  <c r="E178"/>
  <c r="E180" s="1"/>
  <c r="E158" i="2767"/>
  <c r="E159" s="1"/>
  <c r="F156" s="1"/>
  <c r="E172"/>
  <c r="E107"/>
  <c r="E126" s="1"/>
  <c r="F108" s="1"/>
  <c r="E69"/>
  <c r="H167"/>
  <c r="A23"/>
  <c r="E22"/>
  <c r="E28" s="1"/>
  <c r="E189" s="1"/>
  <c r="G167" i="2766"/>
  <c r="A22"/>
  <c r="E21"/>
  <c r="E29" s="1"/>
  <c r="F165"/>
  <c r="E193"/>
  <c r="E173"/>
  <c r="E178"/>
  <c r="E180" s="1"/>
  <c r="E158" i="2765"/>
  <c r="E159" s="1"/>
  <c r="F156" s="1"/>
  <c r="E172"/>
  <c r="E107"/>
  <c r="E126" s="1"/>
  <c r="F108" s="1"/>
  <c r="E69"/>
  <c r="H167"/>
  <c r="A23"/>
  <c r="E22"/>
  <c r="E28" s="1"/>
  <c r="E189" s="1"/>
  <c r="E158" i="2764"/>
  <c r="E159" s="1"/>
  <c r="F156" s="1"/>
  <c r="E172"/>
  <c r="E107"/>
  <c r="E126" s="1"/>
  <c r="F108" s="1"/>
  <c r="E69"/>
  <c r="H167"/>
  <c r="A23"/>
  <c r="E22"/>
  <c r="E28" s="1"/>
  <c r="E189" s="1"/>
  <c r="G167" i="2763"/>
  <c r="A22"/>
  <c r="E21"/>
  <c r="E29" s="1"/>
  <c r="F165"/>
  <c r="E193"/>
  <c r="E173"/>
  <c r="E178"/>
  <c r="E180" s="1"/>
  <c r="I167" i="2762"/>
  <c r="F120"/>
  <c r="F132" s="1"/>
  <c r="F147" s="1"/>
  <c r="F157"/>
  <c r="F159" s="1"/>
  <c r="G156" s="1"/>
  <c r="A24"/>
  <c r="E23"/>
  <c r="E43" s="1"/>
  <c r="E158" i="2761"/>
  <c r="E159" s="1"/>
  <c r="F156" s="1"/>
  <c r="E172"/>
  <c r="E107"/>
  <c r="E126" s="1"/>
  <c r="F108" s="1"/>
  <c r="E69"/>
  <c r="H167"/>
  <c r="A23"/>
  <c r="E22"/>
  <c r="E28" s="1"/>
  <c r="E189" s="1"/>
  <c r="E158" i="2760"/>
  <c r="E159" s="1"/>
  <c r="F156" s="1"/>
  <c r="E172"/>
  <c r="E107"/>
  <c r="E126" s="1"/>
  <c r="F108" s="1"/>
  <c r="E69"/>
  <c r="H167"/>
  <c r="A23"/>
  <c r="E22"/>
  <c r="E28" s="1"/>
  <c r="E189" s="1"/>
  <c r="E173" i="2759"/>
  <c r="E178"/>
  <c r="E180" s="1"/>
  <c r="F165"/>
  <c r="E193"/>
  <c r="G167"/>
  <c r="A22"/>
  <c r="E21"/>
  <c r="E29" s="1"/>
  <c r="F120" i="2758"/>
  <c r="F132" s="1"/>
  <c r="F147" s="1"/>
  <c r="F157"/>
  <c r="F159" s="1"/>
  <c r="G156" s="1"/>
  <c r="I167"/>
  <c r="A24"/>
  <c r="E23"/>
  <c r="E43" s="1"/>
  <c r="E173" i="2757"/>
  <c r="E178"/>
  <c r="E180" s="1"/>
  <c r="G167"/>
  <c r="F165"/>
  <c r="E193"/>
  <c r="A22"/>
  <c r="E21"/>
  <c r="E29" s="1"/>
  <c r="E23" i="2772" l="1"/>
  <c r="E43" s="1"/>
  <c r="A24"/>
  <c r="F159"/>
  <c r="G156" s="1"/>
  <c r="F157"/>
  <c r="I167"/>
  <c r="F120"/>
  <c r="F132" s="1"/>
  <c r="F147" s="1"/>
  <c r="F162" s="1"/>
  <c r="F166" s="1"/>
  <c r="F168" s="1"/>
  <c r="F120" i="2771"/>
  <c r="F132" s="1"/>
  <c r="F147" s="1"/>
  <c r="F157"/>
  <c r="F159" s="1"/>
  <c r="G156" s="1"/>
  <c r="E23"/>
  <c r="E43" s="1"/>
  <c r="A24"/>
  <c r="I167"/>
  <c r="F120" i="2770"/>
  <c r="F132" s="1"/>
  <c r="F147" s="1"/>
  <c r="F157"/>
  <c r="F159" s="1"/>
  <c r="G156" s="1"/>
  <c r="E23"/>
  <c r="E43" s="1"/>
  <c r="A24"/>
  <c r="I167"/>
  <c r="F120" i="2769"/>
  <c r="F132" s="1"/>
  <c r="F147" s="1"/>
  <c r="F157"/>
  <c r="F159" s="1"/>
  <c r="G156" s="1"/>
  <c r="I167"/>
  <c r="A24"/>
  <c r="E23"/>
  <c r="E43" s="1"/>
  <c r="E22" i="2768"/>
  <c r="E28" s="1"/>
  <c r="E189" s="1"/>
  <c r="A23"/>
  <c r="H167"/>
  <c r="E158"/>
  <c r="E159" s="1"/>
  <c r="F156" s="1"/>
  <c r="E172"/>
  <c r="E107"/>
  <c r="E126" s="1"/>
  <c r="F108" s="1"/>
  <c r="E69"/>
  <c r="E23" i="2767"/>
  <c r="E43" s="1"/>
  <c r="A24"/>
  <c r="I167"/>
  <c r="F120"/>
  <c r="F132" s="1"/>
  <c r="F147" s="1"/>
  <c r="F157"/>
  <c r="F159" s="1"/>
  <c r="G156" s="1"/>
  <c r="E22" i="2766"/>
  <c r="E28" s="1"/>
  <c r="E189" s="1"/>
  <c r="A23"/>
  <c r="E158"/>
  <c r="E159" s="1"/>
  <c r="F156" s="1"/>
  <c r="E172"/>
  <c r="E107"/>
  <c r="E126" s="1"/>
  <c r="F108" s="1"/>
  <c r="E69"/>
  <c r="H167"/>
  <c r="F120" i="2765"/>
  <c r="F132" s="1"/>
  <c r="F147" s="1"/>
  <c r="F157"/>
  <c r="F159" s="1"/>
  <c r="G156" s="1"/>
  <c r="E23"/>
  <c r="E43" s="1"/>
  <c r="A24"/>
  <c r="I167"/>
  <c r="F120" i="2764"/>
  <c r="F132" s="1"/>
  <c r="F147" s="1"/>
  <c r="F157"/>
  <c r="F159" s="1"/>
  <c r="G156" s="1"/>
  <c r="E23"/>
  <c r="E43" s="1"/>
  <c r="A24"/>
  <c r="I167"/>
  <c r="E22" i="2763"/>
  <c r="E28" s="1"/>
  <c r="E189" s="1"/>
  <c r="A23"/>
  <c r="E158"/>
  <c r="E159" s="1"/>
  <c r="F156" s="1"/>
  <c r="E172"/>
  <c r="E107"/>
  <c r="E126" s="1"/>
  <c r="F108" s="1"/>
  <c r="E69"/>
  <c r="H167"/>
  <c r="G157" i="2762"/>
  <c r="G159" s="1"/>
  <c r="H156" s="1"/>
  <c r="E187"/>
  <c r="F126"/>
  <c r="G108" s="1"/>
  <c r="E24"/>
  <c r="D251" s="1"/>
  <c r="A25"/>
  <c r="J167"/>
  <c r="F162"/>
  <c r="F166" s="1"/>
  <c r="F168" s="1"/>
  <c r="F120" i="2761"/>
  <c r="F132" s="1"/>
  <c r="F147" s="1"/>
  <c r="F157"/>
  <c r="F159" s="1"/>
  <c r="G156" s="1"/>
  <c r="E23"/>
  <c r="E43" s="1"/>
  <c r="A24"/>
  <c r="I167"/>
  <c r="E23" i="2760"/>
  <c r="E43" s="1"/>
  <c r="A24"/>
  <c r="I167"/>
  <c r="F120"/>
  <c r="F132" s="1"/>
  <c r="F147" s="1"/>
  <c r="F157"/>
  <c r="F159" s="1"/>
  <c r="G156" s="1"/>
  <c r="E158" i="2759"/>
  <c r="E159" s="1"/>
  <c r="F156" s="1"/>
  <c r="E172"/>
  <c r="E107"/>
  <c r="E126" s="1"/>
  <c r="F108" s="1"/>
  <c r="E69"/>
  <c r="H167"/>
  <c r="E22"/>
  <c r="E28" s="1"/>
  <c r="E189" s="1"/>
  <c r="A23"/>
  <c r="G157" i="2758"/>
  <c r="G159" s="1"/>
  <c r="H156" s="1"/>
  <c r="E24"/>
  <c r="D251" s="1"/>
  <c r="A25"/>
  <c r="F126"/>
  <c r="G108" s="1"/>
  <c r="E187"/>
  <c r="J167"/>
  <c r="F162"/>
  <c r="F166" s="1"/>
  <c r="F168" s="1"/>
  <c r="E158" i="2757"/>
  <c r="E159" s="1"/>
  <c r="F156" s="1"/>
  <c r="E172"/>
  <c r="E107"/>
  <c r="E126" s="1"/>
  <c r="F108" s="1"/>
  <c r="E69"/>
  <c r="H167"/>
  <c r="E22"/>
  <c r="E28" s="1"/>
  <c r="E189" s="1"/>
  <c r="A23"/>
  <c r="G165" i="2772" l="1"/>
  <c r="F193"/>
  <c r="G157"/>
  <c r="G159" s="1"/>
  <c r="H156" s="1"/>
  <c r="E187"/>
  <c r="J167"/>
  <c r="E24"/>
  <c r="D251" s="1"/>
  <c r="A25"/>
  <c r="F126"/>
  <c r="G108" s="1"/>
  <c r="G157" i="2771"/>
  <c r="G159" s="1"/>
  <c r="H156" s="1"/>
  <c r="J167"/>
  <c r="A25"/>
  <c r="E24"/>
  <c r="D251" s="1"/>
  <c r="F126"/>
  <c r="G108" s="1"/>
  <c r="E187"/>
  <c r="F162"/>
  <c r="F166" s="1"/>
  <c r="F168" s="1"/>
  <c r="G157" i="2770"/>
  <c r="G159" s="1"/>
  <c r="H156" s="1"/>
  <c r="J167"/>
  <c r="A25"/>
  <c r="E24"/>
  <c r="D251" s="1"/>
  <c r="F126"/>
  <c r="G108" s="1"/>
  <c r="E187"/>
  <c r="F162"/>
  <c r="F166" s="1"/>
  <c r="F168" s="1"/>
  <c r="G157" i="2769"/>
  <c r="G159" s="1"/>
  <c r="H156" s="1"/>
  <c r="E187"/>
  <c r="F126"/>
  <c r="G108" s="1"/>
  <c r="E24"/>
  <c r="D251" s="1"/>
  <c r="A25"/>
  <c r="J167"/>
  <c r="F162"/>
  <c r="F166" s="1"/>
  <c r="F168" s="1"/>
  <c r="F120" i="2768"/>
  <c r="F132" s="1"/>
  <c r="F147" s="1"/>
  <c r="F157"/>
  <c r="F159" s="1"/>
  <c r="G156" s="1"/>
  <c r="I167"/>
  <c r="A24"/>
  <c r="E23"/>
  <c r="E43" s="1"/>
  <c r="F126" i="2767"/>
  <c r="G108" s="1"/>
  <c r="G157"/>
  <c r="G159" s="1"/>
  <c r="H156" s="1"/>
  <c r="G120"/>
  <c r="G132" s="1"/>
  <c r="E187"/>
  <c r="J167"/>
  <c r="A25"/>
  <c r="E24"/>
  <c r="D251" s="1"/>
  <c r="F162"/>
  <c r="F166" s="1"/>
  <c r="F168" s="1"/>
  <c r="I167" i="2766"/>
  <c r="F120"/>
  <c r="F132" s="1"/>
  <c r="F147" s="1"/>
  <c r="F157"/>
  <c r="F159" s="1"/>
  <c r="G156" s="1"/>
  <c r="A24"/>
  <c r="E23"/>
  <c r="E43" s="1"/>
  <c r="G157" i="2765"/>
  <c r="G159" s="1"/>
  <c r="H156" s="1"/>
  <c r="J167"/>
  <c r="A25"/>
  <c r="E24"/>
  <c r="D251" s="1"/>
  <c r="F126"/>
  <c r="G108" s="1"/>
  <c r="E187"/>
  <c r="F162"/>
  <c r="F166" s="1"/>
  <c r="F168" s="1"/>
  <c r="G157" i="2764"/>
  <c r="G159" s="1"/>
  <c r="H156" s="1"/>
  <c r="J167"/>
  <c r="A25"/>
  <c r="E24"/>
  <c r="D251" s="1"/>
  <c r="F126"/>
  <c r="G108" s="1"/>
  <c r="E187"/>
  <c r="F162"/>
  <c r="F166" s="1"/>
  <c r="F168" s="1"/>
  <c r="I167" i="2763"/>
  <c r="F120"/>
  <c r="F132" s="1"/>
  <c r="F147" s="1"/>
  <c r="F157"/>
  <c r="F159" s="1"/>
  <c r="G156" s="1"/>
  <c r="A24"/>
  <c r="E23"/>
  <c r="E43" s="1"/>
  <c r="H157" i="2762"/>
  <c r="H159" s="1"/>
  <c r="I156" s="1"/>
  <c r="F193"/>
  <c r="G165"/>
  <c r="A26"/>
  <c r="E25"/>
  <c r="D250" s="1"/>
  <c r="H253" s="1"/>
  <c r="G120"/>
  <c r="G132" s="1"/>
  <c r="H252"/>
  <c r="H254"/>
  <c r="G157" i="2761"/>
  <c r="G159" s="1"/>
  <c r="H156" s="1"/>
  <c r="E187"/>
  <c r="F126"/>
  <c r="G108" s="1"/>
  <c r="J167"/>
  <c r="A25"/>
  <c r="E24"/>
  <c r="D251" s="1"/>
  <c r="F162"/>
  <c r="F166" s="1"/>
  <c r="F168" s="1"/>
  <c r="F126" i="2760"/>
  <c r="G108" s="1"/>
  <c r="G157"/>
  <c r="G159" s="1"/>
  <c r="H156" s="1"/>
  <c r="G120"/>
  <c r="G132" s="1"/>
  <c r="E187"/>
  <c r="J167"/>
  <c r="A25"/>
  <c r="E24"/>
  <c r="D251" s="1"/>
  <c r="F162"/>
  <c r="F166" s="1"/>
  <c r="F168" s="1"/>
  <c r="I167" i="2759"/>
  <c r="F120"/>
  <c r="F132" s="1"/>
  <c r="F147" s="1"/>
  <c r="F157"/>
  <c r="F159" s="1"/>
  <c r="G156" s="1"/>
  <c r="A24"/>
  <c r="E23"/>
  <c r="E43" s="1"/>
  <c r="H157" i="2758"/>
  <c r="H159" s="1"/>
  <c r="I156" s="1"/>
  <c r="G120"/>
  <c r="G132" s="1"/>
  <c r="H254"/>
  <c r="F193"/>
  <c r="G165"/>
  <c r="A26"/>
  <c r="E25"/>
  <c r="D250" s="1"/>
  <c r="H253" s="1"/>
  <c r="I167" i="2757"/>
  <c r="F120"/>
  <c r="F132" s="1"/>
  <c r="F147" s="1"/>
  <c r="F157"/>
  <c r="F159" s="1"/>
  <c r="G156" s="1"/>
  <c r="A24"/>
  <c r="E23"/>
  <c r="E43" s="1"/>
  <c r="A26" i="2772" l="1"/>
  <c r="E25"/>
  <c r="D250" s="1"/>
  <c r="H253" s="1"/>
  <c r="H263" s="1"/>
  <c r="H157"/>
  <c r="H159" s="1"/>
  <c r="I156" s="1"/>
  <c r="G120"/>
  <c r="G132" s="1"/>
  <c r="H254"/>
  <c r="H157" i="2771"/>
  <c r="H159" s="1"/>
  <c r="I156" s="1"/>
  <c r="F193"/>
  <c r="G165"/>
  <c r="G120"/>
  <c r="G132" s="1"/>
  <c r="E25"/>
  <c r="D250" s="1"/>
  <c r="H253" s="1"/>
  <c r="A26"/>
  <c r="H252"/>
  <c r="H254"/>
  <c r="H157" i="2770"/>
  <c r="H159" s="1"/>
  <c r="I156" s="1"/>
  <c r="G120"/>
  <c r="G132" s="1"/>
  <c r="E25"/>
  <c r="D250" s="1"/>
  <c r="H253" s="1"/>
  <c r="A26"/>
  <c r="F193"/>
  <c r="G165"/>
  <c r="H252"/>
  <c r="H254"/>
  <c r="H157" i="2769"/>
  <c r="H159" s="1"/>
  <c r="I156" s="1"/>
  <c r="F193"/>
  <c r="G165"/>
  <c r="A26"/>
  <c r="E25"/>
  <c r="D250" s="1"/>
  <c r="H253" s="1"/>
  <c r="G120"/>
  <c r="G132" s="1"/>
  <c r="H252"/>
  <c r="H254"/>
  <c r="H263"/>
  <c r="F126" i="2768"/>
  <c r="G108" s="1"/>
  <c r="E24"/>
  <c r="D251" s="1"/>
  <c r="A25"/>
  <c r="G157"/>
  <c r="G159" s="1"/>
  <c r="H156" s="1"/>
  <c r="G120"/>
  <c r="G132" s="1"/>
  <c r="F126" i="2766"/>
  <c r="G108" s="1"/>
  <c r="E187" i="2768"/>
  <c r="J167"/>
  <c r="F162"/>
  <c r="F166" s="1"/>
  <c r="F168" s="1"/>
  <c r="H157" i="2767"/>
  <c r="H159" s="1"/>
  <c r="I156" s="1"/>
  <c r="F193"/>
  <c r="G165"/>
  <c r="E25"/>
  <c r="D250" s="1"/>
  <c r="H253" s="1"/>
  <c r="A26"/>
  <c r="G126"/>
  <c r="H108" s="1"/>
  <c r="H254"/>
  <c r="E24" i="2766"/>
  <c r="D251" s="1"/>
  <c r="A25"/>
  <c r="G157"/>
  <c r="G159" s="1"/>
  <c r="H156" s="1"/>
  <c r="G120"/>
  <c r="G132" s="1"/>
  <c r="E187"/>
  <c r="J167"/>
  <c r="F126" i="2763"/>
  <c r="G108" s="1"/>
  <c r="F162" i="2766"/>
  <c r="F166" s="1"/>
  <c r="F168" s="1"/>
  <c r="H157" i="2765"/>
  <c r="H159" s="1"/>
  <c r="I156" s="1"/>
  <c r="G120"/>
  <c r="G132" s="1"/>
  <c r="E25"/>
  <c r="D250" s="1"/>
  <c r="H253" s="1"/>
  <c r="A26"/>
  <c r="F193"/>
  <c r="G165"/>
  <c r="H252"/>
  <c r="H254"/>
  <c r="H157" i="2764"/>
  <c r="H159" s="1"/>
  <c r="I156" s="1"/>
  <c r="G120"/>
  <c r="G132" s="1"/>
  <c r="E25"/>
  <c r="D250" s="1"/>
  <c r="H253" s="1"/>
  <c r="A26"/>
  <c r="F193"/>
  <c r="G165"/>
  <c r="H252"/>
  <c r="H254"/>
  <c r="E24" i="2763"/>
  <c r="D251" s="1"/>
  <c r="A25"/>
  <c r="G157"/>
  <c r="G159" s="1"/>
  <c r="H156" s="1"/>
  <c r="G120"/>
  <c r="G132" s="1"/>
  <c r="E187"/>
  <c r="J167"/>
  <c r="F162"/>
  <c r="F166" s="1"/>
  <c r="F168" s="1"/>
  <c r="I157" i="2762"/>
  <c r="I159" s="1"/>
  <c r="J156" s="1"/>
  <c r="E26"/>
  <c r="D227" s="1"/>
  <c r="A27"/>
  <c r="E27" s="1"/>
  <c r="D262" s="1"/>
  <c r="H263"/>
  <c r="G126"/>
  <c r="H108" s="1"/>
  <c r="H157" i="2761"/>
  <c r="H159" s="1"/>
  <c r="I156" s="1"/>
  <c r="H254"/>
  <c r="G120"/>
  <c r="G132" s="1"/>
  <c r="F193"/>
  <c r="G165"/>
  <c r="E25"/>
  <c r="D250" s="1"/>
  <c r="H253" s="1"/>
  <c r="A26"/>
  <c r="H157" i="2760"/>
  <c r="H159" s="1"/>
  <c r="I156" s="1"/>
  <c r="F193"/>
  <c r="G165"/>
  <c r="E25"/>
  <c r="D250" s="1"/>
  <c r="H253" s="1"/>
  <c r="A26"/>
  <c r="G126"/>
  <c r="H108" s="1"/>
  <c r="H254"/>
  <c r="G157" i="2759"/>
  <c r="G159" s="1"/>
  <c r="H156" s="1"/>
  <c r="E24"/>
  <c r="D251" s="1"/>
  <c r="A25"/>
  <c r="F126"/>
  <c r="G108" s="1"/>
  <c r="E187"/>
  <c r="J167"/>
  <c r="F162"/>
  <c r="F166" s="1"/>
  <c r="F168" s="1"/>
  <c r="I157" i="2758"/>
  <c r="I159" s="1"/>
  <c r="J156" s="1"/>
  <c r="H252"/>
  <c r="G126"/>
  <c r="H108" s="1"/>
  <c r="E26"/>
  <c r="D227" s="1"/>
  <c r="A27"/>
  <c r="E27" s="1"/>
  <c r="D262" s="1"/>
  <c r="H263"/>
  <c r="G157" i="2757"/>
  <c r="G159" s="1"/>
  <c r="H156" s="1"/>
  <c r="E187"/>
  <c r="F126"/>
  <c r="G108" s="1"/>
  <c r="E24"/>
  <c r="D251" s="1"/>
  <c r="A25"/>
  <c r="J167"/>
  <c r="F162"/>
  <c r="F166" s="1"/>
  <c r="F168" s="1"/>
  <c r="H252" i="2772" l="1"/>
  <c r="G126" i="2763"/>
  <c r="H108" s="1"/>
  <c r="G126" i="2768"/>
  <c r="H108" s="1"/>
  <c r="H263" i="2771"/>
  <c r="O7" i="49"/>
  <c r="S7"/>
  <c r="G126" i="2772"/>
  <c r="H108" s="1"/>
  <c r="H120" s="1"/>
  <c r="H132" s="1"/>
  <c r="I157"/>
  <c r="I159" s="1"/>
  <c r="J156" s="1"/>
  <c r="E26"/>
  <c r="D227" s="1"/>
  <c r="A27"/>
  <c r="E27" s="1"/>
  <c r="D262" s="1"/>
  <c r="I157" i="2771"/>
  <c r="I159" s="1"/>
  <c r="J156" s="1"/>
  <c r="G126"/>
  <c r="H108" s="1"/>
  <c r="A27"/>
  <c r="E27" s="1"/>
  <c r="D262" s="1"/>
  <c r="E26"/>
  <c r="D227" s="1"/>
  <c r="H263" i="2770"/>
  <c r="I157"/>
  <c r="I159" s="1"/>
  <c r="J156" s="1"/>
  <c r="G126"/>
  <c r="H108" s="1"/>
  <c r="A27"/>
  <c r="E27" s="1"/>
  <c r="D262" s="1"/>
  <c r="E26"/>
  <c r="D227" s="1"/>
  <c r="H263" i="2767"/>
  <c r="I157" i="2769"/>
  <c r="I159" s="1"/>
  <c r="J156" s="1"/>
  <c r="E26"/>
  <c r="D227" s="1"/>
  <c r="A27"/>
  <c r="E27" s="1"/>
  <c r="D262" s="1"/>
  <c r="H252" i="2767"/>
  <c r="G126" i="2769"/>
  <c r="H108" s="1"/>
  <c r="H120" i="2768"/>
  <c r="H132" s="1"/>
  <c r="H157"/>
  <c r="H159" s="1"/>
  <c r="I156" s="1"/>
  <c r="H254"/>
  <c r="G126" i="2766"/>
  <c r="H108" s="1"/>
  <c r="H120" s="1"/>
  <c r="H132" s="1"/>
  <c r="F193" i="2768"/>
  <c r="G165"/>
  <c r="A26"/>
  <c r="E25"/>
  <c r="D250" s="1"/>
  <c r="H253" s="1"/>
  <c r="I157" i="2767"/>
  <c r="I159" s="1"/>
  <c r="J156" s="1"/>
  <c r="H120"/>
  <c r="H132" s="1"/>
  <c r="A27"/>
  <c r="E27" s="1"/>
  <c r="D262" s="1"/>
  <c r="E26"/>
  <c r="D227" s="1"/>
  <c r="H157" i="2766"/>
  <c r="H159" s="1"/>
  <c r="I156" s="1"/>
  <c r="H254"/>
  <c r="F193"/>
  <c r="G165"/>
  <c r="A26"/>
  <c r="E25"/>
  <c r="D250" s="1"/>
  <c r="H253" s="1"/>
  <c r="H263" i="2765"/>
  <c r="I157"/>
  <c r="I159" s="1"/>
  <c r="J156" s="1"/>
  <c r="H263" i="2760"/>
  <c r="G126" i="2765"/>
  <c r="H108" s="1"/>
  <c r="A27"/>
  <c r="E27" s="1"/>
  <c r="D262" s="1"/>
  <c r="E26"/>
  <c r="D227" s="1"/>
  <c r="H263" i="2764"/>
  <c r="I157"/>
  <c r="I159" s="1"/>
  <c r="J156" s="1"/>
  <c r="G126"/>
  <c r="H108" s="1"/>
  <c r="A27"/>
  <c r="E27" s="1"/>
  <c r="D262" s="1"/>
  <c r="E26"/>
  <c r="D227" s="1"/>
  <c r="H252" i="2760"/>
  <c r="H120" i="2763"/>
  <c r="H132" s="1"/>
  <c r="H157"/>
  <c r="H159" s="1"/>
  <c r="I156" s="1"/>
  <c r="H254"/>
  <c r="F193"/>
  <c r="G165"/>
  <c r="A26"/>
  <c r="E25"/>
  <c r="D250" s="1"/>
  <c r="H253" s="1"/>
  <c r="J157" i="2762"/>
  <c r="J159" s="1"/>
  <c r="H120"/>
  <c r="H132" s="1"/>
  <c r="I157" i="2761"/>
  <c r="I159" s="1"/>
  <c r="J156" s="1"/>
  <c r="H252"/>
  <c r="A27"/>
  <c r="E27" s="1"/>
  <c r="D262" s="1"/>
  <c r="E26"/>
  <c r="D227" s="1"/>
  <c r="G126"/>
  <c r="H108" s="1"/>
  <c r="H263"/>
  <c r="I157" i="2760"/>
  <c r="I159" s="1"/>
  <c r="J156" s="1"/>
  <c r="H120"/>
  <c r="H132" s="1"/>
  <c r="A27"/>
  <c r="E27" s="1"/>
  <c r="D262" s="1"/>
  <c r="E26"/>
  <c r="D227" s="1"/>
  <c r="H157" i="2759"/>
  <c r="H159" s="1"/>
  <c r="I156" s="1"/>
  <c r="G120"/>
  <c r="G132" s="1"/>
  <c r="H254"/>
  <c r="F193"/>
  <c r="G165"/>
  <c r="A26"/>
  <c r="E25"/>
  <c r="D250" s="1"/>
  <c r="H253" s="1"/>
  <c r="J157" i="2758"/>
  <c r="J159" s="1"/>
  <c r="H120"/>
  <c r="H132" s="1"/>
  <c r="H157" i="2757"/>
  <c r="H159" s="1"/>
  <c r="I156" s="1"/>
  <c r="F193"/>
  <c r="G165"/>
  <c r="A26"/>
  <c r="E25"/>
  <c r="D250" s="1"/>
  <c r="H253" s="1"/>
  <c r="G120"/>
  <c r="G132" s="1"/>
  <c r="H254"/>
  <c r="L7" i="49" l="1"/>
  <c r="E7"/>
  <c r="Q7"/>
  <c r="P7"/>
  <c r="M7"/>
  <c r="J7"/>
  <c r="H7"/>
  <c r="G7"/>
  <c r="F7"/>
  <c r="J157" i="2772"/>
  <c r="J159" s="1"/>
  <c r="H126"/>
  <c r="I108" s="1"/>
  <c r="J157" i="2771"/>
  <c r="J159" s="1"/>
  <c r="H120"/>
  <c r="H132" s="1"/>
  <c r="J157" i="2770"/>
  <c r="J159" s="1"/>
  <c r="H120"/>
  <c r="H132" s="1"/>
  <c r="J157" i="2769"/>
  <c r="J159" s="1"/>
  <c r="H252" i="2757"/>
  <c r="H120" i="2769"/>
  <c r="H132" s="1"/>
  <c r="I157" i="2768"/>
  <c r="I159" s="1"/>
  <c r="J156" s="1"/>
  <c r="E26"/>
  <c r="D227" s="1"/>
  <c r="A27"/>
  <c r="E27" s="1"/>
  <c r="D262" s="1"/>
  <c r="H126" i="2767"/>
  <c r="I108" s="1"/>
  <c r="I120" s="1"/>
  <c r="I132" s="1"/>
  <c r="H252" i="2768"/>
  <c r="H126"/>
  <c r="I108" s="1"/>
  <c r="H263"/>
  <c r="J157" i="2767"/>
  <c r="J159" s="1"/>
  <c r="H126" i="2766"/>
  <c r="I108" s="1"/>
  <c r="I120" s="1"/>
  <c r="I132" s="1"/>
  <c r="H263"/>
  <c r="E26"/>
  <c r="D227" s="1"/>
  <c r="A27"/>
  <c r="E27" s="1"/>
  <c r="D262" s="1"/>
  <c r="I157"/>
  <c r="I159" s="1"/>
  <c r="J156" s="1"/>
  <c r="H252"/>
  <c r="J157" i="2765"/>
  <c r="J159" s="1"/>
  <c r="H120"/>
  <c r="H132" s="1"/>
  <c r="J157" i="2764"/>
  <c r="J159" s="1"/>
  <c r="H120"/>
  <c r="H132" s="1"/>
  <c r="I157" i="2763"/>
  <c r="I159" s="1"/>
  <c r="J156" s="1"/>
  <c r="H252"/>
  <c r="H126"/>
  <c r="I108" s="1"/>
  <c r="E26"/>
  <c r="D227" s="1"/>
  <c r="A27"/>
  <c r="E27" s="1"/>
  <c r="D262" s="1"/>
  <c r="H263"/>
  <c r="H126" i="2762"/>
  <c r="I108" s="1"/>
  <c r="J157" i="2761"/>
  <c r="J159" s="1"/>
  <c r="H120"/>
  <c r="H132" s="1"/>
  <c r="H126" i="2760"/>
  <c r="I108" s="1"/>
  <c r="I120" s="1"/>
  <c r="I132" s="1"/>
  <c r="J157"/>
  <c r="J159" s="1"/>
  <c r="I157" i="2759"/>
  <c r="I159" s="1"/>
  <c r="J156" s="1"/>
  <c r="H252"/>
  <c r="G126"/>
  <c r="H108" s="1"/>
  <c r="E26"/>
  <c r="D227" s="1"/>
  <c r="A27"/>
  <c r="E27" s="1"/>
  <c r="D262" s="1"/>
  <c r="H263"/>
  <c r="H126" i="2758"/>
  <c r="I108" s="1"/>
  <c r="I157" i="2757"/>
  <c r="I159" s="1"/>
  <c r="J156" s="1"/>
  <c r="E26"/>
  <c r="D227" s="1"/>
  <c r="A27"/>
  <c r="E27" s="1"/>
  <c r="D262" s="1"/>
  <c r="H263"/>
  <c r="G126"/>
  <c r="H108" s="1"/>
  <c r="P18" i="49"/>
  <c r="L18"/>
  <c r="G18"/>
  <c r="O18"/>
  <c r="M18"/>
  <c r="J18"/>
  <c r="E18"/>
  <c r="T7" l="1"/>
  <c r="T18" s="1"/>
  <c r="R7"/>
  <c r="R18" s="1"/>
  <c r="N7"/>
  <c r="I7"/>
  <c r="K7"/>
  <c r="I120" i="2772"/>
  <c r="I132" s="1"/>
  <c r="H126" i="2771"/>
  <c r="I108" s="1"/>
  <c r="H126" i="2770"/>
  <c r="I108" s="1"/>
  <c r="H126" i="2769"/>
  <c r="I108" s="1"/>
  <c r="J157" i="2768"/>
  <c r="J159" s="1"/>
  <c r="I120"/>
  <c r="I132" s="1"/>
  <c r="I126" i="2766"/>
  <c r="J108" s="1"/>
  <c r="J120" s="1"/>
  <c r="J132" s="1"/>
  <c r="I126" i="2767"/>
  <c r="J108" s="1"/>
  <c r="J157" i="2766"/>
  <c r="J159" s="1"/>
  <c r="H126" i="2765"/>
  <c r="I108" s="1"/>
  <c r="H126" i="2764"/>
  <c r="I108" s="1"/>
  <c r="J157" i="2763"/>
  <c r="J159" s="1"/>
  <c r="I120"/>
  <c r="I132" s="1"/>
  <c r="I120" i="2762"/>
  <c r="I132" s="1"/>
  <c r="H126" i="2761"/>
  <c r="I108" s="1"/>
  <c r="I126" i="2760"/>
  <c r="J108" s="1"/>
  <c r="J157" i="2759"/>
  <c r="J159" s="1"/>
  <c r="H120"/>
  <c r="H132" s="1"/>
  <c r="I120" i="2758"/>
  <c r="I132" s="1"/>
  <c r="J157" i="2757"/>
  <c r="J159" s="1"/>
  <c r="H120"/>
  <c r="H132" s="1"/>
  <c r="G33" i="49"/>
  <c r="E33"/>
  <c r="S18"/>
  <c r="N18"/>
  <c r="K18"/>
  <c r="I18"/>
  <c r="H18"/>
  <c r="F18"/>
  <c r="P33"/>
  <c r="R33"/>
  <c r="I126" i="2772" l="1"/>
  <c r="J108" s="1"/>
  <c r="I120" i="2771"/>
  <c r="I132" s="1"/>
  <c r="I120" i="2770"/>
  <c r="I132" s="1"/>
  <c r="I120" i="2769"/>
  <c r="I132" s="1"/>
  <c r="I126" i="2768"/>
  <c r="J108" s="1"/>
  <c r="J120" s="1"/>
  <c r="J132" s="1"/>
  <c r="J120" i="2767"/>
  <c r="J132" s="1"/>
  <c r="J126" i="2766"/>
  <c r="I120" i="2765"/>
  <c r="I132" s="1"/>
  <c r="I120" i="2764"/>
  <c r="I132" s="1"/>
  <c r="I126" i="2763"/>
  <c r="J108" s="1"/>
  <c r="I126" i="2762"/>
  <c r="J108" s="1"/>
  <c r="I120" i="2761"/>
  <c r="I132" s="1"/>
  <c r="J120" i="2760"/>
  <c r="J132" s="1"/>
  <c r="I126" i="2758"/>
  <c r="J108" s="1"/>
  <c r="J120" s="1"/>
  <c r="J132" s="1"/>
  <c r="H126" i="2759"/>
  <c r="I108" s="1"/>
  <c r="H126" i="2757"/>
  <c r="I108" s="1"/>
  <c r="Q33" i="49"/>
  <c r="Q18"/>
  <c r="I126" i="2771" l="1"/>
  <c r="J108" s="1"/>
  <c r="J120" i="2772"/>
  <c r="J132" s="1"/>
  <c r="J120" i="2771"/>
  <c r="J132" s="1"/>
  <c r="I126" i="2770"/>
  <c r="J108" s="1"/>
  <c r="I126" i="2769"/>
  <c r="J108" s="1"/>
  <c r="J126" i="2768"/>
  <c r="I126" i="2764"/>
  <c r="J108" s="1"/>
  <c r="J126" i="2767"/>
  <c r="I126" i="2765"/>
  <c r="J108" s="1"/>
  <c r="J120" i="2764"/>
  <c r="J132" s="1"/>
  <c r="J120" i="2763"/>
  <c r="J132" s="1"/>
  <c r="J120" i="2762"/>
  <c r="J132" s="1"/>
  <c r="I126" i="2761"/>
  <c r="J108" s="1"/>
  <c r="J126" i="2760"/>
  <c r="I120" i="2759"/>
  <c r="I132" s="1"/>
  <c r="J126" i="2758"/>
  <c r="I120" i="2757"/>
  <c r="I132" s="1"/>
  <c r="J126" i="2772" l="1"/>
  <c r="J126" i="2771"/>
  <c r="J120" i="2770"/>
  <c r="J132" s="1"/>
  <c r="J120" i="2769"/>
  <c r="J132" s="1"/>
  <c r="J120" i="2765"/>
  <c r="J132" s="1"/>
  <c r="J126" i="2764"/>
  <c r="J126" i="2763"/>
  <c r="J126" i="2762"/>
  <c r="J120" i="2761"/>
  <c r="J132" s="1"/>
  <c r="I126" i="2759"/>
  <c r="J108" s="1"/>
  <c r="J120" s="1"/>
  <c r="J132" s="1"/>
  <c r="I126" i="2757"/>
  <c r="J108" s="1"/>
  <c r="J126" i="2769" l="1"/>
  <c r="J126" i="2770"/>
  <c r="J126" i="2765"/>
  <c r="J126" i="2761"/>
  <c r="J126" i="2759"/>
  <c r="J120" i="2757"/>
  <c r="J132" s="1"/>
  <c r="J126" l="1"/>
  <c r="B17" i="5" l="1"/>
  <c r="B16"/>
  <c r="B15"/>
  <c r="B14"/>
  <c r="B13"/>
  <c r="L30" i="2228"/>
  <c r="P30" s="1"/>
  <c r="M27"/>
  <c r="L27"/>
  <c r="P27" s="1"/>
  <c r="M26"/>
  <c r="L26"/>
  <c r="L25"/>
  <c r="M25" s="1"/>
  <c r="L24"/>
  <c r="M23"/>
  <c r="L23"/>
  <c r="L22"/>
  <c r="L21"/>
  <c r="M21" s="1"/>
  <c r="M20"/>
  <c r="L20"/>
  <c r="P20" s="1"/>
  <c r="B20"/>
  <c r="B24" s="1"/>
  <c r="L19"/>
  <c r="M19" s="1"/>
  <c r="B19"/>
  <c r="B23" s="1"/>
  <c r="B27" s="1"/>
  <c r="M18"/>
  <c r="L18"/>
  <c r="P18" s="1"/>
  <c r="B18"/>
  <c r="B22" s="1"/>
  <c r="B26" s="1"/>
  <c r="L17"/>
  <c r="M17" s="1"/>
  <c r="B17"/>
  <c r="B21" s="1"/>
  <c r="B25" s="1"/>
  <c r="L16"/>
  <c r="M16" s="1"/>
  <c r="L15"/>
  <c r="K15"/>
  <c r="K19" s="1"/>
  <c r="O19" s="1"/>
  <c r="L14"/>
  <c r="M14" s="1"/>
  <c r="K14"/>
  <c r="L13"/>
  <c r="R26" s="1"/>
  <c r="K13"/>
  <c r="K17" s="1"/>
  <c r="M12"/>
  <c r="L12"/>
  <c r="K12"/>
  <c r="K16" s="1"/>
  <c r="L11"/>
  <c r="M11" s="1"/>
  <c r="K11"/>
  <c r="L10"/>
  <c r="M10" s="1"/>
  <c r="K10"/>
  <c r="L9"/>
  <c r="M9" s="1"/>
  <c r="K9"/>
  <c r="M8"/>
  <c r="L8"/>
  <c r="K8"/>
  <c r="R4"/>
  <c r="C34" i="2772" l="1"/>
  <c r="C34" i="2771"/>
  <c r="C34" i="2769"/>
  <c r="C34" i="2767"/>
  <c r="C34" i="2765"/>
  <c r="C34" i="2763"/>
  <c r="C34" i="2762"/>
  <c r="C34" i="2760"/>
  <c r="C34" i="2758"/>
  <c r="C34" i="2770"/>
  <c r="C34" i="2768"/>
  <c r="C34" i="2766"/>
  <c r="C34" i="2764"/>
  <c r="C34" i="2761"/>
  <c r="C34" i="2759"/>
  <c r="C34" i="2757"/>
  <c r="C36" i="2770"/>
  <c r="C36" i="2768"/>
  <c r="C36" i="2766"/>
  <c r="C36" i="2764"/>
  <c r="C36" i="2761"/>
  <c r="C36" i="2759"/>
  <c r="C36" i="2757"/>
  <c r="C36" i="2772"/>
  <c r="C36" i="2771"/>
  <c r="C36" i="2769"/>
  <c r="C36" i="2767"/>
  <c r="C36" i="2765"/>
  <c r="C36" i="2763"/>
  <c r="C36" i="2762"/>
  <c r="C36" i="2760"/>
  <c r="C36" i="2758"/>
  <c r="C33" i="2770"/>
  <c r="C33" i="2768"/>
  <c r="C33" i="2766"/>
  <c r="C33" i="2764"/>
  <c r="C33" i="2761"/>
  <c r="C33" i="2759"/>
  <c r="C33" i="2757"/>
  <c r="C33" i="2772"/>
  <c r="C33" i="2771"/>
  <c r="C33" i="2769"/>
  <c r="C33" i="2767"/>
  <c r="C33" i="2765"/>
  <c r="C33" i="2763"/>
  <c r="C33" i="2762"/>
  <c r="C33" i="2760"/>
  <c r="C33" i="2758"/>
  <c r="C35" i="2772"/>
  <c r="C247" s="1"/>
  <c r="C35" i="2771"/>
  <c r="C247" s="1"/>
  <c r="C35" i="2769"/>
  <c r="C247" s="1"/>
  <c r="C35" i="2767"/>
  <c r="C247" s="1"/>
  <c r="C35" i="2765"/>
  <c r="C247" s="1"/>
  <c r="C35" i="2763"/>
  <c r="C247" s="1"/>
  <c r="C35" i="2762"/>
  <c r="C247" s="1"/>
  <c r="C35" i="2760"/>
  <c r="C247" s="1"/>
  <c r="C35" i="2758"/>
  <c r="C247" s="1"/>
  <c r="C35" i="2770"/>
  <c r="C247" s="1"/>
  <c r="C35" i="2768"/>
  <c r="C247" s="1"/>
  <c r="C35" i="2766"/>
  <c r="C247" s="1"/>
  <c r="C35" i="2764"/>
  <c r="C247" s="1"/>
  <c r="C35" i="2761"/>
  <c r="C247" s="1"/>
  <c r="C35" i="2759"/>
  <c r="C247" s="1"/>
  <c r="C35" i="2757"/>
  <c r="C247" s="1"/>
  <c r="C37" i="2770"/>
  <c r="C248" s="1"/>
  <c r="C37" i="2768"/>
  <c r="C248" s="1"/>
  <c r="C37" i="2766"/>
  <c r="C248" s="1"/>
  <c r="C37" i="2764"/>
  <c r="C248" s="1"/>
  <c r="C37" i="2761"/>
  <c r="C248" s="1"/>
  <c r="C37" i="2759"/>
  <c r="C248" s="1"/>
  <c r="C37" i="2757"/>
  <c r="C248" s="1"/>
  <c r="C37" i="2772"/>
  <c r="C248" s="1"/>
  <c r="C37" i="2771"/>
  <c r="C248" s="1"/>
  <c r="C37" i="2769"/>
  <c r="C248" s="1"/>
  <c r="C37" i="2767"/>
  <c r="C248" s="1"/>
  <c r="C37" i="2765"/>
  <c r="C248" s="1"/>
  <c r="C37" i="2763"/>
  <c r="C248" s="1"/>
  <c r="C37" i="2762"/>
  <c r="C248" s="1"/>
  <c r="C37" i="2760"/>
  <c r="C248" s="1"/>
  <c r="C37" i="2758"/>
  <c r="C248" s="1"/>
  <c r="R31" i="2228"/>
  <c r="P25"/>
  <c r="S43" s="1"/>
  <c r="F14" i="5" s="1"/>
  <c r="R27" i="2228"/>
  <c r="R32"/>
  <c r="P23"/>
  <c r="P24"/>
  <c r="R28"/>
  <c r="R30"/>
  <c r="P21"/>
  <c r="R43" s="1"/>
  <c r="E14" i="5" s="1"/>
  <c r="K20" i="2228"/>
  <c r="Q23"/>
  <c r="K18"/>
  <c r="Q24" s="1"/>
  <c r="P19"/>
  <c r="K21"/>
  <c r="Q22"/>
  <c r="K23"/>
  <c r="R23"/>
  <c r="R25"/>
  <c r="S45" s="1"/>
  <c r="F16" i="5" s="1"/>
  <c r="P26" i="2228"/>
  <c r="L28"/>
  <c r="R29"/>
  <c r="T45" s="1"/>
  <c r="G16" i="5" s="1"/>
  <c r="R33" i="2228"/>
  <c r="U45" s="1"/>
  <c r="H16" i="5" s="1"/>
  <c r="L34" i="2228"/>
  <c r="M13"/>
  <c r="M15"/>
  <c r="S24" s="1"/>
  <c r="O17"/>
  <c r="Q42" s="1"/>
  <c r="D13" i="5" s="1"/>
  <c r="Q21" i="2228"/>
  <c r="R44" s="1"/>
  <c r="E15" i="5" s="1"/>
  <c r="M22" i="2228"/>
  <c r="P22"/>
  <c r="R22"/>
  <c r="M24"/>
  <c r="S33" s="1"/>
  <c r="U46" s="1"/>
  <c r="H17" i="5" s="1"/>
  <c r="R24" i="2228"/>
  <c r="L29"/>
  <c r="M30"/>
  <c r="L31"/>
  <c r="P17"/>
  <c r="R21"/>
  <c r="R45" s="1"/>
  <c r="E16" i="5" s="1"/>
  <c r="I37" i="2770" l="1"/>
  <c r="I248" s="1"/>
  <c r="I37" i="2768"/>
  <c r="I248" s="1"/>
  <c r="I37" i="2766"/>
  <c r="I248" s="1"/>
  <c r="I37" i="2764"/>
  <c r="I248" s="1"/>
  <c r="I37" i="2761"/>
  <c r="I248" s="1"/>
  <c r="I37" i="2759"/>
  <c r="I248" s="1"/>
  <c r="I37" i="2757"/>
  <c r="I248" s="1"/>
  <c r="I37" i="2772"/>
  <c r="I248" s="1"/>
  <c r="I37" i="2771"/>
  <c r="I248" s="1"/>
  <c r="I37" i="2769"/>
  <c r="I248" s="1"/>
  <c r="I37" i="2767"/>
  <c r="I248" s="1"/>
  <c r="I37" i="2765"/>
  <c r="I248" s="1"/>
  <c r="I37" i="2763"/>
  <c r="I248" s="1"/>
  <c r="I37" i="2762"/>
  <c r="I248" s="1"/>
  <c r="I37" i="2760"/>
  <c r="I248" s="1"/>
  <c r="I37" i="2758"/>
  <c r="I248" s="1"/>
  <c r="H36" i="2772"/>
  <c r="H36" i="2771"/>
  <c r="H36" i="2769"/>
  <c r="H36" i="2767"/>
  <c r="H36" i="2765"/>
  <c r="H36" i="2763"/>
  <c r="H36" i="2762"/>
  <c r="H36" i="2760"/>
  <c r="H36" i="2758"/>
  <c r="H36" i="2770"/>
  <c r="H36" i="2768"/>
  <c r="H36" i="2766"/>
  <c r="H36" i="2764"/>
  <c r="H36" i="2761"/>
  <c r="H36" i="2759"/>
  <c r="H36" i="2757"/>
  <c r="F34" i="2770"/>
  <c r="F34" i="2768"/>
  <c r="F34" i="2766"/>
  <c r="F34" i="2764"/>
  <c r="F34" i="2761"/>
  <c r="F34" i="2759"/>
  <c r="F34" i="2757"/>
  <c r="F34" i="2772"/>
  <c r="F34" i="2771"/>
  <c r="F34" i="2769"/>
  <c r="F34" i="2767"/>
  <c r="F34" i="2765"/>
  <c r="F34" i="2763"/>
  <c r="F34" i="2762"/>
  <c r="F34" i="2760"/>
  <c r="F34" i="2758"/>
  <c r="F36" i="2772"/>
  <c r="F36" i="2771"/>
  <c r="F36" i="2769"/>
  <c r="F36" i="2767"/>
  <c r="F36" i="2765"/>
  <c r="F36" i="2763"/>
  <c r="F36" i="2762"/>
  <c r="F36" i="2760"/>
  <c r="F36" i="2758"/>
  <c r="F36" i="2770"/>
  <c r="F36" i="2768"/>
  <c r="F36" i="2766"/>
  <c r="F36" i="2764"/>
  <c r="F36" i="2761"/>
  <c r="F36" i="2759"/>
  <c r="F36" i="2757"/>
  <c r="E33" i="2772"/>
  <c r="E41" s="1"/>
  <c r="E33" i="2771"/>
  <c r="E41" s="1"/>
  <c r="E33" i="2769"/>
  <c r="E41" s="1"/>
  <c r="E33" i="2767"/>
  <c r="E41" s="1"/>
  <c r="E33" i="2765"/>
  <c r="E41" s="1"/>
  <c r="E33" i="2763"/>
  <c r="E41" s="1"/>
  <c r="E33" i="2762"/>
  <c r="E41" s="1"/>
  <c r="E33" i="2760"/>
  <c r="E41" s="1"/>
  <c r="E33" i="2758"/>
  <c r="E41" s="1"/>
  <c r="E33" i="2770"/>
  <c r="E41" s="1"/>
  <c r="E33" i="2768"/>
  <c r="E41" s="1"/>
  <c r="E33" i="2766"/>
  <c r="E41" s="1"/>
  <c r="E33" i="2764"/>
  <c r="E41" s="1"/>
  <c r="E33" i="2761"/>
  <c r="E41" s="1"/>
  <c r="E33" i="2759"/>
  <c r="E41" s="1"/>
  <c r="E33" i="2757"/>
  <c r="E41" s="1"/>
  <c r="I36" i="2770"/>
  <c r="I36" i="2768"/>
  <c r="I36" i="2766"/>
  <c r="I36" i="2764"/>
  <c r="I36" i="2761"/>
  <c r="I36" i="2759"/>
  <c r="I36" i="2757"/>
  <c r="I36" i="2772"/>
  <c r="I36" i="2771"/>
  <c r="I36" i="2769"/>
  <c r="I36" i="2767"/>
  <c r="I36" i="2765"/>
  <c r="I36" i="2763"/>
  <c r="I36" i="2762"/>
  <c r="I36" i="2760"/>
  <c r="I36" i="2758"/>
  <c r="G36" i="2770"/>
  <c r="G36" i="2768"/>
  <c r="G36" i="2766"/>
  <c r="G36" i="2764"/>
  <c r="G36" i="2761"/>
  <c r="G36" i="2759"/>
  <c r="G36" i="2757"/>
  <c r="G36" i="2772"/>
  <c r="G36" i="2771"/>
  <c r="G36" i="2769"/>
  <c r="G36" i="2767"/>
  <c r="G36" i="2765"/>
  <c r="G36" i="2763"/>
  <c r="G36" i="2762"/>
  <c r="G36" i="2760"/>
  <c r="G36" i="2758"/>
  <c r="G34" i="2772"/>
  <c r="G34" i="2771"/>
  <c r="G34" i="2769"/>
  <c r="G34" i="2767"/>
  <c r="G34" i="2765"/>
  <c r="G34" i="2763"/>
  <c r="G34" i="2762"/>
  <c r="G34" i="2760"/>
  <c r="G34" i="2758"/>
  <c r="G34" i="2770"/>
  <c r="G34" i="2768"/>
  <c r="G34" i="2766"/>
  <c r="G34" i="2764"/>
  <c r="G34" i="2761"/>
  <c r="G34" i="2759"/>
  <c r="G34" i="2757"/>
  <c r="R36" i="2228"/>
  <c r="K24"/>
  <c r="O20"/>
  <c r="S31"/>
  <c r="S22"/>
  <c r="S30"/>
  <c r="S26"/>
  <c r="S25"/>
  <c r="S46" s="1"/>
  <c r="F17" i="5" s="1"/>
  <c r="S32" i="2228"/>
  <c r="S27"/>
  <c r="L35"/>
  <c r="P31"/>
  <c r="M31"/>
  <c r="L33"/>
  <c r="P29"/>
  <c r="T43" s="1"/>
  <c r="G14" i="5" s="1"/>
  <c r="M29" i="2228"/>
  <c r="P34"/>
  <c r="M34"/>
  <c r="P28"/>
  <c r="M28"/>
  <c r="R37"/>
  <c r="V45" s="1"/>
  <c r="I16" i="5" s="1"/>
  <c r="R35" i="2228"/>
  <c r="L32"/>
  <c r="O23"/>
  <c r="K27"/>
  <c r="O21"/>
  <c r="R42" s="1"/>
  <c r="E13" i="5" s="1"/>
  <c r="K25" i="2228"/>
  <c r="Q27"/>
  <c r="K22"/>
  <c r="O18"/>
  <c r="S28"/>
  <c r="Q26"/>
  <c r="S23"/>
  <c r="R34"/>
  <c r="S29"/>
  <c r="T46" s="1"/>
  <c r="G17" i="5" s="1"/>
  <c r="S21" i="2228"/>
  <c r="R46" s="1"/>
  <c r="E17" i="5" s="1"/>
  <c r="Q25" i="2228"/>
  <c r="S44" s="1"/>
  <c r="F15" i="5" s="1"/>
  <c r="F37" i="2772" l="1"/>
  <c r="F37" i="2771"/>
  <c r="F37" i="2769"/>
  <c r="F37" i="2767"/>
  <c r="F37" i="2765"/>
  <c r="F37" i="2763"/>
  <c r="F37" i="2762"/>
  <c r="F37" i="2760"/>
  <c r="F37" i="2758"/>
  <c r="F37" i="2770"/>
  <c r="F37" i="2768"/>
  <c r="F37" i="2766"/>
  <c r="F37" i="2764"/>
  <c r="F37" i="2761"/>
  <c r="F37" i="2759"/>
  <c r="F37" i="2757"/>
  <c r="F33" i="2770"/>
  <c r="F41" s="1"/>
  <c r="F33" i="2768"/>
  <c r="F41" s="1"/>
  <c r="F33" i="2766"/>
  <c r="F41" s="1"/>
  <c r="F33" i="2764"/>
  <c r="F41" s="1"/>
  <c r="F33" i="2761"/>
  <c r="F41" s="1"/>
  <c r="F33" i="2759"/>
  <c r="F41" s="1"/>
  <c r="F33" i="2757"/>
  <c r="F41" s="1"/>
  <c r="F33" i="2772"/>
  <c r="F41" s="1"/>
  <c r="F33" i="2771"/>
  <c r="F41" s="1"/>
  <c r="F33" i="2769"/>
  <c r="F41" s="1"/>
  <c r="F33" i="2767"/>
  <c r="F41" s="1"/>
  <c r="F33" i="2765"/>
  <c r="F41" s="1"/>
  <c r="F33" i="2763"/>
  <c r="F41" s="1"/>
  <c r="F33" i="2762"/>
  <c r="F41" s="1"/>
  <c r="F33" i="2760"/>
  <c r="F41" s="1"/>
  <c r="F33" i="2758"/>
  <c r="F41" s="1"/>
  <c r="G35" i="2770"/>
  <c r="G35" i="2768"/>
  <c r="G35" i="2766"/>
  <c r="G35" i="2764"/>
  <c r="G35" i="2761"/>
  <c r="G35" i="2759"/>
  <c r="G35" i="2757"/>
  <c r="G35" i="2772"/>
  <c r="G35" i="2771"/>
  <c r="G35" i="2769"/>
  <c r="G35" i="2767"/>
  <c r="G35" i="2765"/>
  <c r="G35" i="2763"/>
  <c r="G35" i="2762"/>
  <c r="G35" i="2760"/>
  <c r="G35" i="2758"/>
  <c r="H37" i="2772"/>
  <c r="H37" i="2771"/>
  <c r="H37" i="2769"/>
  <c r="H37" i="2767"/>
  <c r="H37" i="2765"/>
  <c r="H37" i="2763"/>
  <c r="H37" i="2762"/>
  <c r="H37" i="2760"/>
  <c r="H37" i="2758"/>
  <c r="H37" i="2770"/>
  <c r="H37" i="2768"/>
  <c r="H37" i="2766"/>
  <c r="H37" i="2764"/>
  <c r="H37" i="2761"/>
  <c r="H37" i="2759"/>
  <c r="H37" i="2757"/>
  <c r="J36" i="2772"/>
  <c r="J36" i="2771"/>
  <c r="J36" i="2769"/>
  <c r="J36" i="2767"/>
  <c r="J36" i="2765"/>
  <c r="J36" i="2763"/>
  <c r="J36" i="2762"/>
  <c r="J36" i="2760"/>
  <c r="J36" i="2758"/>
  <c r="J36" i="2770"/>
  <c r="J36" i="2768"/>
  <c r="J36" i="2766"/>
  <c r="J36" i="2764"/>
  <c r="J36" i="2761"/>
  <c r="J36" i="2759"/>
  <c r="J36" i="2757"/>
  <c r="H34" i="2770"/>
  <c r="H34" i="2768"/>
  <c r="H34" i="2766"/>
  <c r="H34" i="2764"/>
  <c r="H34" i="2761"/>
  <c r="H34" i="2759"/>
  <c r="H34" i="2757"/>
  <c r="H34" i="2772"/>
  <c r="H34" i="2771"/>
  <c r="H34" i="2769"/>
  <c r="H34" i="2767"/>
  <c r="H34" i="2765"/>
  <c r="H34" i="2763"/>
  <c r="H34" i="2762"/>
  <c r="H34" i="2760"/>
  <c r="H34" i="2758"/>
  <c r="G55" i="2759"/>
  <c r="G42"/>
  <c r="G55" i="2764"/>
  <c r="G42"/>
  <c r="G55" i="2768"/>
  <c r="G42"/>
  <c r="G55" i="2758"/>
  <c r="G42"/>
  <c r="G55" i="2762"/>
  <c r="G42"/>
  <c r="G55" i="2765"/>
  <c r="G42"/>
  <c r="G55" i="2769"/>
  <c r="G42"/>
  <c r="G55" i="2772"/>
  <c r="G42"/>
  <c r="E86" i="2759"/>
  <c r="E98" s="1"/>
  <c r="F74" s="1"/>
  <c r="E84"/>
  <c r="E96" s="1"/>
  <c r="F72" s="1"/>
  <c r="E82"/>
  <c r="E87"/>
  <c r="E99" s="1"/>
  <c r="F75" s="1"/>
  <c r="E85"/>
  <c r="E97" s="1"/>
  <c r="F73" s="1"/>
  <c r="E83"/>
  <c r="E95" s="1"/>
  <c r="F71" s="1"/>
  <c r="E63"/>
  <c r="E86" i="2764"/>
  <c r="E98" s="1"/>
  <c r="F74" s="1"/>
  <c r="E84"/>
  <c r="E96" s="1"/>
  <c r="F72" s="1"/>
  <c r="E82"/>
  <c r="E87"/>
  <c r="E99" s="1"/>
  <c r="F75" s="1"/>
  <c r="E85"/>
  <c r="E97" s="1"/>
  <c r="F73" s="1"/>
  <c r="E83"/>
  <c r="E95" s="1"/>
  <c r="F71" s="1"/>
  <c r="E63"/>
  <c r="E86" i="2768"/>
  <c r="E98" s="1"/>
  <c r="F74" s="1"/>
  <c r="E84"/>
  <c r="E96" s="1"/>
  <c r="F72" s="1"/>
  <c r="E82"/>
  <c r="E87"/>
  <c r="E99" s="1"/>
  <c r="F75" s="1"/>
  <c r="E85"/>
  <c r="E97" s="1"/>
  <c r="F73" s="1"/>
  <c r="E83"/>
  <c r="E95" s="1"/>
  <c r="F71" s="1"/>
  <c r="E63"/>
  <c r="E86" i="2758"/>
  <c r="E98" s="1"/>
  <c r="F74" s="1"/>
  <c r="E84"/>
  <c r="E96" s="1"/>
  <c r="F72" s="1"/>
  <c r="E82"/>
  <c r="E87"/>
  <c r="E99" s="1"/>
  <c r="F75" s="1"/>
  <c r="E85"/>
  <c r="E97" s="1"/>
  <c r="F73" s="1"/>
  <c r="E83"/>
  <c r="E95" s="1"/>
  <c r="F71" s="1"/>
  <c r="E63"/>
  <c r="E87" i="2762"/>
  <c r="E99" s="1"/>
  <c r="F75" s="1"/>
  <c r="E85"/>
  <c r="E97" s="1"/>
  <c r="F73" s="1"/>
  <c r="E83"/>
  <c r="E95" s="1"/>
  <c r="F71" s="1"/>
  <c r="E86"/>
  <c r="E98" s="1"/>
  <c r="F74" s="1"/>
  <c r="E84"/>
  <c r="E96" s="1"/>
  <c r="F72" s="1"/>
  <c r="E82"/>
  <c r="E63"/>
  <c r="E87" i="2765"/>
  <c r="E99" s="1"/>
  <c r="F75" s="1"/>
  <c r="E85"/>
  <c r="E97" s="1"/>
  <c r="F73" s="1"/>
  <c r="E83"/>
  <c r="E95" s="1"/>
  <c r="F71" s="1"/>
  <c r="E86"/>
  <c r="E98" s="1"/>
  <c r="F74" s="1"/>
  <c r="E84"/>
  <c r="E96" s="1"/>
  <c r="F72" s="1"/>
  <c r="E82"/>
  <c r="E63"/>
  <c r="E87" i="2769"/>
  <c r="E99" s="1"/>
  <c r="F75" s="1"/>
  <c r="E83"/>
  <c r="E95" s="1"/>
  <c r="F71" s="1"/>
  <c r="E85"/>
  <c r="E97" s="1"/>
  <c r="F73" s="1"/>
  <c r="E82"/>
  <c r="E84"/>
  <c r="E96" s="1"/>
  <c r="F72" s="1"/>
  <c r="E86"/>
  <c r="E98" s="1"/>
  <c r="F74" s="1"/>
  <c r="E63"/>
  <c r="E87" i="2772"/>
  <c r="E99" s="1"/>
  <c r="F75" s="1"/>
  <c r="E85"/>
  <c r="E97" s="1"/>
  <c r="F73" s="1"/>
  <c r="E83"/>
  <c r="E95" s="1"/>
  <c r="F71" s="1"/>
  <c r="E86"/>
  <c r="E98" s="1"/>
  <c r="F74" s="1"/>
  <c r="E84"/>
  <c r="E96" s="1"/>
  <c r="F72" s="1"/>
  <c r="E82"/>
  <c r="E63"/>
  <c r="F55" i="2760"/>
  <c r="F56" s="1"/>
  <c r="F42"/>
  <c r="F43" s="1"/>
  <c r="F55" i="2763"/>
  <c r="F56" s="1"/>
  <c r="F42"/>
  <c r="F43" s="1"/>
  <c r="F55" i="2767"/>
  <c r="F56" s="1"/>
  <c r="F42"/>
  <c r="F43" s="1"/>
  <c r="F55" i="2771"/>
  <c r="F56" s="1"/>
  <c r="F42"/>
  <c r="F43" s="1"/>
  <c r="F55" i="2757"/>
  <c r="F56" s="1"/>
  <c r="F42"/>
  <c r="F43" s="1"/>
  <c r="F55" i="2761"/>
  <c r="F56" s="1"/>
  <c r="F42"/>
  <c r="F43" s="1"/>
  <c r="F55" i="2766"/>
  <c r="F56" s="1"/>
  <c r="F42"/>
  <c r="F43" s="1"/>
  <c r="F55" i="2770"/>
  <c r="F56" s="1"/>
  <c r="F42"/>
  <c r="F43" s="1"/>
  <c r="I254" i="2760"/>
  <c r="I252"/>
  <c r="I254" i="2763"/>
  <c r="I252"/>
  <c r="I254" i="2767"/>
  <c r="I252"/>
  <c r="I254" i="2771"/>
  <c r="I252"/>
  <c r="I252" i="2757"/>
  <c r="I254"/>
  <c r="I254" i="2761"/>
  <c r="I252"/>
  <c r="I254" i="2766"/>
  <c r="I252"/>
  <c r="I254" i="2770"/>
  <c r="I252"/>
  <c r="G37"/>
  <c r="G37" i="2768"/>
  <c r="G37" i="2766"/>
  <c r="G37" i="2764"/>
  <c r="G37" i="2761"/>
  <c r="G37" i="2759"/>
  <c r="G37" i="2757"/>
  <c r="G37" i="2772"/>
  <c r="G37" i="2771"/>
  <c r="G37" i="2769"/>
  <c r="G37" i="2767"/>
  <c r="G37" i="2765"/>
  <c r="G37" i="2763"/>
  <c r="G37" i="2762"/>
  <c r="G37" i="2760"/>
  <c r="G37" i="2758"/>
  <c r="G55" i="2757"/>
  <c r="G42"/>
  <c r="G55" i="2761"/>
  <c r="G42"/>
  <c r="G55" i="2766"/>
  <c r="G42"/>
  <c r="G55" i="2770"/>
  <c r="G42"/>
  <c r="G55" i="2760"/>
  <c r="G42"/>
  <c r="G55" i="2763"/>
  <c r="G42"/>
  <c r="G55" i="2767"/>
  <c r="G42"/>
  <c r="G55" i="2771"/>
  <c r="G42"/>
  <c r="E86" i="2757"/>
  <c r="E98" s="1"/>
  <c r="F74" s="1"/>
  <c r="E84"/>
  <c r="E96" s="1"/>
  <c r="F72" s="1"/>
  <c r="E82"/>
  <c r="E87"/>
  <c r="E99" s="1"/>
  <c r="F75" s="1"/>
  <c r="E85"/>
  <c r="E97" s="1"/>
  <c r="F73" s="1"/>
  <c r="E83"/>
  <c r="E95" s="1"/>
  <c r="F71" s="1"/>
  <c r="E63"/>
  <c r="E86" i="2761"/>
  <c r="E98" s="1"/>
  <c r="F74" s="1"/>
  <c r="E84"/>
  <c r="E96" s="1"/>
  <c r="F72" s="1"/>
  <c r="E82"/>
  <c r="E87"/>
  <c r="E99" s="1"/>
  <c r="F75" s="1"/>
  <c r="E85"/>
  <c r="E97" s="1"/>
  <c r="F73" s="1"/>
  <c r="E83"/>
  <c r="E95" s="1"/>
  <c r="F71" s="1"/>
  <c r="E63"/>
  <c r="E87" i="2766"/>
  <c r="E99" s="1"/>
  <c r="F75" s="1"/>
  <c r="E85"/>
  <c r="E97" s="1"/>
  <c r="F73" s="1"/>
  <c r="E83"/>
  <c r="E95" s="1"/>
  <c r="F71" s="1"/>
  <c r="E86"/>
  <c r="E98" s="1"/>
  <c r="F74" s="1"/>
  <c r="E84"/>
  <c r="E96" s="1"/>
  <c r="F72" s="1"/>
  <c r="E82"/>
  <c r="E63"/>
  <c r="E87" i="2770"/>
  <c r="E99" s="1"/>
  <c r="F75" s="1"/>
  <c r="E85"/>
  <c r="E97" s="1"/>
  <c r="F73" s="1"/>
  <c r="E83"/>
  <c r="E95" s="1"/>
  <c r="F71" s="1"/>
  <c r="E86"/>
  <c r="E98" s="1"/>
  <c r="F74" s="1"/>
  <c r="E84"/>
  <c r="E96" s="1"/>
  <c r="F72" s="1"/>
  <c r="E82"/>
  <c r="E63"/>
  <c r="E87" i="2760"/>
  <c r="E99" s="1"/>
  <c r="F75" s="1"/>
  <c r="E85"/>
  <c r="E97" s="1"/>
  <c r="F73" s="1"/>
  <c r="E83"/>
  <c r="E95" s="1"/>
  <c r="F71" s="1"/>
  <c r="E86"/>
  <c r="E98" s="1"/>
  <c r="F74" s="1"/>
  <c r="E84"/>
  <c r="E96" s="1"/>
  <c r="F72" s="1"/>
  <c r="E82"/>
  <c r="E63"/>
  <c r="E87" i="2763"/>
  <c r="E99" s="1"/>
  <c r="F75" s="1"/>
  <c r="E85"/>
  <c r="E97" s="1"/>
  <c r="F73" s="1"/>
  <c r="E83"/>
  <c r="E95" s="1"/>
  <c r="F71" s="1"/>
  <c r="E86"/>
  <c r="E98" s="1"/>
  <c r="F74" s="1"/>
  <c r="E84"/>
  <c r="E96" s="1"/>
  <c r="F72" s="1"/>
  <c r="E82"/>
  <c r="E63"/>
  <c r="E86" i="2767"/>
  <c r="E98" s="1"/>
  <c r="F74" s="1"/>
  <c r="E84"/>
  <c r="E96" s="1"/>
  <c r="F72" s="1"/>
  <c r="E82"/>
  <c r="E87"/>
  <c r="E99" s="1"/>
  <c r="F75" s="1"/>
  <c r="E85"/>
  <c r="E97" s="1"/>
  <c r="F73" s="1"/>
  <c r="E83"/>
  <c r="E95" s="1"/>
  <c r="F71" s="1"/>
  <c r="E63"/>
  <c r="E86" i="2771"/>
  <c r="E98" s="1"/>
  <c r="F74" s="1"/>
  <c r="E84"/>
  <c r="E96" s="1"/>
  <c r="F72" s="1"/>
  <c r="E82"/>
  <c r="E87"/>
  <c r="E99" s="1"/>
  <c r="F75" s="1"/>
  <c r="E85"/>
  <c r="E97" s="1"/>
  <c r="F73" s="1"/>
  <c r="E83"/>
  <c r="E95" s="1"/>
  <c r="F71" s="1"/>
  <c r="E63"/>
  <c r="F55" i="2758"/>
  <c r="F56" s="1"/>
  <c r="F42"/>
  <c r="F43" s="1"/>
  <c r="F55" i="2762"/>
  <c r="F56" s="1"/>
  <c r="F42"/>
  <c r="F43" s="1"/>
  <c r="F55" i="2765"/>
  <c r="F56" s="1"/>
  <c r="F42"/>
  <c r="F43" s="1"/>
  <c r="F55" i="2769"/>
  <c r="F56" s="1"/>
  <c r="F42"/>
  <c r="F43" s="1"/>
  <c r="F55" i="2772"/>
  <c r="F56" s="1"/>
  <c r="F42"/>
  <c r="F43" s="1"/>
  <c r="F55" i="2759"/>
  <c r="F56" s="1"/>
  <c r="F42"/>
  <c r="F43" s="1"/>
  <c r="F55" i="2764"/>
  <c r="F56" s="1"/>
  <c r="F42"/>
  <c r="F43" s="1"/>
  <c r="F55" i="2768"/>
  <c r="F56" s="1"/>
  <c r="F42"/>
  <c r="F43" s="1"/>
  <c r="I254" i="2758"/>
  <c r="I252"/>
  <c r="I254" i="2762"/>
  <c r="I252"/>
  <c r="I254" i="2765"/>
  <c r="I252"/>
  <c r="I254" i="2769"/>
  <c r="I252"/>
  <c r="I252" i="2772"/>
  <c r="I254"/>
  <c r="I254" i="2759"/>
  <c r="I252"/>
  <c r="I252" i="2764"/>
  <c r="I254"/>
  <c r="I254" i="2768"/>
  <c r="I252"/>
  <c r="K26" i="2228"/>
  <c r="Q31"/>
  <c r="O22"/>
  <c r="Q28"/>
  <c r="O25"/>
  <c r="S42" s="1"/>
  <c r="F13" i="5" s="1"/>
  <c r="K29" i="2228"/>
  <c r="P32"/>
  <c r="M32"/>
  <c r="L36"/>
  <c r="P35"/>
  <c r="M35"/>
  <c r="Q32"/>
  <c r="Q29"/>
  <c r="T44" s="1"/>
  <c r="G15" i="5" s="1"/>
  <c r="O27" i="2228"/>
  <c r="K31"/>
  <c r="S37"/>
  <c r="V46" s="1"/>
  <c r="I17" i="5" s="1"/>
  <c r="S36" i="2228"/>
  <c r="S34"/>
  <c r="S35"/>
  <c r="L37"/>
  <c r="P33"/>
  <c r="U43" s="1"/>
  <c r="H14" i="5" s="1"/>
  <c r="M33" i="2228"/>
  <c r="O24"/>
  <c r="Q33"/>
  <c r="U44" s="1"/>
  <c r="H15" i="5" s="1"/>
  <c r="K28" i="2228"/>
  <c r="Q30"/>
  <c r="I35" i="2770" l="1"/>
  <c r="I35" i="2768"/>
  <c r="I35" i="2766"/>
  <c r="I35" i="2764"/>
  <c r="I35" i="2761"/>
  <c r="I35" i="2759"/>
  <c r="I35" i="2757"/>
  <c r="I35" i="2772"/>
  <c r="I35" i="2771"/>
  <c r="I35" i="2769"/>
  <c r="I35" i="2767"/>
  <c r="I35" i="2765"/>
  <c r="I35" i="2763"/>
  <c r="I35" i="2762"/>
  <c r="I35" i="2760"/>
  <c r="I35" i="2758"/>
  <c r="I34" i="2772"/>
  <c r="I34" i="2771"/>
  <c r="I34" i="2769"/>
  <c r="I34" i="2767"/>
  <c r="I34" i="2765"/>
  <c r="I34" i="2763"/>
  <c r="I34" i="2762"/>
  <c r="I34" i="2760"/>
  <c r="I34" i="2758"/>
  <c r="I34" i="2770"/>
  <c r="I34" i="2768"/>
  <c r="I34" i="2766"/>
  <c r="I34" i="2764"/>
  <c r="I34" i="2761"/>
  <c r="I34" i="2759"/>
  <c r="I34" i="2757"/>
  <c r="H35" i="2772"/>
  <c r="H35" i="2771"/>
  <c r="H35" i="2769"/>
  <c r="H35" i="2767"/>
  <c r="H35" i="2765"/>
  <c r="H35" i="2763"/>
  <c r="H35" i="2762"/>
  <c r="H35" i="2760"/>
  <c r="H35" i="2758"/>
  <c r="H35" i="2770"/>
  <c r="H35" i="2768"/>
  <c r="H35" i="2766"/>
  <c r="H35" i="2764"/>
  <c r="H35" i="2761"/>
  <c r="H35" i="2759"/>
  <c r="H35" i="2757"/>
  <c r="G33" i="2772"/>
  <c r="G41" s="1"/>
  <c r="G33" i="2771"/>
  <c r="G41" s="1"/>
  <c r="G33" i="2769"/>
  <c r="G41" s="1"/>
  <c r="G33" i="2767"/>
  <c r="G41" s="1"/>
  <c r="G33" i="2765"/>
  <c r="G41" s="1"/>
  <c r="G33" i="2763"/>
  <c r="G41" s="1"/>
  <c r="G33" i="2762"/>
  <c r="G41" s="1"/>
  <c r="G33" i="2760"/>
  <c r="G41" s="1"/>
  <c r="G33" i="2758"/>
  <c r="G41" s="1"/>
  <c r="G33" i="2770"/>
  <c r="G41" s="1"/>
  <c r="G33" i="2768"/>
  <c r="G41" s="1"/>
  <c r="G33" i="2766"/>
  <c r="G41" s="1"/>
  <c r="G33" i="2764"/>
  <c r="G41" s="1"/>
  <c r="G33" i="2761"/>
  <c r="G41" s="1"/>
  <c r="G33" i="2759"/>
  <c r="G41" s="1"/>
  <c r="G33" i="2757"/>
  <c r="G41" s="1"/>
  <c r="F136" i="2768"/>
  <c r="F140" s="1"/>
  <c r="G135" s="1"/>
  <c r="G139" s="1"/>
  <c r="G147" s="1"/>
  <c r="G162" s="1"/>
  <c r="G166" s="1"/>
  <c r="G168" s="1"/>
  <c r="F60"/>
  <c r="G56"/>
  <c r="F60" i="2764"/>
  <c r="F136"/>
  <c r="F140" s="1"/>
  <c r="G135" s="1"/>
  <c r="G56"/>
  <c r="F136" i="2759"/>
  <c r="F140" s="1"/>
  <c r="G135" s="1"/>
  <c r="F60"/>
  <c r="G56"/>
  <c r="F136" i="2772"/>
  <c r="F140" s="1"/>
  <c r="G135" s="1"/>
  <c r="G139" s="1"/>
  <c r="G147" s="1"/>
  <c r="G162" s="1"/>
  <c r="G166" s="1"/>
  <c r="G168" s="1"/>
  <c r="F60"/>
  <c r="G56"/>
  <c r="G56" i="2769"/>
  <c r="F136"/>
  <c r="F140" s="1"/>
  <c r="G135" s="1"/>
  <c r="G139" s="1"/>
  <c r="G147" s="1"/>
  <c r="G162" s="1"/>
  <c r="G166" s="1"/>
  <c r="G168" s="1"/>
  <c r="F60"/>
  <c r="F60" i="2765"/>
  <c r="F136"/>
  <c r="F140" s="1"/>
  <c r="G135" s="1"/>
  <c r="G56"/>
  <c r="F136" i="2762"/>
  <c r="F140" s="1"/>
  <c r="G135" s="1"/>
  <c r="F60"/>
  <c r="G56"/>
  <c r="F136" i="2758"/>
  <c r="F140" s="1"/>
  <c r="G135" s="1"/>
  <c r="G139" s="1"/>
  <c r="F60"/>
  <c r="G56"/>
  <c r="F89" i="2771"/>
  <c r="F83"/>
  <c r="F95" s="1"/>
  <c r="G71" s="1"/>
  <c r="F93"/>
  <c r="F87"/>
  <c r="F99" s="1"/>
  <c r="G75" s="1"/>
  <c r="F90"/>
  <c r="F84"/>
  <c r="E65" i="2767"/>
  <c r="F59" s="1"/>
  <c r="F85"/>
  <c r="F91"/>
  <c r="E101"/>
  <c r="E144" s="1"/>
  <c r="E174" s="1"/>
  <c r="E94"/>
  <c r="F86"/>
  <c r="F92"/>
  <c r="E101" i="2763"/>
  <c r="E94"/>
  <c r="F92"/>
  <c r="F86"/>
  <c r="F91"/>
  <c r="F85"/>
  <c r="E65" i="2760"/>
  <c r="F59" s="1"/>
  <c r="F84"/>
  <c r="F90"/>
  <c r="F96" s="1"/>
  <c r="G72" s="1"/>
  <c r="F83"/>
  <c r="F89"/>
  <c r="F87"/>
  <c r="F93"/>
  <c r="F99" s="1"/>
  <c r="G75" s="1"/>
  <c r="E101" i="2770"/>
  <c r="E94"/>
  <c r="F86"/>
  <c r="F92"/>
  <c r="F85"/>
  <c r="F91"/>
  <c r="E65" i="2766"/>
  <c r="F59" s="1"/>
  <c r="F90"/>
  <c r="F84"/>
  <c r="F83"/>
  <c r="F89"/>
  <c r="F87"/>
  <c r="F93"/>
  <c r="F89" i="2761"/>
  <c r="F83"/>
  <c r="F93"/>
  <c r="F87"/>
  <c r="F90"/>
  <c r="F84"/>
  <c r="E65" i="2757"/>
  <c r="F59" s="1"/>
  <c r="F85"/>
  <c r="F91"/>
  <c r="F97" s="1"/>
  <c r="G73" s="1"/>
  <c r="E101"/>
  <c r="E144" s="1"/>
  <c r="E174" s="1"/>
  <c r="E94"/>
  <c r="F92"/>
  <c r="F86"/>
  <c r="F98" s="1"/>
  <c r="G74" s="1"/>
  <c r="F60" i="2770"/>
  <c r="F136"/>
  <c r="F140" s="1"/>
  <c r="G135" s="1"/>
  <c r="G139" s="1"/>
  <c r="G56"/>
  <c r="F136" i="2766"/>
  <c r="F140" s="1"/>
  <c r="G135" s="1"/>
  <c r="G139" s="1"/>
  <c r="F60"/>
  <c r="G56"/>
  <c r="F60" i="2761"/>
  <c r="F136"/>
  <c r="F140" s="1"/>
  <c r="G135" s="1"/>
  <c r="G56"/>
  <c r="F136" i="2757"/>
  <c r="F140" s="1"/>
  <c r="G135" s="1"/>
  <c r="G139" s="1"/>
  <c r="F60"/>
  <c r="G56"/>
  <c r="F136" i="2771"/>
  <c r="F140" s="1"/>
  <c r="G135" s="1"/>
  <c r="G139" s="1"/>
  <c r="G56"/>
  <c r="F60"/>
  <c r="F60" i="2767"/>
  <c r="F136"/>
  <c r="F140" s="1"/>
  <c r="G135" s="1"/>
  <c r="G56"/>
  <c r="F136" i="2763"/>
  <c r="F140" s="1"/>
  <c r="G135" s="1"/>
  <c r="G139" s="1"/>
  <c r="G147" s="1"/>
  <c r="G162" s="1"/>
  <c r="G166" s="1"/>
  <c r="G168" s="1"/>
  <c r="F60"/>
  <c r="G56"/>
  <c r="F60" i="2760"/>
  <c r="F136"/>
  <c r="F140" s="1"/>
  <c r="G135" s="1"/>
  <c r="G56"/>
  <c r="E101" i="2772"/>
  <c r="E94"/>
  <c r="F86"/>
  <c r="F92"/>
  <c r="F85"/>
  <c r="F91"/>
  <c r="E65" i="2769"/>
  <c r="F59" s="1"/>
  <c r="F84"/>
  <c r="F90"/>
  <c r="F85"/>
  <c r="F91"/>
  <c r="F87"/>
  <c r="F93"/>
  <c r="F99"/>
  <c r="G75" s="1"/>
  <c r="E101" i="2765"/>
  <c r="E94"/>
  <c r="F86"/>
  <c r="F92"/>
  <c r="F98" s="1"/>
  <c r="G74" s="1"/>
  <c r="F85"/>
  <c r="F91"/>
  <c r="F97" s="1"/>
  <c r="G73" s="1"/>
  <c r="E65" i="2762"/>
  <c r="F59" s="1"/>
  <c r="F84"/>
  <c r="F90"/>
  <c r="F83"/>
  <c r="F89"/>
  <c r="F87"/>
  <c r="F93"/>
  <c r="F83" i="2758"/>
  <c r="F89"/>
  <c r="F95"/>
  <c r="G71" s="1"/>
  <c r="F87"/>
  <c r="F93"/>
  <c r="F99" s="1"/>
  <c r="G75" s="1"/>
  <c r="F90"/>
  <c r="F84"/>
  <c r="F96" s="1"/>
  <c r="G72" s="1"/>
  <c r="E65" i="2768"/>
  <c r="F59" s="1"/>
  <c r="F85"/>
  <c r="F91"/>
  <c r="E101"/>
  <c r="E144" s="1"/>
  <c r="E174" s="1"/>
  <c r="E94"/>
  <c r="F92"/>
  <c r="F86"/>
  <c r="F89" i="2764"/>
  <c r="F83"/>
  <c r="F93"/>
  <c r="F87"/>
  <c r="F99"/>
  <c r="G75" s="1"/>
  <c r="F90"/>
  <c r="F84"/>
  <c r="F96" s="1"/>
  <c r="G72" s="1"/>
  <c r="E65" i="2759"/>
  <c r="F59" s="1"/>
  <c r="F85"/>
  <c r="F91"/>
  <c r="E101"/>
  <c r="E144" s="1"/>
  <c r="E174" s="1"/>
  <c r="E94"/>
  <c r="F92"/>
  <c r="F86"/>
  <c r="H55" i="2760"/>
  <c r="H42"/>
  <c r="H55" i="2763"/>
  <c r="H42"/>
  <c r="H55" i="2767"/>
  <c r="H42"/>
  <c r="H55" i="2771"/>
  <c r="H42"/>
  <c r="H55" i="2757"/>
  <c r="H42"/>
  <c r="H55" i="2761"/>
  <c r="H42"/>
  <c r="H55" i="2766"/>
  <c r="H42"/>
  <c r="H55" i="2770"/>
  <c r="H42"/>
  <c r="J252" i="2764"/>
  <c r="J37" i="2772"/>
  <c r="J248" s="1"/>
  <c r="J252" s="1"/>
  <c r="J37" i="2771"/>
  <c r="J248" s="1"/>
  <c r="J37" i="2769"/>
  <c r="J248" s="1"/>
  <c r="J37" i="2767"/>
  <c r="J248" s="1"/>
  <c r="J37" i="2765"/>
  <c r="J248" s="1"/>
  <c r="J37" i="2763"/>
  <c r="J248" s="1"/>
  <c r="J37" i="2762"/>
  <c r="J248" s="1"/>
  <c r="J37" i="2760"/>
  <c r="J248" s="1"/>
  <c r="J37" i="2758"/>
  <c r="J248" s="1"/>
  <c r="J37" i="2770"/>
  <c r="J248" s="1"/>
  <c r="J37" i="2768"/>
  <c r="J248" s="1"/>
  <c r="J37" i="2766"/>
  <c r="J248" s="1"/>
  <c r="J37" i="2764"/>
  <c r="J248" s="1"/>
  <c r="J37" i="2761"/>
  <c r="J248" s="1"/>
  <c r="J37" i="2759"/>
  <c r="J248" s="1"/>
  <c r="J37" i="2757"/>
  <c r="J248" s="1"/>
  <c r="J252" s="1"/>
  <c r="F187" i="2768"/>
  <c r="G43"/>
  <c r="F187" i="2764"/>
  <c r="G43"/>
  <c r="G43" i="2759"/>
  <c r="F187"/>
  <c r="F187" i="2772"/>
  <c r="G43"/>
  <c r="F187" i="2769"/>
  <c r="G43"/>
  <c r="G43" i="2765"/>
  <c r="F187"/>
  <c r="G43" i="2762"/>
  <c r="F187"/>
  <c r="F187" i="2758"/>
  <c r="G43"/>
  <c r="E65" i="2771"/>
  <c r="F59" s="1"/>
  <c r="F91"/>
  <c r="F85"/>
  <c r="E101"/>
  <c r="E144" s="1"/>
  <c r="E174" s="1"/>
  <c r="E94"/>
  <c r="F92"/>
  <c r="F86"/>
  <c r="F98"/>
  <c r="G74" s="1"/>
  <c r="F83" i="2767"/>
  <c r="F89"/>
  <c r="F95" s="1"/>
  <c r="G71" s="1"/>
  <c r="F87"/>
  <c r="F93"/>
  <c r="F99" s="1"/>
  <c r="G75" s="1"/>
  <c r="F84"/>
  <c r="F90"/>
  <c r="E144" i="2763"/>
  <c r="E174" s="1"/>
  <c r="E65"/>
  <c r="F59" s="1"/>
  <c r="F84"/>
  <c r="F90"/>
  <c r="F96" s="1"/>
  <c r="G72" s="1"/>
  <c r="F89"/>
  <c r="F83"/>
  <c r="F93"/>
  <c r="F87"/>
  <c r="E101" i="2760"/>
  <c r="E144" s="1"/>
  <c r="E174" s="1"/>
  <c r="E94"/>
  <c r="F86"/>
  <c r="F92"/>
  <c r="F85"/>
  <c r="F91"/>
  <c r="F97" s="1"/>
  <c r="G73" s="1"/>
  <c r="E144" i="2770"/>
  <c r="E174" s="1"/>
  <c r="E65"/>
  <c r="F59" s="1"/>
  <c r="F84"/>
  <c r="F90"/>
  <c r="F83"/>
  <c r="F89"/>
  <c r="F87"/>
  <c r="F93"/>
  <c r="E101" i="2766"/>
  <c r="E144" s="1"/>
  <c r="E174" s="1"/>
  <c r="E94"/>
  <c r="F86"/>
  <c r="F92"/>
  <c r="F85"/>
  <c r="F91"/>
  <c r="E65" i="2761"/>
  <c r="F59" s="1"/>
  <c r="F91"/>
  <c r="F85"/>
  <c r="E101"/>
  <c r="E144" s="1"/>
  <c r="E174" s="1"/>
  <c r="E94"/>
  <c r="F92"/>
  <c r="F86"/>
  <c r="F89" i="2757"/>
  <c r="F83"/>
  <c r="F93"/>
  <c r="F87"/>
  <c r="F84"/>
  <c r="F90"/>
  <c r="F187" i="2770"/>
  <c r="G43"/>
  <c r="F187" i="2766"/>
  <c r="G43"/>
  <c r="G43" i="2761"/>
  <c r="F187"/>
  <c r="G43" i="2757"/>
  <c r="F187"/>
  <c r="F187" i="2771"/>
  <c r="G43"/>
  <c r="F187" i="2767"/>
  <c r="G43"/>
  <c r="G43" i="2763"/>
  <c r="F187"/>
  <c r="F187" i="2760"/>
  <c r="G43"/>
  <c r="E144" i="2772"/>
  <c r="E174" s="1"/>
  <c r="E65"/>
  <c r="F59" s="1"/>
  <c r="F84"/>
  <c r="F90"/>
  <c r="F83"/>
  <c r="F89"/>
  <c r="F87"/>
  <c r="F93"/>
  <c r="F86" i="2769"/>
  <c r="F92"/>
  <c r="E101"/>
  <c r="E144" s="1"/>
  <c r="E174" s="1"/>
  <c r="E94"/>
  <c r="F83"/>
  <c r="F89"/>
  <c r="E144" i="2765"/>
  <c r="E174" s="1"/>
  <c r="E65"/>
  <c r="F59" s="1"/>
  <c r="F84"/>
  <c r="F90"/>
  <c r="F83"/>
  <c r="F89"/>
  <c r="F87"/>
  <c r="F93"/>
  <c r="E101" i="2762"/>
  <c r="E144" s="1"/>
  <c r="E174" s="1"/>
  <c r="E94"/>
  <c r="F86"/>
  <c r="F92"/>
  <c r="F85"/>
  <c r="F91"/>
  <c r="E65" i="2758"/>
  <c r="F59" s="1"/>
  <c r="F91"/>
  <c r="F85"/>
  <c r="E101"/>
  <c r="E144" s="1"/>
  <c r="E174" s="1"/>
  <c r="E94"/>
  <c r="F86"/>
  <c r="F92"/>
  <c r="F98" s="1"/>
  <c r="G74" s="1"/>
  <c r="F89" i="2768"/>
  <c r="F83"/>
  <c r="F93"/>
  <c r="F87"/>
  <c r="F84"/>
  <c r="F90"/>
  <c r="E65" i="2764"/>
  <c r="F59" s="1"/>
  <c r="F91"/>
  <c r="F85"/>
  <c r="F97" s="1"/>
  <c r="G73" s="1"/>
  <c r="E101"/>
  <c r="E144" s="1"/>
  <c r="E174" s="1"/>
  <c r="E94"/>
  <c r="F92"/>
  <c r="F86"/>
  <c r="F89" i="2759"/>
  <c r="F83"/>
  <c r="F93"/>
  <c r="F87"/>
  <c r="F84"/>
  <c r="F90"/>
  <c r="H55" i="2758"/>
  <c r="H42"/>
  <c r="H55" i="2762"/>
  <c r="H42"/>
  <c r="H55" i="2765"/>
  <c r="H42"/>
  <c r="H55" i="2769"/>
  <c r="H42"/>
  <c r="H55" i="2772"/>
  <c r="H42"/>
  <c r="H55" i="2759"/>
  <c r="H42"/>
  <c r="H55" i="2764"/>
  <c r="H42"/>
  <c r="H55" i="2768"/>
  <c r="H42"/>
  <c r="J252"/>
  <c r="J252" i="2759"/>
  <c r="J252" i="2769"/>
  <c r="J252" i="2765"/>
  <c r="J252" i="2762"/>
  <c r="J252" i="2758"/>
  <c r="J252" i="2770"/>
  <c r="J252" i="2766"/>
  <c r="J252" i="2761"/>
  <c r="J252" i="2771"/>
  <c r="J252" i="2767"/>
  <c r="J252" i="2763"/>
  <c r="J252" i="2760"/>
  <c r="P37" i="2228"/>
  <c r="V43" s="1"/>
  <c r="I14" i="5" s="1"/>
  <c r="M37" i="2228"/>
  <c r="O29"/>
  <c r="T42" s="1"/>
  <c r="G13" i="5" s="1"/>
  <c r="K33" i="2228"/>
  <c r="Q35"/>
  <c r="K30"/>
  <c r="O26"/>
  <c r="Q37"/>
  <c r="V44" s="1"/>
  <c r="I15" i="5" s="1"/>
  <c r="K32" i="2228"/>
  <c r="O28"/>
  <c r="O31"/>
  <c r="K35"/>
  <c r="O35" s="1"/>
  <c r="P36"/>
  <c r="M36"/>
  <c r="Q34"/>
  <c r="F98" i="2769" l="1"/>
  <c r="G74" s="1"/>
  <c r="F95" i="2757"/>
  <c r="G71" s="1"/>
  <c r="F97" i="2761"/>
  <c r="G73" s="1"/>
  <c r="F96" i="2759"/>
  <c r="G72" s="1"/>
  <c r="F95"/>
  <c r="G71" s="1"/>
  <c r="F98" i="2764"/>
  <c r="G74" s="1"/>
  <c r="F97" i="2762"/>
  <c r="G73" s="1"/>
  <c r="F99" i="2765"/>
  <c r="G75" s="1"/>
  <c r="F95"/>
  <c r="G71" s="1"/>
  <c r="F95" i="2769"/>
  <c r="G71" s="1"/>
  <c r="F99" i="2772"/>
  <c r="G75" s="1"/>
  <c r="F98" i="2766"/>
  <c r="G74" s="1"/>
  <c r="F95" i="2770"/>
  <c r="G71" s="1"/>
  <c r="F96"/>
  <c r="G72" s="1"/>
  <c r="F95" i="2761"/>
  <c r="G71" s="1"/>
  <c r="F95" i="2766"/>
  <c r="G71" s="1"/>
  <c r="F96"/>
  <c r="G72" s="1"/>
  <c r="F97" i="2767"/>
  <c r="G73" s="1"/>
  <c r="F99" i="2768"/>
  <c r="G75" s="1"/>
  <c r="F95"/>
  <c r="G71" s="1"/>
  <c r="F96" i="2757"/>
  <c r="G72" s="1"/>
  <c r="F99"/>
  <c r="G75" s="1"/>
  <c r="F97" i="2766"/>
  <c r="G73" s="1"/>
  <c r="F99" i="2763"/>
  <c r="G75" s="1"/>
  <c r="F95"/>
  <c r="G71" s="1"/>
  <c r="F97" i="2759"/>
  <c r="G73" s="1"/>
  <c r="F98" i="2768"/>
  <c r="G74" s="1"/>
  <c r="F97"/>
  <c r="G73" s="1"/>
  <c r="F95" i="2762"/>
  <c r="G71" s="1"/>
  <c r="F96"/>
  <c r="G72" s="1"/>
  <c r="F96" i="2769"/>
  <c r="G72" s="1"/>
  <c r="F96" i="2761"/>
  <c r="G72" s="1"/>
  <c r="F99"/>
  <c r="G75" s="1"/>
  <c r="F97" i="2770"/>
  <c r="G73" s="1"/>
  <c r="F98"/>
  <c r="G74" s="1"/>
  <c r="F98" i="2763"/>
  <c r="G74" s="1"/>
  <c r="F98" i="2767"/>
  <c r="G74" s="1"/>
  <c r="F99" i="2759"/>
  <c r="G75" s="1"/>
  <c r="F96" i="2768"/>
  <c r="G72" s="1"/>
  <c r="F97" i="2758"/>
  <c r="G73" s="1"/>
  <c r="F98" i="2762"/>
  <c r="G74" s="1"/>
  <c r="F96" i="2765"/>
  <c r="G72" s="1"/>
  <c r="F95" i="2772"/>
  <c r="G71" s="1"/>
  <c r="F98" i="2761"/>
  <c r="G74" s="1"/>
  <c r="F99" i="2770"/>
  <c r="G75" s="1"/>
  <c r="F98" i="2760"/>
  <c r="G74" s="1"/>
  <c r="F96" i="2767"/>
  <c r="G72" s="1"/>
  <c r="F97" i="2771"/>
  <c r="G73" s="1"/>
  <c r="F98" i="2759"/>
  <c r="G74" s="1"/>
  <c r="F95" i="2764"/>
  <c r="G71" s="1"/>
  <c r="F99" i="2762"/>
  <c r="G75" s="1"/>
  <c r="F97" i="2769"/>
  <c r="G73" s="1"/>
  <c r="F97" i="2772"/>
  <c r="G73" s="1"/>
  <c r="F99" i="2766"/>
  <c r="G75" s="1"/>
  <c r="F95" i="2760"/>
  <c r="G71" s="1"/>
  <c r="F97" i="2763"/>
  <c r="G73" s="1"/>
  <c r="F96" i="2771"/>
  <c r="G72" s="1"/>
  <c r="G87" i="2759"/>
  <c r="G93"/>
  <c r="G90" i="2768"/>
  <c r="G84"/>
  <c r="G85" i="2758"/>
  <c r="G91"/>
  <c r="G86" i="2762"/>
  <c r="G92"/>
  <c r="G90" i="2765"/>
  <c r="G84"/>
  <c r="G83" i="2772"/>
  <c r="G89"/>
  <c r="G86" i="2761"/>
  <c r="G92"/>
  <c r="G93" i="2770"/>
  <c r="G87"/>
  <c r="G92" i="2760"/>
  <c r="G86"/>
  <c r="G84" i="2767"/>
  <c r="G90"/>
  <c r="G91" i="2771"/>
  <c r="G85"/>
  <c r="G86" i="2759"/>
  <c r="G92"/>
  <c r="G83" i="2764"/>
  <c r="G89"/>
  <c r="G87" i="2762"/>
  <c r="G93"/>
  <c r="G91" i="2769"/>
  <c r="G85"/>
  <c r="G85" i="2772"/>
  <c r="G91"/>
  <c r="G87" i="2766"/>
  <c r="G93"/>
  <c r="G89" i="2760"/>
  <c r="G83"/>
  <c r="G85" i="2763"/>
  <c r="G91"/>
  <c r="G84" i="2771"/>
  <c r="G90"/>
  <c r="G92" i="2764"/>
  <c r="G86"/>
  <c r="G89" i="2768"/>
  <c r="G83"/>
  <c r="G89" i="2765"/>
  <c r="G83"/>
  <c r="G83" i="2769"/>
  <c r="G89"/>
  <c r="G87" i="2757"/>
  <c r="G93"/>
  <c r="G85" i="2766"/>
  <c r="G91"/>
  <c r="G90" i="2770"/>
  <c r="G84"/>
  <c r="G89" i="2763"/>
  <c r="G83"/>
  <c r="G83" i="2767"/>
  <c r="G89"/>
  <c r="G84" i="2764"/>
  <c r="G90"/>
  <c r="G91" i="2768"/>
  <c r="G85"/>
  <c r="G87" i="2758"/>
  <c r="G93"/>
  <c r="G90" i="2762"/>
  <c r="G84"/>
  <c r="G92" i="2765"/>
  <c r="G86"/>
  <c r="G85" i="2757"/>
  <c r="G91"/>
  <c r="G87" i="2761"/>
  <c r="G93"/>
  <c r="G84" i="2766"/>
  <c r="G90"/>
  <c r="G92" i="2770"/>
  <c r="G86"/>
  <c r="G92" i="2767"/>
  <c r="G86"/>
  <c r="G89" i="2771"/>
  <c r="G83"/>
  <c r="J34" i="2770"/>
  <c r="J34" i="2768"/>
  <c r="J34" i="2766"/>
  <c r="J34" i="2764"/>
  <c r="J34" i="2761"/>
  <c r="J34" i="2759"/>
  <c r="J34" i="2757"/>
  <c r="J34" i="2772"/>
  <c r="J34" i="2771"/>
  <c r="J34" i="2769"/>
  <c r="J34" i="2767"/>
  <c r="J34" i="2765"/>
  <c r="J34" i="2763"/>
  <c r="J34" i="2762"/>
  <c r="J34" i="2760"/>
  <c r="J34" i="2758"/>
  <c r="G90" i="2759"/>
  <c r="G84"/>
  <c r="E103" i="2764"/>
  <c r="E146" s="1"/>
  <c r="F70"/>
  <c r="G87" i="2768"/>
  <c r="G93"/>
  <c r="G86" i="2758"/>
  <c r="G92"/>
  <c r="F63"/>
  <c r="F64"/>
  <c r="F70" i="2762"/>
  <c r="E103"/>
  <c r="E146" s="1"/>
  <c r="J35" i="2772"/>
  <c r="J35" i="2771"/>
  <c r="J35" i="2769"/>
  <c r="J35" i="2767"/>
  <c r="J35" i="2765"/>
  <c r="J35" i="2763"/>
  <c r="J35" i="2762"/>
  <c r="J35" i="2760"/>
  <c r="J35" i="2758"/>
  <c r="J35" i="2770"/>
  <c r="J35" i="2768"/>
  <c r="J35" i="2766"/>
  <c r="J35" i="2764"/>
  <c r="J35" i="2761"/>
  <c r="J35" i="2759"/>
  <c r="J35" i="2757"/>
  <c r="F63" i="2764"/>
  <c r="F64"/>
  <c r="F70" i="2758"/>
  <c r="E103"/>
  <c r="E146" s="1"/>
  <c r="F64" i="2765"/>
  <c r="F63"/>
  <c r="G187" i="2763"/>
  <c r="H43"/>
  <c r="G187" i="2757"/>
  <c r="H43"/>
  <c r="H43" i="2761"/>
  <c r="G187"/>
  <c r="F63"/>
  <c r="F64"/>
  <c r="E103" i="2766"/>
  <c r="E146" s="1"/>
  <c r="F70"/>
  <c r="F63" i="2763"/>
  <c r="F64"/>
  <c r="F70" i="2771"/>
  <c r="E103"/>
  <c r="E146" s="1"/>
  <c r="G187" i="2762"/>
  <c r="H43"/>
  <c r="H43" i="2765"/>
  <c r="G187"/>
  <c r="G187" i="2759"/>
  <c r="H43"/>
  <c r="F64"/>
  <c r="F63"/>
  <c r="F70" i="2768"/>
  <c r="E103"/>
  <c r="E146" s="1"/>
  <c r="F64" i="2769"/>
  <c r="F63"/>
  <c r="F65" s="1"/>
  <c r="G59" s="1"/>
  <c r="G139" i="2760"/>
  <c r="G147" s="1"/>
  <c r="G162" s="1"/>
  <c r="G166" s="1"/>
  <c r="G168" s="1"/>
  <c r="G60" i="2763"/>
  <c r="G136"/>
  <c r="G140" s="1"/>
  <c r="H135" s="1"/>
  <c r="H56"/>
  <c r="H165"/>
  <c r="G193"/>
  <c r="G139" i="2767"/>
  <c r="G147" s="1"/>
  <c r="G162" s="1"/>
  <c r="G166" s="1"/>
  <c r="G168" s="1"/>
  <c r="G147" i="2771"/>
  <c r="G162" s="1"/>
  <c r="G166" s="1"/>
  <c r="G168" s="1"/>
  <c r="G136" i="2761"/>
  <c r="G60"/>
  <c r="H56"/>
  <c r="H56" i="2770"/>
  <c r="G136"/>
  <c r="G60"/>
  <c r="F70" i="2757"/>
  <c r="E103"/>
  <c r="E146" s="1"/>
  <c r="F63" i="2760"/>
  <c r="F64"/>
  <c r="E103" i="2763"/>
  <c r="E146" s="1"/>
  <c r="F70"/>
  <c r="F64" i="2767"/>
  <c r="F63"/>
  <c r="G60" i="2762"/>
  <c r="G136"/>
  <c r="H56"/>
  <c r="G139"/>
  <c r="G147" s="1"/>
  <c r="G162" s="1"/>
  <c r="G166" s="1"/>
  <c r="G168" s="1"/>
  <c r="G139" i="2765"/>
  <c r="G147" s="1"/>
  <c r="G162" s="1"/>
  <c r="G166" s="1"/>
  <c r="G168" s="1"/>
  <c r="G136" i="2769"/>
  <c r="G140" s="1"/>
  <c r="H135" s="1"/>
  <c r="H56"/>
  <c r="G60"/>
  <c r="G136" i="2759"/>
  <c r="H56"/>
  <c r="G60"/>
  <c r="G139"/>
  <c r="G147" s="1"/>
  <c r="G162" s="1"/>
  <c r="G166" s="1"/>
  <c r="G168" s="1"/>
  <c r="G139" i="2764"/>
  <c r="G147" s="1"/>
  <c r="G162" s="1"/>
  <c r="G166" s="1"/>
  <c r="G168" s="1"/>
  <c r="G136" i="2768"/>
  <c r="G140" s="1"/>
  <c r="H135" s="1"/>
  <c r="H56"/>
  <c r="G60"/>
  <c r="H165"/>
  <c r="G193"/>
  <c r="I55" i="2759"/>
  <c r="I42"/>
  <c r="I253"/>
  <c r="I55" i="2764"/>
  <c r="I42"/>
  <c r="I253"/>
  <c r="I55" i="2768"/>
  <c r="I42"/>
  <c r="I253"/>
  <c r="I55" i="2758"/>
  <c r="I42"/>
  <c r="I253"/>
  <c r="I55" i="2762"/>
  <c r="I42"/>
  <c r="I253"/>
  <c r="I55" i="2765"/>
  <c r="I42"/>
  <c r="I253"/>
  <c r="I55" i="2769"/>
  <c r="I42"/>
  <c r="I253"/>
  <c r="I55" i="2772"/>
  <c r="I42"/>
  <c r="I253"/>
  <c r="I247" i="2760"/>
  <c r="I263" s="1"/>
  <c r="I211"/>
  <c r="I211" i="2763"/>
  <c r="I247"/>
  <c r="I263" s="1"/>
  <c r="I211" i="2767"/>
  <c r="I247"/>
  <c r="I263" s="1"/>
  <c r="I211" i="2771"/>
  <c r="I247"/>
  <c r="I263" s="1"/>
  <c r="I247" i="2757"/>
  <c r="I263" s="1"/>
  <c r="I211"/>
  <c r="I211" i="2761"/>
  <c r="I247"/>
  <c r="I263" s="1"/>
  <c r="I211" i="2766"/>
  <c r="I247"/>
  <c r="I263" s="1"/>
  <c r="I247" i="2770"/>
  <c r="I263" s="1"/>
  <c r="I211"/>
  <c r="F96" i="2772"/>
  <c r="G72" s="1"/>
  <c r="F98"/>
  <c r="G74" s="1"/>
  <c r="H33" i="2770"/>
  <c r="H41" s="1"/>
  <c r="H33" i="2768"/>
  <c r="H41" s="1"/>
  <c r="H33" i="2766"/>
  <c r="H41" s="1"/>
  <c r="H33" i="2764"/>
  <c r="H41" s="1"/>
  <c r="H33" i="2761"/>
  <c r="H41" s="1"/>
  <c r="H33" i="2759"/>
  <c r="H41" s="1"/>
  <c r="H33" i="2757"/>
  <c r="H41" s="1"/>
  <c r="H33" i="2772"/>
  <c r="H41" s="1"/>
  <c r="H33" i="2771"/>
  <c r="H41" s="1"/>
  <c r="H33" i="2769"/>
  <c r="H41" s="1"/>
  <c r="H33" i="2767"/>
  <c r="H41" s="1"/>
  <c r="H33" i="2765"/>
  <c r="H41" s="1"/>
  <c r="H33" i="2763"/>
  <c r="H41" s="1"/>
  <c r="H33" i="2762"/>
  <c r="H41" s="1"/>
  <c r="H33" i="2760"/>
  <c r="H41" s="1"/>
  <c r="H33" i="2758"/>
  <c r="H41" s="1"/>
  <c r="G89" i="2759"/>
  <c r="G83"/>
  <c r="G85" i="2764"/>
  <c r="G91"/>
  <c r="G91" i="2762"/>
  <c r="G85"/>
  <c r="G93" i="2765"/>
  <c r="G87"/>
  <c r="E103" i="2769"/>
  <c r="E146" s="1"/>
  <c r="F70"/>
  <c r="G92"/>
  <c r="G86"/>
  <c r="G87" i="2772"/>
  <c r="G93"/>
  <c r="F64"/>
  <c r="F63"/>
  <c r="H43" i="2760"/>
  <c r="G187"/>
  <c r="G187" i="2767"/>
  <c r="H43"/>
  <c r="G187" i="2771"/>
  <c r="H43"/>
  <c r="H43" i="2766"/>
  <c r="G187"/>
  <c r="H43" i="2770"/>
  <c r="G187"/>
  <c r="G84" i="2757"/>
  <c r="G90"/>
  <c r="G89"/>
  <c r="G83"/>
  <c r="E103" i="2761"/>
  <c r="E146" s="1"/>
  <c r="F70"/>
  <c r="G85"/>
  <c r="G91"/>
  <c r="G86" i="2766"/>
  <c r="G92"/>
  <c r="G83" i="2770"/>
  <c r="G89"/>
  <c r="F64"/>
  <c r="F63"/>
  <c r="G91" i="2760"/>
  <c r="G85"/>
  <c r="E103"/>
  <c r="E146" s="1"/>
  <c r="F70"/>
  <c r="G87" i="2763"/>
  <c r="G93"/>
  <c r="G84"/>
  <c r="G90"/>
  <c r="G87" i="2767"/>
  <c r="G93"/>
  <c r="G92" i="2771"/>
  <c r="G86"/>
  <c r="F64"/>
  <c r="F63"/>
  <c r="H43" i="2758"/>
  <c r="G187"/>
  <c r="G187" i="2769"/>
  <c r="H43"/>
  <c r="G187" i="2772"/>
  <c r="H43"/>
  <c r="H43" i="2764"/>
  <c r="G187"/>
  <c r="H43" i="2768"/>
  <c r="G187"/>
  <c r="E103" i="2759"/>
  <c r="E146" s="1"/>
  <c r="F70"/>
  <c r="G85"/>
  <c r="G91"/>
  <c r="G87" i="2764"/>
  <c r="G93"/>
  <c r="G92" i="2768"/>
  <c r="G86"/>
  <c r="F63"/>
  <c r="F64"/>
  <c r="G84" i="2758"/>
  <c r="G90"/>
  <c r="G83"/>
  <c r="G89"/>
  <c r="G89" i="2762"/>
  <c r="G83"/>
  <c r="F63"/>
  <c r="F64"/>
  <c r="G91" i="2765"/>
  <c r="G85"/>
  <c r="E103"/>
  <c r="E146" s="1"/>
  <c r="F70"/>
  <c r="G93" i="2769"/>
  <c r="G87"/>
  <c r="G84"/>
  <c r="G90"/>
  <c r="F70" i="2772"/>
  <c r="E103"/>
  <c r="E146" s="1"/>
  <c r="G136" i="2760"/>
  <c r="G140" s="1"/>
  <c r="H135" s="1"/>
  <c r="G60"/>
  <c r="H56"/>
  <c r="H56" i="2767"/>
  <c r="G136"/>
  <c r="G140" s="1"/>
  <c r="H135" s="1"/>
  <c r="G60"/>
  <c r="G136" i="2771"/>
  <c r="G140" s="1"/>
  <c r="H135" s="1"/>
  <c r="H139" s="1"/>
  <c r="G60"/>
  <c r="H56"/>
  <c r="G60" i="2757"/>
  <c r="G136"/>
  <c r="H56"/>
  <c r="G140"/>
  <c r="H135" s="1"/>
  <c r="H139" s="1"/>
  <c r="G147"/>
  <c r="G162" s="1"/>
  <c r="G166" s="1"/>
  <c r="G168" s="1"/>
  <c r="G139" i="2761"/>
  <c r="G147" s="1"/>
  <c r="G162" s="1"/>
  <c r="G166" s="1"/>
  <c r="G168" s="1"/>
  <c r="G136" i="2766"/>
  <c r="G140" s="1"/>
  <c r="H135" s="1"/>
  <c r="H139" s="1"/>
  <c r="H56"/>
  <c r="G60"/>
  <c r="G147"/>
  <c r="G162" s="1"/>
  <c r="G166" s="1"/>
  <c r="G168" s="1"/>
  <c r="G140" i="2770"/>
  <c r="H135" s="1"/>
  <c r="H139" s="1"/>
  <c r="G147"/>
  <c r="G162" s="1"/>
  <c r="G166" s="1"/>
  <c r="G168" s="1"/>
  <c r="G86" i="2757"/>
  <c r="G92"/>
  <c r="F63"/>
  <c r="F64"/>
  <c r="G84" i="2761"/>
  <c r="G90"/>
  <c r="G83"/>
  <c r="G89"/>
  <c r="G83" i="2766"/>
  <c r="G89"/>
  <c r="G95" s="1"/>
  <c r="H71" s="1"/>
  <c r="F64"/>
  <c r="F63"/>
  <c r="F65" s="1"/>
  <c r="G59" s="1"/>
  <c r="G91" i="2770"/>
  <c r="G85"/>
  <c r="F70"/>
  <c r="E103"/>
  <c r="E146" s="1"/>
  <c r="G93" i="2760"/>
  <c r="G87"/>
  <c r="G90"/>
  <c r="G84"/>
  <c r="G92" i="2763"/>
  <c r="G86"/>
  <c r="F70" i="2767"/>
  <c r="E103"/>
  <c r="E146" s="1"/>
  <c r="G91"/>
  <c r="G85"/>
  <c r="G93" i="2771"/>
  <c r="G87"/>
  <c r="G60" i="2758"/>
  <c r="G136"/>
  <c r="G140" s="1"/>
  <c r="H135" s="1"/>
  <c r="H139" s="1"/>
  <c r="H56"/>
  <c r="G147"/>
  <c r="G162" s="1"/>
  <c r="G166" s="1"/>
  <c r="G168" s="1"/>
  <c r="H56" i="2765"/>
  <c r="G136"/>
  <c r="G140" s="1"/>
  <c r="H135" s="1"/>
  <c r="G60"/>
  <c r="H165" i="2769"/>
  <c r="G193"/>
  <c r="G136" i="2772"/>
  <c r="G140" s="1"/>
  <c r="H135" s="1"/>
  <c r="H139" s="1"/>
  <c r="H147" s="1"/>
  <c r="H162" s="1"/>
  <c r="H166" s="1"/>
  <c r="H56"/>
  <c r="G60"/>
  <c r="G193"/>
  <c r="H165"/>
  <c r="G136" i="2764"/>
  <c r="G140" s="1"/>
  <c r="H135" s="1"/>
  <c r="G60"/>
  <c r="H56"/>
  <c r="I55" i="2757"/>
  <c r="I42"/>
  <c r="I253"/>
  <c r="I55" i="2761"/>
  <c r="I42"/>
  <c r="I253"/>
  <c r="I55" i="2766"/>
  <c r="I42"/>
  <c r="I253"/>
  <c r="I55" i="2770"/>
  <c r="I42"/>
  <c r="I253"/>
  <c r="I55" i="2760"/>
  <c r="I42"/>
  <c r="I253"/>
  <c r="I55" i="2763"/>
  <c r="I42"/>
  <c r="I253"/>
  <c r="I55" i="2767"/>
  <c r="I42"/>
  <c r="I253"/>
  <c r="I55" i="2771"/>
  <c r="I42"/>
  <c r="I253"/>
  <c r="I247" i="2758"/>
  <c r="I263" s="1"/>
  <c r="I211"/>
  <c r="I247" i="2762"/>
  <c r="I263" s="1"/>
  <c r="I211"/>
  <c r="I247" i="2765"/>
  <c r="I263" s="1"/>
  <c r="I211"/>
  <c r="I247" i="2769"/>
  <c r="I263" s="1"/>
  <c r="I211"/>
  <c r="I247" i="2772"/>
  <c r="I263" s="1"/>
  <c r="I211"/>
  <c r="I247" i="2759"/>
  <c r="I263" s="1"/>
  <c r="I211"/>
  <c r="I247" i="2764"/>
  <c r="I263" s="1"/>
  <c r="I211"/>
  <c r="I247" i="2768"/>
  <c r="I263" s="1"/>
  <c r="I211"/>
  <c r="K34" i="2228"/>
  <c r="O34" s="1"/>
  <c r="O30"/>
  <c r="O33"/>
  <c r="U42" s="1"/>
  <c r="H13" i="5" s="1"/>
  <c r="K37" i="2228"/>
  <c r="O37" s="1"/>
  <c r="V42" s="1"/>
  <c r="I13" i="5" s="1"/>
  <c r="Q36" i="2228"/>
  <c r="K36"/>
  <c r="O36" s="1"/>
  <c r="O32"/>
  <c r="G96" i="2764" l="1"/>
  <c r="H72" s="1"/>
  <c r="G97" i="2772"/>
  <c r="H73" s="1"/>
  <c r="G96" i="2767"/>
  <c r="H72" s="1"/>
  <c r="F65" i="2771"/>
  <c r="G59" s="1"/>
  <c r="F65" i="2770"/>
  <c r="G59" s="1"/>
  <c r="F65" i="2760"/>
  <c r="G59" s="1"/>
  <c r="G98"/>
  <c r="H74" s="1"/>
  <c r="G99" i="2770"/>
  <c r="H75" s="1"/>
  <c r="G95" i="2772"/>
  <c r="H71" s="1"/>
  <c r="G96" i="2765"/>
  <c r="H72" s="1"/>
  <c r="G98" i="2762"/>
  <c r="H74" s="1"/>
  <c r="G97" i="2765"/>
  <c r="H73" s="1"/>
  <c r="G99" i="2763"/>
  <c r="H75" s="1"/>
  <c r="G95" i="2770"/>
  <c r="H71" s="1"/>
  <c r="G98" i="2766"/>
  <c r="H74" s="1"/>
  <c r="G97" i="2761"/>
  <c r="H73" s="1"/>
  <c r="G95" i="2759"/>
  <c r="H71" s="1"/>
  <c r="G95" i="2771"/>
  <c r="H71" s="1"/>
  <c r="G98" i="2765"/>
  <c r="H74" s="1"/>
  <c r="G99" i="2758"/>
  <c r="H75" s="1"/>
  <c r="G97" i="2768"/>
  <c r="H73" s="1"/>
  <c r="G97" i="2766"/>
  <c r="H73" s="1"/>
  <c r="G97" i="2767"/>
  <c r="H73" s="1"/>
  <c r="G96" i="2760"/>
  <c r="H72" s="1"/>
  <c r="G97" i="2770"/>
  <c r="H73" s="1"/>
  <c r="G96" i="2769"/>
  <c r="H72" s="1"/>
  <c r="G99"/>
  <c r="H75" s="1"/>
  <c r="H168" i="2772"/>
  <c r="G140" i="2762"/>
  <c r="H135" s="1"/>
  <c r="F65" i="2768"/>
  <c r="G59" s="1"/>
  <c r="G99" i="2764"/>
  <c r="H75" s="1"/>
  <c r="G97" i="2759"/>
  <c r="H73" s="1"/>
  <c r="G99" i="2772"/>
  <c r="H75" s="1"/>
  <c r="G99" i="2765"/>
  <c r="H75" s="1"/>
  <c r="G97" i="2764"/>
  <c r="H73" s="1"/>
  <c r="F65" i="2765"/>
  <c r="G59" s="1"/>
  <c r="F65" i="2758"/>
  <c r="G59" s="1"/>
  <c r="G98"/>
  <c r="H74" s="1"/>
  <c r="G96" i="2759"/>
  <c r="H72" s="1"/>
  <c r="G95" i="2768"/>
  <c r="H71" s="1"/>
  <c r="G96" i="2771"/>
  <c r="H72" s="1"/>
  <c r="G95" i="2760"/>
  <c r="H71" s="1"/>
  <c r="G99" i="2766"/>
  <c r="H75" s="1"/>
  <c r="G99" i="2762"/>
  <c r="H75" s="1"/>
  <c r="G99" i="2771"/>
  <c r="H75" s="1"/>
  <c r="G98" i="2763"/>
  <c r="H74" s="1"/>
  <c r="G96" i="2761"/>
  <c r="H72" s="1"/>
  <c r="F65" i="2757"/>
  <c r="G59" s="1"/>
  <c r="G95" i="2758"/>
  <c r="H71" s="1"/>
  <c r="G96"/>
  <c r="H72" s="1"/>
  <c r="G99" i="2767"/>
  <c r="H75" s="1"/>
  <c r="G96" i="2763"/>
  <c r="H72" s="1"/>
  <c r="G96" i="2757"/>
  <c r="H72" s="1"/>
  <c r="F65" i="2772"/>
  <c r="G59" s="1"/>
  <c r="F65" i="2763"/>
  <c r="G59" s="1"/>
  <c r="F65" i="2761"/>
  <c r="G59" s="1"/>
  <c r="G98" i="2770"/>
  <c r="H74" s="1"/>
  <c r="G99" i="2761"/>
  <c r="H75" s="1"/>
  <c r="G97" i="2757"/>
  <c r="H73" s="1"/>
  <c r="G95" i="2763"/>
  <c r="H71" s="1"/>
  <c r="G96" i="2770"/>
  <c r="H72" s="1"/>
  <c r="G95" i="2769"/>
  <c r="H71" s="1"/>
  <c r="G95" i="2765"/>
  <c r="H71" s="1"/>
  <c r="G97" i="2763"/>
  <c r="H73" s="1"/>
  <c r="G98" i="2759"/>
  <c r="H74" s="1"/>
  <c r="G97" i="2771"/>
  <c r="H73" s="1"/>
  <c r="G96" i="2768"/>
  <c r="H72" s="1"/>
  <c r="G99" i="2759"/>
  <c r="H75" s="1"/>
  <c r="G99" i="2760"/>
  <c r="H75" s="1"/>
  <c r="G95" i="2761"/>
  <c r="H71" s="1"/>
  <c r="G98" i="2757"/>
  <c r="H74" s="1"/>
  <c r="G140" i="2761"/>
  <c r="H135" s="1"/>
  <c r="F65" i="2762"/>
  <c r="G59" s="1"/>
  <c r="G95"/>
  <c r="H71" s="1"/>
  <c r="G98" i="2768"/>
  <c r="H74" s="1"/>
  <c r="G98" i="2771"/>
  <c r="H74" s="1"/>
  <c r="G97" i="2760"/>
  <c r="H73" s="1"/>
  <c r="G95" i="2757"/>
  <c r="H71" s="1"/>
  <c r="G98" i="2769"/>
  <c r="H74" s="1"/>
  <c r="G140" i="2759"/>
  <c r="H135" s="1"/>
  <c r="F65" i="2767"/>
  <c r="G59" s="1"/>
  <c r="F65" i="2759"/>
  <c r="G59" s="1"/>
  <c r="F65" i="2764"/>
  <c r="G59" s="1"/>
  <c r="G99" i="2768"/>
  <c r="H75" s="1"/>
  <c r="G98" i="2767"/>
  <c r="H74" s="1"/>
  <c r="G96" i="2762"/>
  <c r="H72" s="1"/>
  <c r="G95" i="2767"/>
  <c r="H71" s="1"/>
  <c r="G99" i="2757"/>
  <c r="H75" s="1"/>
  <c r="G98" i="2764"/>
  <c r="H74" s="1"/>
  <c r="G97" i="2769"/>
  <c r="H73" s="1"/>
  <c r="G95" i="2764"/>
  <c r="H71" s="1"/>
  <c r="G98" i="2761"/>
  <c r="H74" s="1"/>
  <c r="G97" i="2758"/>
  <c r="H73" s="1"/>
  <c r="H139" i="2765"/>
  <c r="H147" s="1"/>
  <c r="H162" s="1"/>
  <c r="H166" s="1"/>
  <c r="H93" i="2760"/>
  <c r="H87"/>
  <c r="H89" i="2761"/>
  <c r="H83"/>
  <c r="H86" i="2757"/>
  <c r="H92"/>
  <c r="G63" i="2762"/>
  <c r="G64"/>
  <c r="H86" i="2768"/>
  <c r="H92"/>
  <c r="H86" i="2771"/>
  <c r="H92"/>
  <c r="H91" i="2760"/>
  <c r="H85"/>
  <c r="H83" i="2757"/>
  <c r="H89"/>
  <c r="H92" i="2769"/>
  <c r="H86"/>
  <c r="G64" i="2767"/>
  <c r="G63"/>
  <c r="G65" s="1"/>
  <c r="H59" s="1"/>
  <c r="G64" i="2759"/>
  <c r="G63"/>
  <c r="G65" s="1"/>
  <c r="H59" s="1"/>
  <c r="G63" i="2764"/>
  <c r="G64"/>
  <c r="H93" i="2768"/>
  <c r="H87"/>
  <c r="H86" i="2767"/>
  <c r="H92"/>
  <c r="H90" i="2762"/>
  <c r="H84"/>
  <c r="H83" i="2767"/>
  <c r="H89"/>
  <c r="H93" i="2757"/>
  <c r="H87"/>
  <c r="H92" i="2764"/>
  <c r="H86"/>
  <c r="H85" i="2769"/>
  <c r="H91"/>
  <c r="H97" s="1"/>
  <c r="I73" s="1"/>
  <c r="H89" i="2764"/>
  <c r="H83"/>
  <c r="H92" i="2761"/>
  <c r="H86"/>
  <c r="H85" i="2758"/>
  <c r="H91"/>
  <c r="H139" i="2764"/>
  <c r="H147" s="1"/>
  <c r="H162" s="1"/>
  <c r="H166" s="1"/>
  <c r="G64" i="2766"/>
  <c r="G63"/>
  <c r="G63" i="2757"/>
  <c r="G64"/>
  <c r="H147" i="2771"/>
  <c r="H162" s="1"/>
  <c r="H166" s="1"/>
  <c r="H139" i="2767"/>
  <c r="H147" s="1"/>
  <c r="H162" s="1"/>
  <c r="H166" s="1"/>
  <c r="H139" i="2760"/>
  <c r="H147" s="1"/>
  <c r="H162" s="1"/>
  <c r="H166" s="1"/>
  <c r="H93" i="2769"/>
  <c r="H87"/>
  <c r="H84" i="2758"/>
  <c r="H90"/>
  <c r="H85" i="2759"/>
  <c r="H91"/>
  <c r="H90" i="2763"/>
  <c r="H84"/>
  <c r="H89" i="2770"/>
  <c r="H83"/>
  <c r="G64" i="2772"/>
  <c r="G63"/>
  <c r="H85" i="2764"/>
  <c r="H91"/>
  <c r="H97" s="1"/>
  <c r="I73" s="1"/>
  <c r="G64" i="2761"/>
  <c r="G63"/>
  <c r="G65" s="1"/>
  <c r="H59" s="1"/>
  <c r="H92" i="2758"/>
  <c r="H86"/>
  <c r="H90" i="2759"/>
  <c r="H84"/>
  <c r="H87" i="2761"/>
  <c r="H93"/>
  <c r="H85" i="2768"/>
  <c r="H91"/>
  <c r="H91" i="2766"/>
  <c r="H85"/>
  <c r="H83" i="2765"/>
  <c r="H89"/>
  <c r="H93" i="2766"/>
  <c r="H87"/>
  <c r="H87" i="2762"/>
  <c r="H93"/>
  <c r="H85" i="2771"/>
  <c r="H91"/>
  <c r="H90" i="2765"/>
  <c r="H84"/>
  <c r="H87" i="2759"/>
  <c r="H93"/>
  <c r="J33" i="2770"/>
  <c r="J41" s="1"/>
  <c r="J33" i="2768"/>
  <c r="J41" s="1"/>
  <c r="J33" i="2766"/>
  <c r="J41" s="1"/>
  <c r="J33" i="2764"/>
  <c r="J41" s="1"/>
  <c r="J33" i="2761"/>
  <c r="J41" s="1"/>
  <c r="J33" i="2759"/>
  <c r="J41" s="1"/>
  <c r="J33" i="2757"/>
  <c r="J41" s="1"/>
  <c r="J33" i="2772"/>
  <c r="J41" s="1"/>
  <c r="J33" i="2771"/>
  <c r="J41" s="1"/>
  <c r="J33" i="2769"/>
  <c r="J41" s="1"/>
  <c r="J33" i="2767"/>
  <c r="J41" s="1"/>
  <c r="J33" i="2765"/>
  <c r="J41" s="1"/>
  <c r="J33" i="2763"/>
  <c r="J41" s="1"/>
  <c r="J33" i="2762"/>
  <c r="J41" s="1"/>
  <c r="J33" i="2760"/>
  <c r="J41" s="1"/>
  <c r="J33" i="2758"/>
  <c r="J41" s="1"/>
  <c r="I212" i="2764"/>
  <c r="J211"/>
  <c r="J212" s="1"/>
  <c r="I212" i="2772"/>
  <c r="J211"/>
  <c r="J212" s="1"/>
  <c r="I212" i="2765"/>
  <c r="J211"/>
  <c r="J212" s="1"/>
  <c r="J211" i="2758"/>
  <c r="J212" s="1"/>
  <c r="I212"/>
  <c r="H60" i="2764"/>
  <c r="H136"/>
  <c r="H140" s="1"/>
  <c r="I135" s="1"/>
  <c r="I56"/>
  <c r="H147" i="2758"/>
  <c r="H162" s="1"/>
  <c r="H166" s="1"/>
  <c r="H91" i="2767"/>
  <c r="H85"/>
  <c r="I33" i="2772"/>
  <c r="I41" s="1"/>
  <c r="I33" i="2771"/>
  <c r="I41" s="1"/>
  <c r="I33" i="2769"/>
  <c r="I41" s="1"/>
  <c r="I33" i="2767"/>
  <c r="I41" s="1"/>
  <c r="I33" i="2765"/>
  <c r="I41" s="1"/>
  <c r="I33" i="2763"/>
  <c r="I41" s="1"/>
  <c r="I33" i="2762"/>
  <c r="I41" s="1"/>
  <c r="I33" i="2760"/>
  <c r="I41" s="1"/>
  <c r="I33" i="2758"/>
  <c r="I41" s="1"/>
  <c r="I33" i="2770"/>
  <c r="I41" s="1"/>
  <c r="I33" i="2768"/>
  <c r="I41" s="1"/>
  <c r="I33" i="2766"/>
  <c r="I41" s="1"/>
  <c r="I33" i="2764"/>
  <c r="I41" s="1"/>
  <c r="I33" i="2761"/>
  <c r="I41" s="1"/>
  <c r="I33" i="2759"/>
  <c r="I41" s="1"/>
  <c r="I33" i="2757"/>
  <c r="I41" s="1"/>
  <c r="H193" i="2772"/>
  <c r="I165"/>
  <c r="G193" i="2758"/>
  <c r="H165"/>
  <c r="I56"/>
  <c r="H60"/>
  <c r="H136"/>
  <c r="H140" s="1"/>
  <c r="I135" s="1"/>
  <c r="I139" s="1"/>
  <c r="F88" i="2767"/>
  <c r="F102" s="1"/>
  <c r="F145" s="1"/>
  <c r="F100"/>
  <c r="F143" s="1"/>
  <c r="F82"/>
  <c r="F101" s="1"/>
  <c r="F144" s="1"/>
  <c r="F174" s="1"/>
  <c r="F100" i="2770"/>
  <c r="F143" s="1"/>
  <c r="F82"/>
  <c r="F101" s="1"/>
  <c r="F144" s="1"/>
  <c r="F174" s="1"/>
  <c r="F88"/>
  <c r="F102" s="1"/>
  <c r="F145" s="1"/>
  <c r="G193"/>
  <c r="H165"/>
  <c r="G193" i="2766"/>
  <c r="H165"/>
  <c r="G193" i="2761"/>
  <c r="H165"/>
  <c r="H147" i="2757"/>
  <c r="H162" s="1"/>
  <c r="H166" s="1"/>
  <c r="H60" i="2771"/>
  <c r="H136"/>
  <c r="H140" s="1"/>
  <c r="I135" s="1"/>
  <c r="I139" s="1"/>
  <c r="I56"/>
  <c r="H60" i="2760"/>
  <c r="H136"/>
  <c r="H140" s="1"/>
  <c r="I135" s="1"/>
  <c r="I56"/>
  <c r="F100" i="2772"/>
  <c r="F143" s="1"/>
  <c r="F82"/>
  <c r="F101" s="1"/>
  <c r="F144" s="1"/>
  <c r="F174" s="1"/>
  <c r="F88"/>
  <c r="F102" s="1"/>
  <c r="F145" s="1"/>
  <c r="I43" i="2768"/>
  <c r="H187"/>
  <c r="H187" i="2764"/>
  <c r="I43"/>
  <c r="I43" i="2758"/>
  <c r="H187"/>
  <c r="F100" i="2760"/>
  <c r="F143" s="1"/>
  <c r="F82"/>
  <c r="F101" s="1"/>
  <c r="F144" s="1"/>
  <c r="F174" s="1"/>
  <c r="F88"/>
  <c r="F102" s="1"/>
  <c r="F145" s="1"/>
  <c r="F88" i="2761"/>
  <c r="F102" s="1"/>
  <c r="F145" s="1"/>
  <c r="F100"/>
  <c r="F143" s="1"/>
  <c r="F82"/>
  <c r="F101" s="1"/>
  <c r="F144" s="1"/>
  <c r="F174" s="1"/>
  <c r="H187" i="2771"/>
  <c r="I43"/>
  <c r="I43" i="2767"/>
  <c r="H187"/>
  <c r="G86" i="2772"/>
  <c r="G92"/>
  <c r="I212" i="2770"/>
  <c r="J211"/>
  <c r="J212" s="1"/>
  <c r="J211" i="2757"/>
  <c r="J212" s="1"/>
  <c r="I212"/>
  <c r="I212" i="2760"/>
  <c r="J211"/>
  <c r="J212" s="1"/>
  <c r="H139" i="2768"/>
  <c r="H147" s="1"/>
  <c r="H162" s="1"/>
  <c r="H166" s="1"/>
  <c r="G193" i="2764"/>
  <c r="H165"/>
  <c r="H165" i="2759"/>
  <c r="G193"/>
  <c r="I56"/>
  <c r="H136"/>
  <c r="H60"/>
  <c r="H139" i="2769"/>
  <c r="H147" s="1"/>
  <c r="H162" s="1"/>
  <c r="H166" s="1"/>
  <c r="G193" i="2765"/>
  <c r="H165"/>
  <c r="G193" i="2762"/>
  <c r="H165"/>
  <c r="H60" i="2770"/>
  <c r="H136"/>
  <c r="I56"/>
  <c r="H165" i="2771"/>
  <c r="H168" s="1"/>
  <c r="G193"/>
  <c r="H136" i="2763"/>
  <c r="H60"/>
  <c r="I56"/>
  <c r="H165" i="2760"/>
  <c r="H168" s="1"/>
  <c r="G193"/>
  <c r="H187" i="2765"/>
  <c r="I43"/>
  <c r="F100" i="2771"/>
  <c r="F143" s="1"/>
  <c r="F82"/>
  <c r="F101" s="1"/>
  <c r="F144" s="1"/>
  <c r="F174" s="1"/>
  <c r="F88"/>
  <c r="F102" s="1"/>
  <c r="F145" s="1"/>
  <c r="F88" i="2766"/>
  <c r="F102" s="1"/>
  <c r="F145" s="1"/>
  <c r="F100"/>
  <c r="F143" s="1"/>
  <c r="F82"/>
  <c r="F101" s="1"/>
  <c r="F144" s="1"/>
  <c r="F174" s="1"/>
  <c r="I43" i="2761"/>
  <c r="H187"/>
  <c r="J247" i="2759"/>
  <c r="J228"/>
  <c r="J229" s="1"/>
  <c r="D230" s="1"/>
  <c r="J247" i="2764"/>
  <c r="J228"/>
  <c r="J229" s="1"/>
  <c r="D230" s="1"/>
  <c r="J247" i="2768"/>
  <c r="J228"/>
  <c r="J229" s="1"/>
  <c r="D230" s="1"/>
  <c r="J247" i="2758"/>
  <c r="J228"/>
  <c r="J229" s="1"/>
  <c r="D230" s="1"/>
  <c r="J247" i="2762"/>
  <c r="J228"/>
  <c r="J229" s="1"/>
  <c r="D230" s="1"/>
  <c r="J247" i="2765"/>
  <c r="J228"/>
  <c r="J229" s="1"/>
  <c r="D230" s="1"/>
  <c r="J247" i="2769"/>
  <c r="J228"/>
  <c r="J229" s="1"/>
  <c r="D230" s="1"/>
  <c r="J247" i="2772"/>
  <c r="J228"/>
  <c r="J229" s="1"/>
  <c r="D230" s="1"/>
  <c r="F100" i="2762"/>
  <c r="F143" s="1"/>
  <c r="F82"/>
  <c r="F101" s="1"/>
  <c r="F144" s="1"/>
  <c r="F174" s="1"/>
  <c r="F88"/>
  <c r="F102" s="1"/>
  <c r="F145" s="1"/>
  <c r="F88" i="2764"/>
  <c r="F102" s="1"/>
  <c r="F145" s="1"/>
  <c r="F100"/>
  <c r="F143" s="1"/>
  <c r="F82"/>
  <c r="F101" s="1"/>
  <c r="F144" s="1"/>
  <c r="F174" s="1"/>
  <c r="J55" i="2760"/>
  <c r="J42"/>
  <c r="J55" i="2763"/>
  <c r="J42"/>
  <c r="J55" i="2767"/>
  <c r="J42"/>
  <c r="J55" i="2771"/>
  <c r="J42"/>
  <c r="J55" i="2757"/>
  <c r="J42"/>
  <c r="J55" i="2761"/>
  <c r="J42"/>
  <c r="J55" i="2766"/>
  <c r="J42"/>
  <c r="J55" i="2770"/>
  <c r="J42"/>
  <c r="H168" i="2769"/>
  <c r="G97" i="2762"/>
  <c r="H73" s="1"/>
  <c r="G96" i="2766"/>
  <c r="H72" s="1"/>
  <c r="I212" i="2768"/>
  <c r="J211"/>
  <c r="J212" s="1"/>
  <c r="I212" i="2759"/>
  <c r="J211"/>
  <c r="J212" s="1"/>
  <c r="I212" i="2769"/>
  <c r="J211"/>
  <c r="J212" s="1"/>
  <c r="J211" i="2762"/>
  <c r="J212" s="1"/>
  <c r="I212"/>
  <c r="I56" i="2772"/>
  <c r="H60"/>
  <c r="H136"/>
  <c r="H140" s="1"/>
  <c r="I135" s="1"/>
  <c r="I139" s="1"/>
  <c r="I147" s="1"/>
  <c r="I162" s="1"/>
  <c r="I166" s="1"/>
  <c r="H60" i="2765"/>
  <c r="H136"/>
  <c r="H140" s="1"/>
  <c r="I135" s="1"/>
  <c r="I56"/>
  <c r="H87" i="2771"/>
  <c r="H93"/>
  <c r="H86" i="2763"/>
  <c r="H92"/>
  <c r="H90" i="2760"/>
  <c r="H84"/>
  <c r="H85" i="2770"/>
  <c r="H91"/>
  <c r="H89" i="2766"/>
  <c r="H83"/>
  <c r="H95"/>
  <c r="I71" s="1"/>
  <c r="H90" i="2761"/>
  <c r="H84"/>
  <c r="H96" s="1"/>
  <c r="I72" s="1"/>
  <c r="H140" i="2770"/>
  <c r="I135" s="1"/>
  <c r="I139" s="1"/>
  <c r="H147"/>
  <c r="H162" s="1"/>
  <c r="H166" s="1"/>
  <c r="H147" i="2766"/>
  <c r="H162" s="1"/>
  <c r="H166" s="1"/>
  <c r="I56"/>
  <c r="H136"/>
  <c r="H140" s="1"/>
  <c r="I135" s="1"/>
  <c r="I139" s="1"/>
  <c r="H60"/>
  <c r="H139" i="2761"/>
  <c r="H147" s="1"/>
  <c r="H162" s="1"/>
  <c r="H166" s="1"/>
  <c r="H168" s="1"/>
  <c r="G193" i="2757"/>
  <c r="H165"/>
  <c r="H168" s="1"/>
  <c r="I56"/>
  <c r="H60"/>
  <c r="H136"/>
  <c r="H140" s="1"/>
  <c r="I135" s="1"/>
  <c r="I139" s="1"/>
  <c r="H136" i="2767"/>
  <c r="H140" s="1"/>
  <c r="I135" s="1"/>
  <c r="I56"/>
  <c r="H60"/>
  <c r="H84" i="2769"/>
  <c r="H96" s="1"/>
  <c r="I72" s="1"/>
  <c r="H90"/>
  <c r="F88" i="2765"/>
  <c r="F102" s="1"/>
  <c r="F145" s="1"/>
  <c r="F100"/>
  <c r="F143" s="1"/>
  <c r="F82"/>
  <c r="F101" s="1"/>
  <c r="F144" s="1"/>
  <c r="F174" s="1"/>
  <c r="H85"/>
  <c r="H91"/>
  <c r="H89" i="2762"/>
  <c r="H83"/>
  <c r="H89" i="2758"/>
  <c r="H83"/>
  <c r="G63" i="2768"/>
  <c r="G64"/>
  <c r="H87" i="2764"/>
  <c r="H93"/>
  <c r="H99" s="1"/>
  <c r="I75" s="1"/>
  <c r="F100" i="2759"/>
  <c r="F143" s="1"/>
  <c r="F82"/>
  <c r="F101" s="1"/>
  <c r="F144" s="1"/>
  <c r="F174" s="1"/>
  <c r="F88"/>
  <c r="F102" s="1"/>
  <c r="F145" s="1"/>
  <c r="I43" i="2772"/>
  <c r="H187"/>
  <c r="H187" i="2769"/>
  <c r="I43"/>
  <c r="G64" i="2771"/>
  <c r="G63"/>
  <c r="H87" i="2767"/>
  <c r="H93"/>
  <c r="H87" i="2763"/>
  <c r="H93"/>
  <c r="G63" i="2770"/>
  <c r="G64"/>
  <c r="H92" i="2766"/>
  <c r="H86"/>
  <c r="H91" i="2761"/>
  <c r="H85"/>
  <c r="H84" i="2757"/>
  <c r="H90"/>
  <c r="H187" i="2770"/>
  <c r="I43"/>
  <c r="H187" i="2766"/>
  <c r="I43"/>
  <c r="H187" i="2760"/>
  <c r="I43"/>
  <c r="H93" i="2772"/>
  <c r="H87"/>
  <c r="H99"/>
  <c r="I75" s="1"/>
  <c r="F100" i="2769"/>
  <c r="F143" s="1"/>
  <c r="F82"/>
  <c r="F101" s="1"/>
  <c r="F144" s="1"/>
  <c r="F174" s="1"/>
  <c r="F88"/>
  <c r="F102" s="1"/>
  <c r="F145" s="1"/>
  <c r="F94"/>
  <c r="H87" i="2765"/>
  <c r="H93"/>
  <c r="H99" s="1"/>
  <c r="I75" s="1"/>
  <c r="H83" i="2759"/>
  <c r="H89"/>
  <c r="G84" i="2772"/>
  <c r="G90"/>
  <c r="G96" s="1"/>
  <c r="H72" s="1"/>
  <c r="I212" i="2766"/>
  <c r="J211"/>
  <c r="J212" s="1"/>
  <c r="J211" i="2761"/>
  <c r="J212" s="1"/>
  <c r="I212"/>
  <c r="J211" i="2771"/>
  <c r="J212" s="1"/>
  <c r="I212"/>
  <c r="I212" i="2767"/>
  <c r="J211"/>
  <c r="J212" s="1"/>
  <c r="J211" i="2763"/>
  <c r="J212" s="1"/>
  <c r="I212"/>
  <c r="I56" i="2768"/>
  <c r="H136"/>
  <c r="H140" s="1"/>
  <c r="I135" s="1"/>
  <c r="H60"/>
  <c r="H139" i="2759"/>
  <c r="H147" s="1"/>
  <c r="H162" s="1"/>
  <c r="H166" s="1"/>
  <c r="H168" s="1"/>
  <c r="I56" i="2769"/>
  <c r="H136"/>
  <c r="H140" s="1"/>
  <c r="I135" s="1"/>
  <c r="H60"/>
  <c r="H139" i="2762"/>
  <c r="H147" s="1"/>
  <c r="H162" s="1"/>
  <c r="H166" s="1"/>
  <c r="H136"/>
  <c r="H60"/>
  <c r="I56"/>
  <c r="F100" i="2763"/>
  <c r="F143" s="1"/>
  <c r="F82"/>
  <c r="F101" s="1"/>
  <c r="F144" s="1"/>
  <c r="F174" s="1"/>
  <c r="F88"/>
  <c r="F102" s="1"/>
  <c r="F145" s="1"/>
  <c r="G63" i="2760"/>
  <c r="G64"/>
  <c r="F88" i="2757"/>
  <c r="F102" s="1"/>
  <c r="F145" s="1"/>
  <c r="F100"/>
  <c r="F143" s="1"/>
  <c r="F82"/>
  <c r="F101" s="1"/>
  <c r="F144" s="1"/>
  <c r="F174" s="1"/>
  <c r="H136" i="2761"/>
  <c r="H140" s="1"/>
  <c r="I135" s="1"/>
  <c r="I56"/>
  <c r="H60"/>
  <c r="G193" i="2767"/>
  <c r="H165"/>
  <c r="H168" s="1"/>
  <c r="H139" i="2763"/>
  <c r="H147" s="1"/>
  <c r="H162" s="1"/>
  <c r="H166" s="1"/>
  <c r="G64" i="2769"/>
  <c r="G63"/>
  <c r="F88" i="2768"/>
  <c r="F102" s="1"/>
  <c r="F145" s="1"/>
  <c r="F100"/>
  <c r="F143" s="1"/>
  <c r="F82"/>
  <c r="F101" s="1"/>
  <c r="F144" s="1"/>
  <c r="F174" s="1"/>
  <c r="H187" i="2759"/>
  <c r="I43"/>
  <c r="H187" i="2762"/>
  <c r="I43"/>
  <c r="G63" i="2763"/>
  <c r="G64"/>
  <c r="I43" i="2757"/>
  <c r="H187"/>
  <c r="H187" i="2763"/>
  <c r="I43"/>
  <c r="G63" i="2765"/>
  <c r="G64"/>
  <c r="F100" i="2758"/>
  <c r="F143" s="1"/>
  <c r="F82"/>
  <c r="F101" s="1"/>
  <c r="F144" s="1"/>
  <c r="F174" s="1"/>
  <c r="F88"/>
  <c r="F102" s="1"/>
  <c r="F145" s="1"/>
  <c r="J247" i="2757"/>
  <c r="J228"/>
  <c r="J229" s="1"/>
  <c r="D230" s="1"/>
  <c r="J247" i="2761"/>
  <c r="J228"/>
  <c r="J229" s="1"/>
  <c r="D230" s="1"/>
  <c r="J247" i="2766"/>
  <c r="J228"/>
  <c r="J229" s="1"/>
  <c r="D230" s="1"/>
  <c r="J247" i="2770"/>
  <c r="J228"/>
  <c r="J229" s="1"/>
  <c r="D230" s="1"/>
  <c r="J247" i="2760"/>
  <c r="J228"/>
  <c r="J229" s="1"/>
  <c r="D230" s="1"/>
  <c r="J247" i="2763"/>
  <c r="J228"/>
  <c r="J229" s="1"/>
  <c r="D230" s="1"/>
  <c r="J247" i="2767"/>
  <c r="J228"/>
  <c r="J229" s="1"/>
  <c r="D230" s="1"/>
  <c r="J247" i="2771"/>
  <c r="J228"/>
  <c r="J229" s="1"/>
  <c r="D230" s="1"/>
  <c r="G64" i="2758"/>
  <c r="G63"/>
  <c r="J55"/>
  <c r="J42"/>
  <c r="J55" i="2762"/>
  <c r="J42"/>
  <c r="J55" i="2765"/>
  <c r="J42"/>
  <c r="J55" i="2769"/>
  <c r="J42"/>
  <c r="J55" i="2772"/>
  <c r="J42"/>
  <c r="J55" i="2759"/>
  <c r="J42"/>
  <c r="J55" i="2764"/>
  <c r="J42"/>
  <c r="J55" i="2768"/>
  <c r="J42"/>
  <c r="H83" i="2771"/>
  <c r="H89"/>
  <c r="H86" i="2770"/>
  <c r="H92"/>
  <c r="H91" i="2757"/>
  <c r="H85"/>
  <c r="H86" i="2765"/>
  <c r="H92"/>
  <c r="H87" i="2758"/>
  <c r="H93"/>
  <c r="H84" i="2764"/>
  <c r="H90"/>
  <c r="H83" i="2763"/>
  <c r="H89"/>
  <c r="H90" i="2770"/>
  <c r="H84"/>
  <c r="H83" i="2769"/>
  <c r="H95" s="1"/>
  <c r="I71" s="1"/>
  <c r="H89"/>
  <c r="H83" i="2768"/>
  <c r="H95" s="1"/>
  <c r="I71" s="1"/>
  <c r="H89"/>
  <c r="H84" i="2771"/>
  <c r="H90"/>
  <c r="H85" i="2763"/>
  <c r="H91"/>
  <c r="H83" i="2760"/>
  <c r="H89"/>
  <c r="H91" i="2772"/>
  <c r="H85"/>
  <c r="H86" i="2759"/>
  <c r="H92"/>
  <c r="H90" i="2767"/>
  <c r="H84"/>
  <c r="H92" i="2760"/>
  <c r="H86"/>
  <c r="H93" i="2770"/>
  <c r="H87"/>
  <c r="H89" i="2772"/>
  <c r="H83"/>
  <c r="H95"/>
  <c r="I71" s="1"/>
  <c r="H86" i="2762"/>
  <c r="H92"/>
  <c r="H98" s="1"/>
  <c r="I74" s="1"/>
  <c r="H84" i="2768"/>
  <c r="H90"/>
  <c r="H96" s="1"/>
  <c r="I72" s="1"/>
  <c r="H168"/>
  <c r="H168" i="2763"/>
  <c r="H99" i="2768" l="1"/>
  <c r="I75" s="1"/>
  <c r="H98" i="2769"/>
  <c r="I74" s="1"/>
  <c r="H97" i="2760"/>
  <c r="I73" s="1"/>
  <c r="H96" i="2765"/>
  <c r="I72" s="1"/>
  <c r="H95"/>
  <c r="I71" s="1"/>
  <c r="H97" i="2766"/>
  <c r="I73" s="1"/>
  <c r="H97" i="2768"/>
  <c r="I73" s="1"/>
  <c r="H96" i="2759"/>
  <c r="I72" s="1"/>
  <c r="H96" i="2771"/>
  <c r="I72" s="1"/>
  <c r="G98" i="2772"/>
  <c r="H74" s="1"/>
  <c r="H95" i="2757"/>
  <c r="I71" s="1"/>
  <c r="H97" i="2767"/>
  <c r="I73" s="1"/>
  <c r="H99" i="2759"/>
  <c r="I75" s="1"/>
  <c r="H97"/>
  <c r="I73" s="1"/>
  <c r="H99" i="2769"/>
  <c r="I75" s="1"/>
  <c r="H98" i="2761"/>
  <c r="I74" s="1"/>
  <c r="H95" i="2764"/>
  <c r="I71" s="1"/>
  <c r="H98" i="2757"/>
  <c r="I74" s="1"/>
  <c r="H99" i="2760"/>
  <c r="I75" s="1"/>
  <c r="H98" i="2759"/>
  <c r="I74" s="1"/>
  <c r="H95" i="2760"/>
  <c r="I71" s="1"/>
  <c r="H97" i="2763"/>
  <c r="I73" s="1"/>
  <c r="H95" i="2771"/>
  <c r="I71" s="1"/>
  <c r="G65" i="2769"/>
  <c r="H59" s="1"/>
  <c r="H140" i="2762"/>
  <c r="I135" s="1"/>
  <c r="G65" i="2770"/>
  <c r="H59" s="1"/>
  <c r="H99" i="2767"/>
  <c r="I75" s="1"/>
  <c r="G65" i="2771"/>
  <c r="H59" s="1"/>
  <c r="F94" i="2759"/>
  <c r="H99" i="2762"/>
  <c r="I75" s="1"/>
  <c r="H99" i="2766"/>
  <c r="I75" s="1"/>
  <c r="H95" i="2770"/>
  <c r="I71" s="1"/>
  <c r="H96" i="2763"/>
  <c r="I72" s="1"/>
  <c r="G65" i="2766"/>
  <c r="H59" s="1"/>
  <c r="H99" i="2757"/>
  <c r="I75" s="1"/>
  <c r="H95" i="2767"/>
  <c r="I71" s="1"/>
  <c r="H96" i="2762"/>
  <c r="I72" s="1"/>
  <c r="H98" i="2767"/>
  <c r="I74" s="1"/>
  <c r="H98" i="2768"/>
  <c r="I74" s="1"/>
  <c r="G65" i="2762"/>
  <c r="H59" s="1"/>
  <c r="H98" i="2760"/>
  <c r="I74" s="1"/>
  <c r="H96" i="2767"/>
  <c r="I72" s="1"/>
  <c r="H96" i="2764"/>
  <c r="I72" s="1"/>
  <c r="H99" i="2758"/>
  <c r="I75" s="1"/>
  <c r="H98" i="2770"/>
  <c r="I74" s="1"/>
  <c r="G65" i="2765"/>
  <c r="H59" s="1"/>
  <c r="G65" i="2763"/>
  <c r="H59" s="1"/>
  <c r="F94" i="2768"/>
  <c r="G65" i="2760"/>
  <c r="H59" s="1"/>
  <c r="H97" i="2761"/>
  <c r="I73" s="1"/>
  <c r="H98" i="2766"/>
  <c r="I74" s="1"/>
  <c r="H97" i="2765"/>
  <c r="I73" s="1"/>
  <c r="H96" i="2760"/>
  <c r="I72" s="1"/>
  <c r="H99" i="2771"/>
  <c r="I75" s="1"/>
  <c r="D213" i="2762"/>
  <c r="D213" i="2757"/>
  <c r="H99" i="2770"/>
  <c r="I75" s="1"/>
  <c r="H97" i="2772"/>
  <c r="I73" s="1"/>
  <c r="H96" i="2770"/>
  <c r="I72" s="1"/>
  <c r="H95" i="2763"/>
  <c r="I71" s="1"/>
  <c r="H98" i="2765"/>
  <c r="I74" s="1"/>
  <c r="G65" i="2758"/>
  <c r="H59" s="1"/>
  <c r="F94"/>
  <c r="F94" i="2757"/>
  <c r="D213" i="2763"/>
  <c r="D213" i="2771"/>
  <c r="D213" i="2761"/>
  <c r="H96" i="2757"/>
  <c r="I72" s="1"/>
  <c r="H99" i="2763"/>
  <c r="I75" s="1"/>
  <c r="G65" i="2768"/>
  <c r="H59" s="1"/>
  <c r="H95" i="2758"/>
  <c r="I71" s="1"/>
  <c r="H95" i="2762"/>
  <c r="I71" s="1"/>
  <c r="H97" i="2770"/>
  <c r="I73" s="1"/>
  <c r="F94" i="2764"/>
  <c r="F94" i="2762"/>
  <c r="D213" i="2765"/>
  <c r="D213" i="2772"/>
  <c r="D213" i="2764"/>
  <c r="H97" i="2771"/>
  <c r="I73" s="1"/>
  <c r="H99" i="2761"/>
  <c r="I75" s="1"/>
  <c r="G65" i="2772"/>
  <c r="H59" s="1"/>
  <c r="H96" i="2758"/>
  <c r="I72" s="1"/>
  <c r="G65" i="2757"/>
  <c r="H59" s="1"/>
  <c r="H97" i="2758"/>
  <c r="I73" s="1"/>
  <c r="H98" i="2764"/>
  <c r="I74" s="1"/>
  <c r="G65"/>
  <c r="H59" s="1"/>
  <c r="H98" i="2771"/>
  <c r="I74" s="1"/>
  <c r="H95" i="2761"/>
  <c r="I71" s="1"/>
  <c r="I92" i="2762"/>
  <c r="I86"/>
  <c r="I84" i="2767"/>
  <c r="I90"/>
  <c r="I85" i="2763"/>
  <c r="I91"/>
  <c r="I87" i="2758"/>
  <c r="I93"/>
  <c r="I99" s="1"/>
  <c r="J75" s="1"/>
  <c r="I86" i="2770"/>
  <c r="I92"/>
  <c r="H63" i="2763"/>
  <c r="H64"/>
  <c r="I139" i="2761"/>
  <c r="I147" s="1"/>
  <c r="I162" s="1"/>
  <c r="I166" s="1"/>
  <c r="I87" i="2765"/>
  <c r="I93"/>
  <c r="I86" i="2766"/>
  <c r="I92"/>
  <c r="H64" i="2771"/>
  <c r="H63"/>
  <c r="I139" i="2767"/>
  <c r="I147" s="1"/>
  <c r="I162" s="1"/>
  <c r="I166" s="1"/>
  <c r="I90" i="2761"/>
  <c r="I84"/>
  <c r="I87" i="2771"/>
  <c r="I93"/>
  <c r="I147"/>
  <c r="I162" s="1"/>
  <c r="I166" s="1"/>
  <c r="I139" i="2764"/>
  <c r="I147" s="1"/>
  <c r="I162" s="1"/>
  <c r="I166" s="1"/>
  <c r="I93" i="2759"/>
  <c r="I87"/>
  <c r="I99" s="1"/>
  <c r="J75" s="1"/>
  <c r="I93" i="2766"/>
  <c r="I87"/>
  <c r="H63" i="2761"/>
  <c r="H64"/>
  <c r="I90" i="2763"/>
  <c r="I84"/>
  <c r="I89" i="2764"/>
  <c r="I83"/>
  <c r="I89" i="2767"/>
  <c r="I83"/>
  <c r="I90" i="2762"/>
  <c r="I84"/>
  <c r="I96" s="1"/>
  <c r="J72" s="1"/>
  <c r="I92" i="2767"/>
  <c r="I86"/>
  <c r="H64"/>
  <c r="H63"/>
  <c r="I86" i="2769"/>
  <c r="I92"/>
  <c r="I89" i="2757"/>
  <c r="I83"/>
  <c r="H64" i="2762"/>
  <c r="H63"/>
  <c r="I87" i="2770"/>
  <c r="I93"/>
  <c r="I91" i="2772"/>
  <c r="I85"/>
  <c r="I90" i="2770"/>
  <c r="I84"/>
  <c r="I92" i="2765"/>
  <c r="I86"/>
  <c r="H63" i="2758"/>
  <c r="H64"/>
  <c r="H65" s="1"/>
  <c r="I59" s="1"/>
  <c r="I139" i="2769"/>
  <c r="I147" s="1"/>
  <c r="I162" s="1"/>
  <c r="I166" s="1"/>
  <c r="I139" i="2768"/>
  <c r="I147" s="1"/>
  <c r="I162" s="1"/>
  <c r="I166" s="1"/>
  <c r="I90" i="2757"/>
  <c r="I84"/>
  <c r="I87" i="2763"/>
  <c r="I93"/>
  <c r="H63" i="2768"/>
  <c r="H64"/>
  <c r="I83" i="2758"/>
  <c r="I89"/>
  <c r="I89" i="2762"/>
  <c r="I83"/>
  <c r="I147" i="2757"/>
  <c r="I162" s="1"/>
  <c r="I166" s="1"/>
  <c r="I91" i="2770"/>
  <c r="I85"/>
  <c r="I139" i="2765"/>
  <c r="I147" s="1"/>
  <c r="I162" s="1"/>
  <c r="I166" s="1"/>
  <c r="I139" i="2760"/>
  <c r="I147" s="1"/>
  <c r="I162" s="1"/>
  <c r="I166" s="1"/>
  <c r="I147" i="2758"/>
  <c r="I162" s="1"/>
  <c r="I166" s="1"/>
  <c r="I85" i="2771"/>
  <c r="I91"/>
  <c r="I87" i="2761"/>
  <c r="I93"/>
  <c r="H64" i="2772"/>
  <c r="H63"/>
  <c r="I84" i="2758"/>
  <c r="I90"/>
  <c r="H64" i="2757"/>
  <c r="H63"/>
  <c r="I85" i="2758"/>
  <c r="I91"/>
  <c r="I92" i="2764"/>
  <c r="I86"/>
  <c r="H64"/>
  <c r="H63"/>
  <c r="I86" i="2771"/>
  <c r="I92"/>
  <c r="I89" i="2761"/>
  <c r="I83"/>
  <c r="I165" i="2763"/>
  <c r="H193"/>
  <c r="I84" i="2771"/>
  <c r="I90"/>
  <c r="I89" i="2768"/>
  <c r="I83"/>
  <c r="I89" i="2763"/>
  <c r="I83"/>
  <c r="G70" i="2758"/>
  <c r="F103"/>
  <c r="F146" s="1"/>
  <c r="F148" s="1"/>
  <c r="H63" i="2765"/>
  <c r="H64"/>
  <c r="I187" i="2757"/>
  <c r="J43"/>
  <c r="J187" s="1"/>
  <c r="J43" i="2762"/>
  <c r="J187" s="1"/>
  <c r="I187"/>
  <c r="J43" i="2759"/>
  <c r="J187" s="1"/>
  <c r="I187"/>
  <c r="F103" i="2768"/>
  <c r="F146" s="1"/>
  <c r="F148" s="1"/>
  <c r="G70"/>
  <c r="F151"/>
  <c r="F152" s="1"/>
  <c r="F173" s="1"/>
  <c r="F171"/>
  <c r="H64" i="2769"/>
  <c r="H63"/>
  <c r="J56" i="2761"/>
  <c r="I136"/>
  <c r="I140" s="1"/>
  <c r="J135" s="1"/>
  <c r="I60"/>
  <c r="F103" i="2757"/>
  <c r="F146" s="1"/>
  <c r="F148" s="1"/>
  <c r="G70"/>
  <c r="F151"/>
  <c r="F152" s="1"/>
  <c r="F173" s="1"/>
  <c r="F171"/>
  <c r="H64" i="2760"/>
  <c r="H63"/>
  <c r="F179" i="2763"/>
  <c r="F183"/>
  <c r="F184" s="1"/>
  <c r="F151"/>
  <c r="F152" s="1"/>
  <c r="F173" s="1"/>
  <c r="F171"/>
  <c r="I139" i="2762"/>
  <c r="I147" s="1"/>
  <c r="I162" s="1"/>
  <c r="I166" s="1"/>
  <c r="I136" i="2769"/>
  <c r="I140" s="1"/>
  <c r="J135" s="1"/>
  <c r="I60"/>
  <c r="J56"/>
  <c r="I165" i="2759"/>
  <c r="H193"/>
  <c r="H90" i="2772"/>
  <c r="H84"/>
  <c r="F103" i="2769"/>
  <c r="F146" s="1"/>
  <c r="F148" s="1"/>
  <c r="G70"/>
  <c r="I93" i="2772"/>
  <c r="I87"/>
  <c r="I91" i="2761"/>
  <c r="I85"/>
  <c r="H63" i="2770"/>
  <c r="H64"/>
  <c r="I93" i="2767"/>
  <c r="I87"/>
  <c r="J43" i="2769"/>
  <c r="J187" s="1"/>
  <c r="I187"/>
  <c r="F103" i="2759"/>
  <c r="F146" s="1"/>
  <c r="F148" s="1"/>
  <c r="G70"/>
  <c r="I93" i="2764"/>
  <c r="I87"/>
  <c r="I91" i="2765"/>
  <c r="I85"/>
  <c r="F183"/>
  <c r="F184" s="1"/>
  <c r="F179"/>
  <c r="I84" i="2769"/>
  <c r="I90"/>
  <c r="H193" i="2757"/>
  <c r="I165"/>
  <c r="I168" s="1"/>
  <c r="I60" i="2766"/>
  <c r="I136"/>
  <c r="J56"/>
  <c r="I140"/>
  <c r="J135" s="1"/>
  <c r="J139" s="1"/>
  <c r="I147"/>
  <c r="I162" s="1"/>
  <c r="I166" s="1"/>
  <c r="I147" i="2770"/>
  <c r="I162" s="1"/>
  <c r="I166" s="1"/>
  <c r="I83" i="2766"/>
  <c r="I89"/>
  <c r="I90" i="2760"/>
  <c r="I84"/>
  <c r="J56" i="2765"/>
  <c r="I136"/>
  <c r="I140" s="1"/>
  <c r="J135" s="1"/>
  <c r="I60"/>
  <c r="H90" i="2766"/>
  <c r="H84"/>
  <c r="I165" i="2769"/>
  <c r="I168" s="1"/>
  <c r="H193"/>
  <c r="F179" i="2764"/>
  <c r="F183"/>
  <c r="F184" s="1"/>
  <c r="F183" i="2762"/>
  <c r="F184" s="1"/>
  <c r="F179"/>
  <c r="F171"/>
  <c r="F151"/>
  <c r="F152" s="1"/>
  <c r="F173" s="1"/>
  <c r="I187" i="2761"/>
  <c r="J43"/>
  <c r="J187" s="1"/>
  <c r="F179" i="2766"/>
  <c r="F183"/>
  <c r="F184" s="1"/>
  <c r="F183" i="2771"/>
  <c r="F184" s="1"/>
  <c r="F179"/>
  <c r="F171"/>
  <c r="F151"/>
  <c r="F152" s="1"/>
  <c r="F173" s="1"/>
  <c r="H193" i="2760"/>
  <c r="I165"/>
  <c r="I168" s="1"/>
  <c r="I136" i="2770"/>
  <c r="I140" s="1"/>
  <c r="J135" s="1"/>
  <c r="J139" s="1"/>
  <c r="I60"/>
  <c r="J56"/>
  <c r="H92" i="2772"/>
  <c r="H86"/>
  <c r="J43" i="2767"/>
  <c r="J187" s="1"/>
  <c r="I187"/>
  <c r="F179" i="2761"/>
  <c r="F183"/>
  <c r="F184" s="1"/>
  <c r="F183" i="2760"/>
  <c r="F184" s="1"/>
  <c r="F179"/>
  <c r="F171"/>
  <c r="F151"/>
  <c r="F152" s="1"/>
  <c r="F173" s="1"/>
  <c r="I187" i="2758"/>
  <c r="J43"/>
  <c r="J187" s="1"/>
  <c r="I187" i="2768"/>
  <c r="J43"/>
  <c r="J187" s="1"/>
  <c r="F179" i="2772"/>
  <c r="F183"/>
  <c r="F184" s="1"/>
  <c r="F151"/>
  <c r="F152" s="1"/>
  <c r="F173" s="1"/>
  <c r="F171"/>
  <c r="I136" i="2771"/>
  <c r="I140" s="1"/>
  <c r="J135" s="1"/>
  <c r="J139" s="1"/>
  <c r="I60"/>
  <c r="J56"/>
  <c r="F179" i="2770"/>
  <c r="F183"/>
  <c r="F184" s="1"/>
  <c r="F151"/>
  <c r="F152" s="1"/>
  <c r="F173" s="1"/>
  <c r="F171"/>
  <c r="F183" i="2767"/>
  <c r="F184" s="1"/>
  <c r="F179"/>
  <c r="I91"/>
  <c r="I85"/>
  <c r="I136" i="2764"/>
  <c r="I140" s="1"/>
  <c r="J135" s="1"/>
  <c r="I60"/>
  <c r="J56"/>
  <c r="I90" i="2765"/>
  <c r="I84"/>
  <c r="I93" i="2762"/>
  <c r="I87"/>
  <c r="I83" i="2765"/>
  <c r="I89"/>
  <c r="I91" i="2766"/>
  <c r="I85"/>
  <c r="I91" i="2768"/>
  <c r="I85"/>
  <c r="I90" i="2759"/>
  <c r="I84"/>
  <c r="I91" i="2764"/>
  <c r="I85"/>
  <c r="I89" i="2770"/>
  <c r="I83"/>
  <c r="I85" i="2759"/>
  <c r="I91"/>
  <c r="I93" i="2769"/>
  <c r="I87"/>
  <c r="H64" i="2766"/>
  <c r="H63"/>
  <c r="I92" i="2761"/>
  <c r="I86"/>
  <c r="I85" i="2769"/>
  <c r="I91"/>
  <c r="I93" i="2757"/>
  <c r="I87"/>
  <c r="I87" i="2768"/>
  <c r="I93"/>
  <c r="H63" i="2759"/>
  <c r="H64"/>
  <c r="I85" i="2760"/>
  <c r="I91"/>
  <c r="I86" i="2768"/>
  <c r="I92"/>
  <c r="I92" i="2757"/>
  <c r="I86"/>
  <c r="I93" i="2760"/>
  <c r="I87"/>
  <c r="I168" i="2772"/>
  <c r="H168" i="2758"/>
  <c r="H168" i="2764"/>
  <c r="H168" i="2765"/>
  <c r="I90" i="2768"/>
  <c r="I84"/>
  <c r="I89" i="2772"/>
  <c r="I83"/>
  <c r="I86" i="2760"/>
  <c r="I92"/>
  <c r="I86" i="2759"/>
  <c r="I92"/>
  <c r="I83" i="2760"/>
  <c r="I89"/>
  <c r="I89" i="2769"/>
  <c r="I83"/>
  <c r="I84" i="2764"/>
  <c r="I90"/>
  <c r="I83" i="2771"/>
  <c r="I89"/>
  <c r="H193" i="2768"/>
  <c r="I165"/>
  <c r="I168" s="1"/>
  <c r="F179" i="2758"/>
  <c r="F183"/>
  <c r="F184" s="1"/>
  <c r="F151"/>
  <c r="F152" s="1"/>
  <c r="F173" s="1"/>
  <c r="F171"/>
  <c r="J43" i="2763"/>
  <c r="J187" s="1"/>
  <c r="I187"/>
  <c r="F179" i="2768"/>
  <c r="F183"/>
  <c r="F184" s="1"/>
  <c r="I165" i="2767"/>
  <c r="I168" s="1"/>
  <c r="H193"/>
  <c r="F179" i="2757"/>
  <c r="F183"/>
  <c r="F184" s="1"/>
  <c r="I60" i="2762"/>
  <c r="I136"/>
  <c r="I140" s="1"/>
  <c r="J135" s="1"/>
  <c r="J56"/>
  <c r="I60" i="2768"/>
  <c r="I136"/>
  <c r="I140" s="1"/>
  <c r="J135" s="1"/>
  <c r="J56"/>
  <c r="F183" i="2769"/>
  <c r="F184" s="1"/>
  <c r="F179"/>
  <c r="F171"/>
  <c r="F151"/>
  <c r="F152" s="1"/>
  <c r="F173" s="1"/>
  <c r="I187" i="2760"/>
  <c r="J43"/>
  <c r="J187" s="1"/>
  <c r="I187" i="2766"/>
  <c r="J43"/>
  <c r="J187" s="1"/>
  <c r="I187" i="2770"/>
  <c r="J43"/>
  <c r="J187" s="1"/>
  <c r="J43" i="2772"/>
  <c r="J187" s="1"/>
  <c r="I187"/>
  <c r="F183" i="2759"/>
  <c r="F184" s="1"/>
  <c r="F179"/>
  <c r="F171"/>
  <c r="F151"/>
  <c r="F152" s="1"/>
  <c r="F173" s="1"/>
  <c r="F171" i="2765"/>
  <c r="F151"/>
  <c r="F152" s="1"/>
  <c r="F173" s="1"/>
  <c r="J56" i="2767"/>
  <c r="I136"/>
  <c r="I140" s="1"/>
  <c r="J135" s="1"/>
  <c r="I60"/>
  <c r="I60" i="2757"/>
  <c r="I136"/>
  <c r="I140" s="1"/>
  <c r="J135" s="1"/>
  <c r="J139" s="1"/>
  <c r="J56"/>
  <c r="I165" i="2761"/>
  <c r="H193"/>
  <c r="I60" i="2772"/>
  <c r="I136"/>
  <c r="I140" s="1"/>
  <c r="J135" s="1"/>
  <c r="J139" s="1"/>
  <c r="J147" s="1"/>
  <c r="J162" s="1"/>
  <c r="J166" s="1"/>
  <c r="J56"/>
  <c r="H91" i="2762"/>
  <c r="H85"/>
  <c r="G70" i="2764"/>
  <c r="F103"/>
  <c r="F146" s="1"/>
  <c r="F148" s="1"/>
  <c r="F151"/>
  <c r="F152" s="1"/>
  <c r="F173" s="1"/>
  <c r="F171"/>
  <c r="F103" i="2762"/>
  <c r="F146" s="1"/>
  <c r="F148" s="1"/>
  <c r="G70"/>
  <c r="F151" i="2766"/>
  <c r="F152" s="1"/>
  <c r="F173" s="1"/>
  <c r="F171"/>
  <c r="J43" i="2765"/>
  <c r="J187" s="1"/>
  <c r="I187"/>
  <c r="I136" i="2763"/>
  <c r="J56"/>
  <c r="I60"/>
  <c r="I165" i="2771"/>
  <c r="I168" s="1"/>
  <c r="H193"/>
  <c r="I60" i="2759"/>
  <c r="I136"/>
  <c r="J56"/>
  <c r="I187" i="2771"/>
  <c r="J43"/>
  <c r="J187" s="1"/>
  <c r="F151" i="2761"/>
  <c r="F152" s="1"/>
  <c r="F173" s="1"/>
  <c r="F171"/>
  <c r="I187" i="2764"/>
  <c r="J43"/>
  <c r="J187" s="1"/>
  <c r="I136" i="2760"/>
  <c r="I140" s="1"/>
  <c r="J135" s="1"/>
  <c r="I60"/>
  <c r="J56"/>
  <c r="F171" i="2767"/>
  <c r="F151"/>
  <c r="F152" s="1"/>
  <c r="F173" s="1"/>
  <c r="I136" i="2758"/>
  <c r="I140" s="1"/>
  <c r="J135" s="1"/>
  <c r="J139" s="1"/>
  <c r="J56"/>
  <c r="I60"/>
  <c r="H97" i="2757"/>
  <c r="I73" s="1"/>
  <c r="H140" i="2763"/>
  <c r="I135" s="1"/>
  <c r="I139" s="1"/>
  <c r="I147" s="1"/>
  <c r="I162" s="1"/>
  <c r="I166" s="1"/>
  <c r="F94"/>
  <c r="H140" i="2759"/>
  <c r="I135" s="1"/>
  <c r="D213" i="2767"/>
  <c r="D213" i="2766"/>
  <c r="H95" i="2759"/>
  <c r="I71" s="1"/>
  <c r="F94" i="2765"/>
  <c r="H98" i="2763"/>
  <c r="I74" s="1"/>
  <c r="D213" i="2769"/>
  <c r="D213" i="2759"/>
  <c r="D213" i="2768"/>
  <c r="F94" i="2766"/>
  <c r="F94" i="2771"/>
  <c r="H168" i="2762"/>
  <c r="D213" i="2760"/>
  <c r="D213" i="2770"/>
  <c r="F94" i="2761"/>
  <c r="F94" i="2760"/>
  <c r="F94" i="2772"/>
  <c r="H168" i="2766"/>
  <c r="H168" i="2770"/>
  <c r="F94"/>
  <c r="F94" i="2767"/>
  <c r="D213" i="2758"/>
  <c r="H98"/>
  <c r="I74" s="1"/>
  <c r="J40" i="5"/>
  <c r="K40"/>
  <c r="L40"/>
  <c r="M40"/>
  <c r="N40"/>
  <c r="O40"/>
  <c r="P40"/>
  <c r="Q40"/>
  <c r="R40"/>
  <c r="S40"/>
  <c r="E40"/>
  <c r="F40"/>
  <c r="G40"/>
  <c r="H40"/>
  <c r="I40"/>
  <c r="I95" i="2772" l="1"/>
  <c r="J71" s="1"/>
  <c r="H65" i="2766"/>
  <c r="I59" s="1"/>
  <c r="I97" i="2764"/>
  <c r="J73" s="1"/>
  <c r="I97" i="2768"/>
  <c r="J73" s="1"/>
  <c r="I97" i="2766"/>
  <c r="J73" s="1"/>
  <c r="I95" i="2765"/>
  <c r="J71" s="1"/>
  <c r="I99" i="2764"/>
  <c r="J75" s="1"/>
  <c r="I99" i="2772"/>
  <c r="J75" s="1"/>
  <c r="I96" i="2761"/>
  <c r="J72" s="1"/>
  <c r="H65" i="2763"/>
  <c r="I59" s="1"/>
  <c r="I98" i="2770"/>
  <c r="J74" s="1"/>
  <c r="H65" i="2764"/>
  <c r="I59" s="1"/>
  <c r="I96" i="2758"/>
  <c r="J72" s="1"/>
  <c r="I99" i="2761"/>
  <c r="J75" s="1"/>
  <c r="I97" i="2771"/>
  <c r="J73" s="1"/>
  <c r="I99" i="2763"/>
  <c r="J75" s="1"/>
  <c r="I96" i="2757"/>
  <c r="J72" s="1"/>
  <c r="I95" i="2769"/>
  <c r="J71" s="1"/>
  <c r="I98" i="2759"/>
  <c r="J74" s="1"/>
  <c r="I98" i="2760"/>
  <c r="J74" s="1"/>
  <c r="F178" i="2767"/>
  <c r="F178" i="2761"/>
  <c r="F180" s="1"/>
  <c r="F178" i="2766"/>
  <c r="F180" s="1"/>
  <c r="F178" i="2764"/>
  <c r="F180" s="1"/>
  <c r="H97" i="2762"/>
  <c r="I73" s="1"/>
  <c r="I98" i="2768"/>
  <c r="J74" s="1"/>
  <c r="H65" i="2759"/>
  <c r="I59" s="1"/>
  <c r="I99" i="2757"/>
  <c r="J75" s="1"/>
  <c r="I98" i="2761"/>
  <c r="J74" s="1"/>
  <c r="H98" i="2772"/>
  <c r="I74" s="1"/>
  <c r="I95" i="2766"/>
  <c r="J71" s="1"/>
  <c r="I96" i="2769"/>
  <c r="J72" s="1"/>
  <c r="I97" i="2765"/>
  <c r="J73" s="1"/>
  <c r="H65"/>
  <c r="I59" s="1"/>
  <c r="I95" i="2763"/>
  <c r="J71" s="1"/>
  <c r="I95" i="2768"/>
  <c r="J71" s="1"/>
  <c r="I95" i="2761"/>
  <c r="J71" s="1"/>
  <c r="I98" i="2771"/>
  <c r="J74" s="1"/>
  <c r="I99" i="2770"/>
  <c r="J75" s="1"/>
  <c r="H65" i="2767"/>
  <c r="I59" s="1"/>
  <c r="I98"/>
  <c r="J74" s="1"/>
  <c r="I95" i="2771"/>
  <c r="J71" s="1"/>
  <c r="I96" i="2764"/>
  <c r="J72" s="1"/>
  <c r="I99" i="2760"/>
  <c r="J75" s="1"/>
  <c r="I98" i="2757"/>
  <c r="J74" s="1"/>
  <c r="I97" i="2759"/>
  <c r="J73" s="1"/>
  <c r="I95" i="2770"/>
  <c r="J71" s="1"/>
  <c r="I96" i="2765"/>
  <c r="J72" s="1"/>
  <c r="F178" i="2772"/>
  <c r="F180" s="1"/>
  <c r="H96" i="2766"/>
  <c r="I72" s="1"/>
  <c r="H65" i="2770"/>
  <c r="I59" s="1"/>
  <c r="I97" i="2761"/>
  <c r="J73" s="1"/>
  <c r="H65" i="2769"/>
  <c r="I59" s="1"/>
  <c r="F178" i="2768"/>
  <c r="I97" i="2758"/>
  <c r="J73" s="1"/>
  <c r="H65" i="2757"/>
  <c r="I59" s="1"/>
  <c r="I97" i="2770"/>
  <c r="J73" s="1"/>
  <c r="I95" i="2758"/>
  <c r="J71" s="1"/>
  <c r="I96" i="2770"/>
  <c r="J72" s="1"/>
  <c r="I97" i="2772"/>
  <c r="J73" s="1"/>
  <c r="I95" i="2764"/>
  <c r="J71" s="1"/>
  <c r="I96" i="2763"/>
  <c r="J72" s="1"/>
  <c r="H65" i="2761"/>
  <c r="I59" s="1"/>
  <c r="I99" i="2766"/>
  <c r="J75" s="1"/>
  <c r="I98"/>
  <c r="J74" s="1"/>
  <c r="I99" i="2765"/>
  <c r="J75" s="1"/>
  <c r="I96" i="2767"/>
  <c r="J72" s="1"/>
  <c r="I98" i="2762"/>
  <c r="J74" s="1"/>
  <c r="F178" i="2758"/>
  <c r="F180" s="1"/>
  <c r="I95" i="2760"/>
  <c r="J71" s="1"/>
  <c r="I96" i="2768"/>
  <c r="J72" s="1"/>
  <c r="I97" i="2760"/>
  <c r="J73" s="1"/>
  <c r="I97" i="2769"/>
  <c r="J73" s="1"/>
  <c r="I99"/>
  <c r="J75" s="1"/>
  <c r="I96" i="2759"/>
  <c r="J72" s="1"/>
  <c r="I99" i="2762"/>
  <c r="J75" s="1"/>
  <c r="I97" i="2767"/>
  <c r="J73" s="1"/>
  <c r="I96" i="2760"/>
  <c r="J72" s="1"/>
  <c r="I99" i="2767"/>
  <c r="J75" s="1"/>
  <c r="H96" i="2772"/>
  <c r="I72" s="1"/>
  <c r="H65" i="2760"/>
  <c r="I59" s="1"/>
  <c r="F178" i="2757"/>
  <c r="I96" i="2771"/>
  <c r="J72" s="1"/>
  <c r="I98" i="2764"/>
  <c r="J74" s="1"/>
  <c r="H65" i="2772"/>
  <c r="I59" s="1"/>
  <c r="I95" i="2762"/>
  <c r="J71" s="1"/>
  <c r="H65" i="2768"/>
  <c r="I59" s="1"/>
  <c r="I98" i="2765"/>
  <c r="J74" s="1"/>
  <c r="H65" i="2762"/>
  <c r="I59" s="1"/>
  <c r="I95" i="2757"/>
  <c r="J71" s="1"/>
  <c r="I98" i="2769"/>
  <c r="J74" s="1"/>
  <c r="I95" i="2767"/>
  <c r="J71" s="1"/>
  <c r="I99" i="2771"/>
  <c r="J75" s="1"/>
  <c r="H65"/>
  <c r="I59" s="1"/>
  <c r="I97" i="2763"/>
  <c r="J73" s="1"/>
  <c r="F180" i="2757"/>
  <c r="J139" i="2760"/>
  <c r="J147" s="1"/>
  <c r="J162" s="1"/>
  <c r="J166" s="1"/>
  <c r="J139" i="2767"/>
  <c r="J147" s="1"/>
  <c r="J162" s="1"/>
  <c r="J166" s="1"/>
  <c r="J139" i="2762"/>
  <c r="J147" s="1"/>
  <c r="J162" s="1"/>
  <c r="J166" s="1"/>
  <c r="J83" i="2760"/>
  <c r="J89"/>
  <c r="J84" i="2768"/>
  <c r="J90"/>
  <c r="J85" i="2760"/>
  <c r="J91"/>
  <c r="J91" i="2769"/>
  <c r="J85"/>
  <c r="J87"/>
  <c r="J93"/>
  <c r="J90" i="2759"/>
  <c r="J84"/>
  <c r="J93" i="2762"/>
  <c r="J87"/>
  <c r="J91" i="2767"/>
  <c r="J85"/>
  <c r="J147" i="2771"/>
  <c r="J162" s="1"/>
  <c r="J166" s="1"/>
  <c r="J139" i="2765"/>
  <c r="J147" s="1"/>
  <c r="J162" s="1"/>
  <c r="J166" s="1"/>
  <c r="J87" i="2767"/>
  <c r="J93"/>
  <c r="J99" s="1"/>
  <c r="I90" i="2772"/>
  <c r="I84"/>
  <c r="I96" s="1"/>
  <c r="J72" s="1"/>
  <c r="J139" i="2769"/>
  <c r="J147" s="1"/>
  <c r="J162" s="1"/>
  <c r="J166" s="1"/>
  <c r="I64" i="2760"/>
  <c r="I63"/>
  <c r="I65"/>
  <c r="J59" s="1"/>
  <c r="J90" i="2771"/>
  <c r="J84"/>
  <c r="J96" s="1"/>
  <c r="J92" i="2764"/>
  <c r="J86"/>
  <c r="J98" s="1"/>
  <c r="I63" i="2772"/>
  <c r="I64"/>
  <c r="J89" i="2762"/>
  <c r="J83"/>
  <c r="J95" s="1"/>
  <c r="I64" i="2768"/>
  <c r="I63"/>
  <c r="J92" i="2765"/>
  <c r="J86"/>
  <c r="I63" i="2762"/>
  <c r="I64"/>
  <c r="J89" i="2757"/>
  <c r="J83"/>
  <c r="J95" s="1"/>
  <c r="J86" i="2769"/>
  <c r="J92"/>
  <c r="J89" i="2767"/>
  <c r="J83"/>
  <c r="J93" i="2771"/>
  <c r="J87"/>
  <c r="I64"/>
  <c r="I63"/>
  <c r="J85" i="2763"/>
  <c r="J91"/>
  <c r="J147" i="2758"/>
  <c r="J162" s="1"/>
  <c r="J166" s="1"/>
  <c r="I91" i="2762"/>
  <c r="I85"/>
  <c r="J147" i="2757"/>
  <c r="J162" s="1"/>
  <c r="J166" s="1"/>
  <c r="J139" i="2768"/>
  <c r="J147" s="1"/>
  <c r="J162" s="1"/>
  <c r="J166" s="1"/>
  <c r="J90" i="2764"/>
  <c r="J84"/>
  <c r="J86" i="2760"/>
  <c r="J92"/>
  <c r="J92" i="2757"/>
  <c r="J86"/>
  <c r="J93"/>
  <c r="J87"/>
  <c r="J86" i="2761"/>
  <c r="J92"/>
  <c r="J89" i="2770"/>
  <c r="J83"/>
  <c r="J91" i="2766"/>
  <c r="J85"/>
  <c r="J139" i="2764"/>
  <c r="J147" s="1"/>
  <c r="J162" s="1"/>
  <c r="J166" s="1"/>
  <c r="I90" i="2766"/>
  <c r="I84"/>
  <c r="J85" i="2765"/>
  <c r="J91"/>
  <c r="J85" i="2761"/>
  <c r="J91"/>
  <c r="J97" s="1"/>
  <c r="J139"/>
  <c r="J147" s="1"/>
  <c r="J162" s="1"/>
  <c r="J166" s="1"/>
  <c r="I63" i="2769"/>
  <c r="I64"/>
  <c r="J92" i="2771"/>
  <c r="J86"/>
  <c r="I64" i="2757"/>
  <c r="I63"/>
  <c r="J91" i="2771"/>
  <c r="J85"/>
  <c r="J83" i="2758"/>
  <c r="J89"/>
  <c r="J90" i="2757"/>
  <c r="J84"/>
  <c r="J91" i="2772"/>
  <c r="J85"/>
  <c r="J86" i="2767"/>
  <c r="J92"/>
  <c r="J87" i="2766"/>
  <c r="J99" s="1"/>
  <c r="J93"/>
  <c r="J93" i="2765"/>
  <c r="J87"/>
  <c r="J86" i="2770"/>
  <c r="J92"/>
  <c r="J92" i="2762"/>
  <c r="J86"/>
  <c r="J98"/>
  <c r="I86" i="2758"/>
  <c r="I92"/>
  <c r="I98" s="1"/>
  <c r="J74" s="1"/>
  <c r="I165" i="2770"/>
  <c r="H193"/>
  <c r="F103" i="2761"/>
  <c r="F146" s="1"/>
  <c r="F148" s="1"/>
  <c r="G70"/>
  <c r="G70" i="2765"/>
  <c r="F103"/>
  <c r="F146" s="1"/>
  <c r="F148" s="1"/>
  <c r="I139" i="2759"/>
  <c r="I147" s="1"/>
  <c r="I162" s="1"/>
  <c r="I166" s="1"/>
  <c r="I168" s="1"/>
  <c r="G70" i="2770"/>
  <c r="F103"/>
  <c r="F146" s="1"/>
  <c r="F148" s="1"/>
  <c r="H193" i="2766"/>
  <c r="I165"/>
  <c r="I168" s="1"/>
  <c r="G70" i="2760"/>
  <c r="F103"/>
  <c r="F146" s="1"/>
  <c r="F148" s="1"/>
  <c r="I165" i="2762"/>
  <c r="I168" s="1"/>
  <c r="H193"/>
  <c r="G70" i="2766"/>
  <c r="F103"/>
  <c r="F146" s="1"/>
  <c r="F148" s="1"/>
  <c r="I86" i="2763"/>
  <c r="I98" s="1"/>
  <c r="J74" s="1"/>
  <c r="I92"/>
  <c r="I89" i="2759"/>
  <c r="I83"/>
  <c r="F103" i="2763"/>
  <c r="F146" s="1"/>
  <c r="F148" s="1"/>
  <c r="G70"/>
  <c r="I91" i="2757"/>
  <c r="I85"/>
  <c r="I97"/>
  <c r="J73" s="1"/>
  <c r="J60" i="2758"/>
  <c r="J136"/>
  <c r="J140" s="1"/>
  <c r="J136" i="2760"/>
  <c r="J140" s="1"/>
  <c r="J60"/>
  <c r="G100" i="2764"/>
  <c r="G143" s="1"/>
  <c r="G82"/>
  <c r="G101" s="1"/>
  <c r="G144" s="1"/>
  <c r="G174" s="1"/>
  <c r="G88"/>
  <c r="G102" s="1"/>
  <c r="G145" s="1"/>
  <c r="G94"/>
  <c r="J60" i="2772"/>
  <c r="J136"/>
  <c r="J140" s="1"/>
  <c r="J60" i="2767"/>
  <c r="J136"/>
  <c r="J140" s="1"/>
  <c r="J60" i="2762"/>
  <c r="J136"/>
  <c r="J140" s="1"/>
  <c r="J165" i="2767"/>
  <c r="I193"/>
  <c r="H193" i="2764"/>
  <c r="I165"/>
  <c r="J165" i="2772"/>
  <c r="I193"/>
  <c r="J136" i="2764"/>
  <c r="J140" s="1"/>
  <c r="J60"/>
  <c r="J60" i="2771"/>
  <c r="J136"/>
  <c r="J140" s="1"/>
  <c r="J60" i="2770"/>
  <c r="J136"/>
  <c r="I193" i="2769"/>
  <c r="J165"/>
  <c r="J168" s="1"/>
  <c r="J193" s="1"/>
  <c r="J136" i="2765"/>
  <c r="J140" s="1"/>
  <c r="J60"/>
  <c r="J136" i="2766"/>
  <c r="J60"/>
  <c r="G100" i="2759"/>
  <c r="G143" s="1"/>
  <c r="G82"/>
  <c r="G101" s="1"/>
  <c r="G144" s="1"/>
  <c r="G174" s="1"/>
  <c r="G88"/>
  <c r="G102" s="1"/>
  <c r="G145" s="1"/>
  <c r="G94"/>
  <c r="G100" i="2769"/>
  <c r="G143" s="1"/>
  <c r="G82"/>
  <c r="G101" s="1"/>
  <c r="G144" s="1"/>
  <c r="G174" s="1"/>
  <c r="G88"/>
  <c r="G102" s="1"/>
  <c r="G145" s="1"/>
  <c r="G94"/>
  <c r="I140" i="2763"/>
  <c r="J135" s="1"/>
  <c r="J139" s="1"/>
  <c r="J147" s="1"/>
  <c r="J162" s="1"/>
  <c r="J166" s="1"/>
  <c r="F178" i="2765"/>
  <c r="F180" s="1"/>
  <c r="F178" i="2759"/>
  <c r="F178" i="2769"/>
  <c r="I99" i="2768"/>
  <c r="J75" s="1"/>
  <c r="F180" i="2767"/>
  <c r="F178" i="2770"/>
  <c r="F178" i="2760"/>
  <c r="F178" i="2771"/>
  <c r="F180" s="1"/>
  <c r="F178" i="2762"/>
  <c r="I168" i="2770"/>
  <c r="F178" i="2763"/>
  <c r="I168"/>
  <c r="I168" i="2761"/>
  <c r="F103" i="2767"/>
  <c r="F146" s="1"/>
  <c r="F148" s="1"/>
  <c r="G70"/>
  <c r="G70" i="2772"/>
  <c r="F103"/>
  <c r="F146" s="1"/>
  <c r="F148" s="1"/>
  <c r="F103" i="2771"/>
  <c r="F146" s="1"/>
  <c r="F148" s="1"/>
  <c r="G70"/>
  <c r="J136" i="2759"/>
  <c r="J60"/>
  <c r="J165" i="2771"/>
  <c r="J168" s="1"/>
  <c r="J193" s="1"/>
  <c r="I193"/>
  <c r="J60" i="2763"/>
  <c r="J136"/>
  <c r="J140" s="1"/>
  <c r="G100" i="2762"/>
  <c r="G143" s="1"/>
  <c r="G82"/>
  <c r="G101" s="1"/>
  <c r="G144" s="1"/>
  <c r="G174" s="1"/>
  <c r="G88"/>
  <c r="G102" s="1"/>
  <c r="G145" s="1"/>
  <c r="G94"/>
  <c r="J136" i="2757"/>
  <c r="J140" s="1"/>
  <c r="J60"/>
  <c r="J136" i="2768"/>
  <c r="J140" s="1"/>
  <c r="J60"/>
  <c r="I193"/>
  <c r="J165"/>
  <c r="J168" s="1"/>
  <c r="J193" s="1"/>
  <c r="J89" i="2771"/>
  <c r="J83"/>
  <c r="J95" s="1"/>
  <c r="J89" i="2769"/>
  <c r="J83"/>
  <c r="J95" s="1"/>
  <c r="J92" i="2759"/>
  <c r="J86"/>
  <c r="J89" i="2772"/>
  <c r="J83"/>
  <c r="J95" s="1"/>
  <c r="H193" i="2765"/>
  <c r="I165"/>
  <c r="I168" s="1"/>
  <c r="I165" i="2758"/>
  <c r="I168" s="1"/>
  <c r="H193"/>
  <c r="J93" i="2760"/>
  <c r="J87"/>
  <c r="J92" i="2768"/>
  <c r="J86"/>
  <c r="I63" i="2759"/>
  <c r="I64"/>
  <c r="I64" i="2766"/>
  <c r="I63"/>
  <c r="I65" s="1"/>
  <c r="J59" s="1"/>
  <c r="J85" i="2759"/>
  <c r="J91"/>
  <c r="J85" i="2764"/>
  <c r="J91"/>
  <c r="J85" i="2768"/>
  <c r="J91"/>
  <c r="J89" i="2765"/>
  <c r="J83"/>
  <c r="J84"/>
  <c r="J90"/>
  <c r="I92" i="2772"/>
  <c r="I86"/>
  <c r="I193" i="2760"/>
  <c r="J165"/>
  <c r="J84"/>
  <c r="J90"/>
  <c r="J89" i="2766"/>
  <c r="J83"/>
  <c r="J140" i="2770"/>
  <c r="J147"/>
  <c r="J162" s="1"/>
  <c r="J166" s="1"/>
  <c r="J140" i="2766"/>
  <c r="J147"/>
  <c r="J162" s="1"/>
  <c r="J166" s="1"/>
  <c r="I193" i="2757"/>
  <c r="J165"/>
  <c r="J84" i="2769"/>
  <c r="J90"/>
  <c r="J93" i="2764"/>
  <c r="J87"/>
  <c r="I63" i="2770"/>
  <c r="I64"/>
  <c r="J93" i="2772"/>
  <c r="J87"/>
  <c r="J60" i="2769"/>
  <c r="J136"/>
  <c r="J140" s="1"/>
  <c r="G88" i="2757"/>
  <c r="G102" s="1"/>
  <c r="G145" s="1"/>
  <c r="G100"/>
  <c r="G143" s="1"/>
  <c r="G82"/>
  <c r="G101" s="1"/>
  <c r="G144" s="1"/>
  <c r="G174" s="1"/>
  <c r="J60" i="2761"/>
  <c r="J136"/>
  <c r="J140" s="1"/>
  <c r="G100" i="2768"/>
  <c r="G143" s="1"/>
  <c r="G82"/>
  <c r="G101" s="1"/>
  <c r="G144" s="1"/>
  <c r="G174" s="1"/>
  <c r="G88"/>
  <c r="G102" s="1"/>
  <c r="G145" s="1"/>
  <c r="I63" i="2765"/>
  <c r="I64"/>
  <c r="G88" i="2758"/>
  <c r="G102" s="1"/>
  <c r="G145" s="1"/>
  <c r="G100"/>
  <c r="G143" s="1"/>
  <c r="G82"/>
  <c r="G101" s="1"/>
  <c r="G144" s="1"/>
  <c r="G174" s="1"/>
  <c r="J89" i="2763"/>
  <c r="J83"/>
  <c r="J83" i="2768"/>
  <c r="J89"/>
  <c r="J83" i="2761"/>
  <c r="J89"/>
  <c r="I64" i="2764"/>
  <c r="I63"/>
  <c r="J85" i="2758"/>
  <c r="J91"/>
  <c r="J84"/>
  <c r="J90"/>
  <c r="J93" i="2761"/>
  <c r="J87"/>
  <c r="J91" i="2770"/>
  <c r="J85"/>
  <c r="J87" i="2763"/>
  <c r="J93"/>
  <c r="I64" i="2758"/>
  <c r="I63"/>
  <c r="J84" i="2770"/>
  <c r="J90"/>
  <c r="J93"/>
  <c r="J87"/>
  <c r="I63" i="2767"/>
  <c r="I64"/>
  <c r="J90" i="2762"/>
  <c r="J84"/>
  <c r="J89" i="2764"/>
  <c r="J83"/>
  <c r="J90" i="2763"/>
  <c r="J84"/>
  <c r="I64" i="2761"/>
  <c r="I63"/>
  <c r="J93" i="2759"/>
  <c r="J87"/>
  <c r="J84" i="2761"/>
  <c r="J90"/>
  <c r="J86" i="2766"/>
  <c r="J92"/>
  <c r="I63" i="2763"/>
  <c r="I65" s="1"/>
  <c r="J59" s="1"/>
  <c r="I64"/>
  <c r="J93" i="2758"/>
  <c r="J87"/>
  <c r="J90" i="2767"/>
  <c r="J84"/>
  <c r="J96"/>
  <c r="J168" i="2772"/>
  <c r="J193" s="1"/>
  <c r="F180" i="2759"/>
  <c r="F180" i="2769"/>
  <c r="F180" i="2770"/>
  <c r="F180" i="2760"/>
  <c r="F180" i="2762"/>
  <c r="F180" i="2763"/>
  <c r="F180" i="2768"/>
  <c r="I168" i="2764"/>
  <c r="C32" i="9"/>
  <c r="C37" s="1"/>
  <c r="A19" i="4"/>
  <c r="A22" s="1"/>
  <c r="J99" i="2763" l="1"/>
  <c r="J97" i="2758"/>
  <c r="J95" i="2761"/>
  <c r="J95" i="2768"/>
  <c r="J95" i="2763"/>
  <c r="J96" i="2760"/>
  <c r="J98" i="2771"/>
  <c r="J99" i="2757"/>
  <c r="I97" i="2762"/>
  <c r="J73" s="1"/>
  <c r="I65" i="2761"/>
  <c r="J59" s="1"/>
  <c r="J95" i="2764"/>
  <c r="J96" i="2762"/>
  <c r="J96" i="2770"/>
  <c r="I65" i="2758"/>
  <c r="J59" s="1"/>
  <c r="J95" i="2765"/>
  <c r="J97" i="2764"/>
  <c r="J97" i="2759"/>
  <c r="J96" i="2757"/>
  <c r="J97" i="2771"/>
  <c r="I65" i="2757"/>
  <c r="J59" s="1"/>
  <c r="J95" i="2770"/>
  <c r="J98" i="2761"/>
  <c r="I65" i="2771"/>
  <c r="J59" s="1"/>
  <c r="J95" i="2767"/>
  <c r="J98" i="2769"/>
  <c r="J99"/>
  <c r="J97" i="2760"/>
  <c r="J96" i="2768"/>
  <c r="J95" i="2760"/>
  <c r="J96" i="2761"/>
  <c r="J99" i="2759"/>
  <c r="I65" i="2767"/>
  <c r="J59" s="1"/>
  <c r="J99" i="2761"/>
  <c r="J96" i="2758"/>
  <c r="J99" i="2772"/>
  <c r="I65" i="2770"/>
  <c r="J59" s="1"/>
  <c r="J99" i="2764"/>
  <c r="J96" i="2769"/>
  <c r="J95" i="2766"/>
  <c r="I98" i="2772"/>
  <c r="J74" s="1"/>
  <c r="J96" i="2765"/>
  <c r="J98" i="2768"/>
  <c r="J99" i="2760"/>
  <c r="J99" i="2765"/>
  <c r="J98" i="2767"/>
  <c r="J97" i="2772"/>
  <c r="I96" i="2766"/>
  <c r="J72" s="1"/>
  <c r="J98" i="2760"/>
  <c r="J96" i="2764"/>
  <c r="J97" i="2763"/>
  <c r="J98" i="2765"/>
  <c r="I65" i="2768"/>
  <c r="J59" s="1"/>
  <c r="J99" i="2762"/>
  <c r="J96" i="2759"/>
  <c r="J99" i="2758"/>
  <c r="J98" i="2766"/>
  <c r="J96" i="2763"/>
  <c r="J99" i="2770"/>
  <c r="J97"/>
  <c r="I65" i="2764"/>
  <c r="J59" s="1"/>
  <c r="I65" i="2765"/>
  <c r="J59" s="1"/>
  <c r="G94" i="2768"/>
  <c r="G94" i="2757"/>
  <c r="J97" i="2768"/>
  <c r="I65" i="2759"/>
  <c r="J59" s="1"/>
  <c r="J98"/>
  <c r="I95"/>
  <c r="J71" s="1"/>
  <c r="J98" i="2770"/>
  <c r="J95" i="2758"/>
  <c r="I65" i="2769"/>
  <c r="J59" s="1"/>
  <c r="J97" i="2765"/>
  <c r="J97" i="2766"/>
  <c r="J98" i="2757"/>
  <c r="J99" i="2771"/>
  <c r="I65" i="2762"/>
  <c r="J59" s="1"/>
  <c r="J64" s="1"/>
  <c r="I65" i="2772"/>
  <c r="J59" s="1"/>
  <c r="J97" i="2767"/>
  <c r="J97" i="2769"/>
  <c r="J64" i="2764"/>
  <c r="J63"/>
  <c r="J63" i="2765"/>
  <c r="J64"/>
  <c r="J64" i="2759"/>
  <c r="J63"/>
  <c r="J89"/>
  <c r="J83"/>
  <c r="J95" s="1"/>
  <c r="J63" i="2769"/>
  <c r="J64"/>
  <c r="J63" i="2762"/>
  <c r="J63" i="2772"/>
  <c r="J64"/>
  <c r="J63" i="2763"/>
  <c r="J64"/>
  <c r="J65" s="1"/>
  <c r="J63" i="2758"/>
  <c r="J64"/>
  <c r="J64" i="2770"/>
  <c r="J63"/>
  <c r="J92" i="2763"/>
  <c r="J86"/>
  <c r="J86" i="2758"/>
  <c r="J92"/>
  <c r="J64" i="2757"/>
  <c r="J63"/>
  <c r="J63" i="2768"/>
  <c r="J64"/>
  <c r="J90" i="2772"/>
  <c r="J84"/>
  <c r="G179" i="2758"/>
  <c r="G183"/>
  <c r="G184" s="1"/>
  <c r="H70" i="2768"/>
  <c r="G103"/>
  <c r="G146" s="1"/>
  <c r="G148" s="1"/>
  <c r="G103" i="2757"/>
  <c r="G146" s="1"/>
  <c r="G148" s="1"/>
  <c r="H70"/>
  <c r="G151"/>
  <c r="G152" s="1"/>
  <c r="G173" s="1"/>
  <c r="G171"/>
  <c r="J92" i="2772"/>
  <c r="J86"/>
  <c r="J64" i="2766"/>
  <c r="J63"/>
  <c r="I193" i="2765"/>
  <c r="J165"/>
  <c r="G103" i="2762"/>
  <c r="G146" s="1"/>
  <c r="G148" s="1"/>
  <c r="H70"/>
  <c r="G100" i="2771"/>
  <c r="G143" s="1"/>
  <c r="G82"/>
  <c r="G101" s="1"/>
  <c r="G144" s="1"/>
  <c r="G174" s="1"/>
  <c r="G88"/>
  <c r="G102" s="1"/>
  <c r="G145" s="1"/>
  <c r="G88" i="2767"/>
  <c r="G102" s="1"/>
  <c r="G145" s="1"/>
  <c r="G100"/>
  <c r="G143" s="1"/>
  <c r="G82"/>
  <c r="G101" s="1"/>
  <c r="G144" s="1"/>
  <c r="G174" s="1"/>
  <c r="J165" i="2761"/>
  <c r="I193"/>
  <c r="H70" i="2769"/>
  <c r="G103"/>
  <c r="G146" s="1"/>
  <c r="G148" s="1"/>
  <c r="G103" i="2759"/>
  <c r="G146" s="1"/>
  <c r="G148" s="1"/>
  <c r="H70"/>
  <c r="G103" i="2764"/>
  <c r="G146" s="1"/>
  <c r="G148" s="1"/>
  <c r="H70"/>
  <c r="J91" i="2757"/>
  <c r="J85"/>
  <c r="G100" i="2766"/>
  <c r="G143" s="1"/>
  <c r="G82"/>
  <c r="G101" s="1"/>
  <c r="G144" s="1"/>
  <c r="G174" s="1"/>
  <c r="G88"/>
  <c r="G102" s="1"/>
  <c r="G145" s="1"/>
  <c r="I193" i="2762"/>
  <c r="J165"/>
  <c r="J168" s="1"/>
  <c r="J193" s="1"/>
  <c r="G100" i="2760"/>
  <c r="G143" s="1"/>
  <c r="G82"/>
  <c r="G101" s="1"/>
  <c r="G144" s="1"/>
  <c r="G174" s="1"/>
  <c r="G88"/>
  <c r="G102" s="1"/>
  <c r="G145" s="1"/>
  <c r="G100" i="2770"/>
  <c r="G143" s="1"/>
  <c r="G82"/>
  <c r="G101" s="1"/>
  <c r="G144" s="1"/>
  <c r="G174" s="1"/>
  <c r="G88"/>
  <c r="G102" s="1"/>
  <c r="G145" s="1"/>
  <c r="I193" i="2759"/>
  <c r="J165"/>
  <c r="G100" i="2765"/>
  <c r="G143" s="1"/>
  <c r="G82"/>
  <c r="G101" s="1"/>
  <c r="G144" s="1"/>
  <c r="G174" s="1"/>
  <c r="G88"/>
  <c r="G102" s="1"/>
  <c r="G145" s="1"/>
  <c r="J90" i="2766"/>
  <c r="J84"/>
  <c r="J91" i="2762"/>
  <c r="J85"/>
  <c r="J64" i="2771"/>
  <c r="J63"/>
  <c r="J65"/>
  <c r="J63" i="2760"/>
  <c r="J64"/>
  <c r="J65" s="1"/>
  <c r="J168" i="2757"/>
  <c r="J193" s="1"/>
  <c r="J168" i="2765"/>
  <c r="J193" s="1"/>
  <c r="J168" i="2767"/>
  <c r="J193" s="1"/>
  <c r="J168" i="2760"/>
  <c r="J193" s="1"/>
  <c r="J64" i="2761"/>
  <c r="J63"/>
  <c r="J65" s="1"/>
  <c r="J64" i="2767"/>
  <c r="J63"/>
  <c r="J65" s="1"/>
  <c r="I193" i="2764"/>
  <c r="J165"/>
  <c r="J168" s="1"/>
  <c r="J193" s="1"/>
  <c r="G151" i="2758"/>
  <c r="G152" s="1"/>
  <c r="G173" s="1"/>
  <c r="G171"/>
  <c r="G183" i="2768"/>
  <c r="G184" s="1"/>
  <c r="G179"/>
  <c r="G171"/>
  <c r="G151"/>
  <c r="G152" s="1"/>
  <c r="G173" s="1"/>
  <c r="G179" i="2757"/>
  <c r="G183"/>
  <c r="G184" s="1"/>
  <c r="J165" i="2758"/>
  <c r="J168" s="1"/>
  <c r="J193" s="1"/>
  <c r="I193"/>
  <c r="G183" i="2762"/>
  <c r="G184" s="1"/>
  <c r="G179"/>
  <c r="G171"/>
  <c r="G151"/>
  <c r="G152" s="1"/>
  <c r="G173" s="1"/>
  <c r="G88" i="2772"/>
  <c r="G102" s="1"/>
  <c r="G145" s="1"/>
  <c r="G100"/>
  <c r="G143" s="1"/>
  <c r="G82"/>
  <c r="G101" s="1"/>
  <c r="G144" s="1"/>
  <c r="G174" s="1"/>
  <c r="J165" i="2763"/>
  <c r="J168" s="1"/>
  <c r="J193" s="1"/>
  <c r="I193"/>
  <c r="I193" i="2770"/>
  <c r="J165"/>
  <c r="J168" s="1"/>
  <c r="J193" s="1"/>
  <c r="J93" i="2768"/>
  <c r="J87"/>
  <c r="G179" i="2769"/>
  <c r="G183"/>
  <c r="G184" s="1"/>
  <c r="G151"/>
  <c r="G152" s="1"/>
  <c r="G173" s="1"/>
  <c r="G171"/>
  <c r="G183" i="2759"/>
  <c r="G184" s="1"/>
  <c r="G179"/>
  <c r="G171"/>
  <c r="G151"/>
  <c r="G152" s="1"/>
  <c r="G173" s="1"/>
  <c r="G183" i="2764"/>
  <c r="G184" s="1"/>
  <c r="G179"/>
  <c r="G171"/>
  <c r="G151"/>
  <c r="G152" s="1"/>
  <c r="G173" s="1"/>
  <c r="G100" i="2763"/>
  <c r="G143" s="1"/>
  <c r="G82"/>
  <c r="G101" s="1"/>
  <c r="G144" s="1"/>
  <c r="G174" s="1"/>
  <c r="G88"/>
  <c r="G102" s="1"/>
  <c r="G145" s="1"/>
  <c r="J165" i="2766"/>
  <c r="J168" s="1"/>
  <c r="J193" s="1"/>
  <c r="I193"/>
  <c r="G100" i="2761"/>
  <c r="G143" s="1"/>
  <c r="G82"/>
  <c r="G101" s="1"/>
  <c r="G144" s="1"/>
  <c r="G174" s="1"/>
  <c r="G88"/>
  <c r="G102" s="1"/>
  <c r="G145" s="1"/>
  <c r="G94" i="2758"/>
  <c r="I140" i="2759"/>
  <c r="J135" s="1"/>
  <c r="J168" i="2761"/>
  <c r="J193" s="1"/>
  <c r="A25" i="4"/>
  <c r="A27" s="1"/>
  <c r="A29" s="1"/>
  <c r="A31" s="1"/>
  <c r="D32" i="9"/>
  <c r="C11"/>
  <c r="C17" s="1"/>
  <c r="J65" i="2769" l="1"/>
  <c r="J98" i="2758"/>
  <c r="J98" i="2772"/>
  <c r="J65" i="2768"/>
  <c r="J65" i="2757"/>
  <c r="J65" i="2762"/>
  <c r="J99" i="2768"/>
  <c r="J97" i="2757"/>
  <c r="J65" i="2766"/>
  <c r="J65" i="2770"/>
  <c r="J65" i="2758"/>
  <c r="J65" i="2765"/>
  <c r="J65" i="2764"/>
  <c r="G178"/>
  <c r="G180" s="1"/>
  <c r="G178" i="2759"/>
  <c r="G180" s="1"/>
  <c r="G94" i="2772"/>
  <c r="G178" i="2758"/>
  <c r="G180" s="1"/>
  <c r="J96" i="2766"/>
  <c r="G94" i="2765"/>
  <c r="G94" i="2770"/>
  <c r="G94" i="2760"/>
  <c r="G94" i="2766"/>
  <c r="J96" i="2772"/>
  <c r="J98" i="2763"/>
  <c r="J65" i="2772"/>
  <c r="J65" i="2759"/>
  <c r="G103" i="2758"/>
  <c r="G146" s="1"/>
  <c r="G148" s="1"/>
  <c r="H70"/>
  <c r="G171" i="2761"/>
  <c r="G151"/>
  <c r="G152" s="1"/>
  <c r="G173" s="1"/>
  <c r="G179" i="2763"/>
  <c r="G183"/>
  <c r="G184" s="1"/>
  <c r="G151"/>
  <c r="G152" s="1"/>
  <c r="G173" s="1"/>
  <c r="G171"/>
  <c r="J139" i="2759"/>
  <c r="J147" s="1"/>
  <c r="J162" s="1"/>
  <c r="J166" s="1"/>
  <c r="G179" i="2772"/>
  <c r="G183"/>
  <c r="G184" s="1"/>
  <c r="G183" i="2765"/>
  <c r="G184" s="1"/>
  <c r="G179"/>
  <c r="G171"/>
  <c r="G151"/>
  <c r="G152" s="1"/>
  <c r="G173" s="1"/>
  <c r="G179" i="2770"/>
  <c r="G183"/>
  <c r="G184" s="1"/>
  <c r="G151"/>
  <c r="G152" s="1"/>
  <c r="G173" s="1"/>
  <c r="G171"/>
  <c r="G183" i="2760"/>
  <c r="G184" s="1"/>
  <c r="G179"/>
  <c r="G171"/>
  <c r="G151"/>
  <c r="G152" s="1"/>
  <c r="G173" s="1"/>
  <c r="G183" i="2766"/>
  <c r="G184" s="1"/>
  <c r="G179"/>
  <c r="G171"/>
  <c r="G151"/>
  <c r="G152" s="1"/>
  <c r="G173" s="1"/>
  <c r="H88" i="2764"/>
  <c r="H102" s="1"/>
  <c r="H145" s="1"/>
  <c r="H100"/>
  <c r="H143" s="1"/>
  <c r="H82"/>
  <c r="H101" s="1"/>
  <c r="H144" s="1"/>
  <c r="H174" s="1"/>
  <c r="H100" i="2759"/>
  <c r="H143" s="1"/>
  <c r="H82"/>
  <c r="H101" s="1"/>
  <c r="H144" s="1"/>
  <c r="H174" s="1"/>
  <c r="H88"/>
  <c r="H102" s="1"/>
  <c r="H145" s="1"/>
  <c r="G171" i="2767"/>
  <c r="G151"/>
  <c r="G152" s="1"/>
  <c r="G173" s="1"/>
  <c r="H100" i="2762"/>
  <c r="H143" s="1"/>
  <c r="H82"/>
  <c r="H101" s="1"/>
  <c r="H144" s="1"/>
  <c r="H174" s="1"/>
  <c r="H88"/>
  <c r="H102" s="1"/>
  <c r="H145" s="1"/>
  <c r="H100" i="2757"/>
  <c r="H143" s="1"/>
  <c r="H82"/>
  <c r="H101" s="1"/>
  <c r="H144" s="1"/>
  <c r="H174" s="1"/>
  <c r="H88"/>
  <c r="H102" s="1"/>
  <c r="H145" s="1"/>
  <c r="G94" i="2761"/>
  <c r="G94" i="2763"/>
  <c r="G178" i="2769"/>
  <c r="G180" s="1"/>
  <c r="G178" i="2762"/>
  <c r="G180" s="1"/>
  <c r="G178" i="2768"/>
  <c r="G180" s="1"/>
  <c r="J97" i="2762"/>
  <c r="G94" i="2767"/>
  <c r="G94" i="2771"/>
  <c r="G178" i="2757"/>
  <c r="G180" s="1"/>
  <c r="G183" i="2761"/>
  <c r="G184" s="1"/>
  <c r="G179"/>
  <c r="H70" i="2772"/>
  <c r="G103"/>
  <c r="G146" s="1"/>
  <c r="G148" s="1"/>
  <c r="G151"/>
  <c r="G152" s="1"/>
  <c r="G173" s="1"/>
  <c r="G171"/>
  <c r="H70" i="2765"/>
  <c r="G103"/>
  <c r="G146" s="1"/>
  <c r="G148" s="1"/>
  <c r="G103" i="2770"/>
  <c r="G146" s="1"/>
  <c r="G148" s="1"/>
  <c r="H70"/>
  <c r="H70" i="2760"/>
  <c r="G103"/>
  <c r="G146" s="1"/>
  <c r="G148" s="1"/>
  <c r="H70" i="2766"/>
  <c r="G103"/>
  <c r="G146" s="1"/>
  <c r="G148" s="1"/>
  <c r="H88" i="2769"/>
  <c r="H102" s="1"/>
  <c r="H145" s="1"/>
  <c r="H100"/>
  <c r="H143" s="1"/>
  <c r="H82"/>
  <c r="H101" s="1"/>
  <c r="H144" s="1"/>
  <c r="H174" s="1"/>
  <c r="G183" i="2767"/>
  <c r="G184" s="1"/>
  <c r="G179"/>
  <c r="G179" i="2771"/>
  <c r="G183"/>
  <c r="G184" s="1"/>
  <c r="G151"/>
  <c r="G152" s="1"/>
  <c r="G173" s="1"/>
  <c r="G171"/>
  <c r="H88" i="2768"/>
  <c r="H102" s="1"/>
  <c r="H145" s="1"/>
  <c r="H100"/>
  <c r="H143" s="1"/>
  <c r="H82"/>
  <c r="H101" s="1"/>
  <c r="H144" s="1"/>
  <c r="H174" s="1"/>
  <c r="J168" i="2759"/>
  <c r="J193" s="1"/>
  <c r="C16" i="9"/>
  <c r="C13"/>
  <c r="C15"/>
  <c r="C14"/>
  <c r="H94" i="2768" l="1"/>
  <c r="G178" i="2771"/>
  <c r="G180" s="1"/>
  <c r="H94" i="2769"/>
  <c r="G178" i="2772"/>
  <c r="G178" i="2761"/>
  <c r="G180" s="1"/>
  <c r="G178" i="2767"/>
  <c r="G178" i="2766"/>
  <c r="G180" s="1"/>
  <c r="G178" i="2760"/>
  <c r="G178" i="2765"/>
  <c r="I70" i="2769"/>
  <c r="H103"/>
  <c r="H146" s="1"/>
  <c r="H148" s="1"/>
  <c r="H70" i="2767"/>
  <c r="G103"/>
  <c r="G146" s="1"/>
  <c r="G148" s="1"/>
  <c r="H70" i="2761"/>
  <c r="G103"/>
  <c r="G146" s="1"/>
  <c r="G148" s="1"/>
  <c r="H179" i="2757"/>
  <c r="H183"/>
  <c r="H184" s="1"/>
  <c r="H171"/>
  <c r="H151"/>
  <c r="H152" s="1"/>
  <c r="H173" s="1"/>
  <c r="H179" i="2762"/>
  <c r="H183"/>
  <c r="H184" s="1"/>
  <c r="H151"/>
  <c r="H152" s="1"/>
  <c r="H173" s="1"/>
  <c r="H171"/>
  <c r="H178" s="1"/>
  <c r="H183" i="2759"/>
  <c r="H184" s="1"/>
  <c r="H179"/>
  <c r="H171"/>
  <c r="H151"/>
  <c r="H152" s="1"/>
  <c r="H173" s="1"/>
  <c r="H183" i="2764"/>
  <c r="H184" s="1"/>
  <c r="H179"/>
  <c r="G180" i="2767"/>
  <c r="G180" i="2772"/>
  <c r="I70" i="2768"/>
  <c r="H103"/>
  <c r="H146" s="1"/>
  <c r="H148" s="1"/>
  <c r="H151"/>
  <c r="H152" s="1"/>
  <c r="H173" s="1"/>
  <c r="H171"/>
  <c r="H178" s="1"/>
  <c r="H151" i="2769"/>
  <c r="H152" s="1"/>
  <c r="H173" s="1"/>
  <c r="H171"/>
  <c r="H178" s="1"/>
  <c r="H180" s="1"/>
  <c r="H88" i="2770"/>
  <c r="H102" s="1"/>
  <c r="H145" s="1"/>
  <c r="H100"/>
  <c r="H143" s="1"/>
  <c r="H82"/>
  <c r="H101" s="1"/>
  <c r="H144" s="1"/>
  <c r="H174" s="1"/>
  <c r="H94"/>
  <c r="H179" i="2768"/>
  <c r="H183"/>
  <c r="H184" s="1"/>
  <c r="H179" i="2769"/>
  <c r="H183"/>
  <c r="H184" s="1"/>
  <c r="H88" i="2766"/>
  <c r="H102" s="1"/>
  <c r="H145" s="1"/>
  <c r="H100"/>
  <c r="H143" s="1"/>
  <c r="H82"/>
  <c r="H101" s="1"/>
  <c r="H144" s="1"/>
  <c r="H174" s="1"/>
  <c r="H94"/>
  <c r="H100" i="2760"/>
  <c r="H143" s="1"/>
  <c r="H82"/>
  <c r="H101" s="1"/>
  <c r="H144" s="1"/>
  <c r="H174" s="1"/>
  <c r="H88"/>
  <c r="H102" s="1"/>
  <c r="H145" s="1"/>
  <c r="H94"/>
  <c r="H88" i="2765"/>
  <c r="H102" s="1"/>
  <c r="H145" s="1"/>
  <c r="H100"/>
  <c r="H143" s="1"/>
  <c r="H82"/>
  <c r="H101" s="1"/>
  <c r="H144" s="1"/>
  <c r="H174" s="1"/>
  <c r="H94"/>
  <c r="H100" i="2772"/>
  <c r="H143" s="1"/>
  <c r="H82"/>
  <c r="H101" s="1"/>
  <c r="H144" s="1"/>
  <c r="H174" s="1"/>
  <c r="H88"/>
  <c r="H102" s="1"/>
  <c r="H145" s="1"/>
  <c r="H94"/>
  <c r="G103" i="2771"/>
  <c r="G146" s="1"/>
  <c r="G148" s="1"/>
  <c r="H70"/>
  <c r="G103" i="2763"/>
  <c r="G146" s="1"/>
  <c r="G148" s="1"/>
  <c r="H70"/>
  <c r="H171" i="2764"/>
  <c r="H151"/>
  <c r="H152" s="1"/>
  <c r="H173" s="1"/>
  <c r="H88" i="2758"/>
  <c r="H102" s="1"/>
  <c r="H145" s="1"/>
  <c r="H82"/>
  <c r="H101" s="1"/>
  <c r="H144" s="1"/>
  <c r="H174" s="1"/>
  <c r="H100"/>
  <c r="H143" s="1"/>
  <c r="H94"/>
  <c r="H94" i="2757"/>
  <c r="H94" i="2762"/>
  <c r="H94" i="2759"/>
  <c r="H94" i="2764"/>
  <c r="G180" i="2760"/>
  <c r="G178" i="2770"/>
  <c r="G180" s="1"/>
  <c r="G180" i="2765"/>
  <c r="J140" i="2759"/>
  <c r="G178" i="2763"/>
  <c r="G180" s="1"/>
  <c r="E32" i="9"/>
  <c r="F32" s="1"/>
  <c r="G32" s="1"/>
  <c r="H32" s="1"/>
  <c r="I32" s="1"/>
  <c r="J32" s="1"/>
  <c r="K32" s="1"/>
  <c r="L32" s="1"/>
  <c r="M32" s="1"/>
  <c r="N32" s="1"/>
  <c r="O32" s="1"/>
  <c r="H103" i="2759" l="1"/>
  <c r="H146" s="1"/>
  <c r="H148" s="1"/>
  <c r="I70"/>
  <c r="H103" i="2757"/>
  <c r="H146" s="1"/>
  <c r="H148" s="1"/>
  <c r="I70"/>
  <c r="H151" i="2758"/>
  <c r="H152" s="1"/>
  <c r="H173" s="1"/>
  <c r="H171"/>
  <c r="H179"/>
  <c r="H183"/>
  <c r="H184" s="1"/>
  <c r="H179" i="2772"/>
  <c r="H183"/>
  <c r="H184" s="1"/>
  <c r="H171"/>
  <c r="H151"/>
  <c r="H152" s="1"/>
  <c r="H173" s="1"/>
  <c r="H179" i="2765"/>
  <c r="H183"/>
  <c r="H184" s="1"/>
  <c r="H179" i="2760"/>
  <c r="H183"/>
  <c r="H184" s="1"/>
  <c r="H151"/>
  <c r="H152" s="1"/>
  <c r="H173" s="1"/>
  <c r="H171"/>
  <c r="H183" i="2766"/>
  <c r="H184" s="1"/>
  <c r="H179"/>
  <c r="H183" i="2770"/>
  <c r="H184" s="1"/>
  <c r="H179"/>
  <c r="I88" i="2768"/>
  <c r="I102" s="1"/>
  <c r="I145" s="1"/>
  <c r="I100"/>
  <c r="I143" s="1"/>
  <c r="I82"/>
  <c r="I101" s="1"/>
  <c r="I144" s="1"/>
  <c r="I174" s="1"/>
  <c r="H88" i="2761"/>
  <c r="H102" s="1"/>
  <c r="H145" s="1"/>
  <c r="H100"/>
  <c r="H143" s="1"/>
  <c r="H82"/>
  <c r="H101" s="1"/>
  <c r="H144" s="1"/>
  <c r="H174" s="1"/>
  <c r="H100" i="2767"/>
  <c r="H143" s="1"/>
  <c r="H82"/>
  <c r="H101" s="1"/>
  <c r="H144" s="1"/>
  <c r="H174" s="1"/>
  <c r="H88"/>
  <c r="H102" s="1"/>
  <c r="H145" s="1"/>
  <c r="I88" i="2769"/>
  <c r="I102" s="1"/>
  <c r="I145" s="1"/>
  <c r="I100"/>
  <c r="I143" s="1"/>
  <c r="I82"/>
  <c r="I101" s="1"/>
  <c r="I144" s="1"/>
  <c r="I174" s="1"/>
  <c r="H178" i="2764"/>
  <c r="H180" i="2768"/>
  <c r="H178" i="2759"/>
  <c r="H180" i="2762"/>
  <c r="H178" i="2757"/>
  <c r="H180" s="1"/>
  <c r="H103" i="2764"/>
  <c r="H146" s="1"/>
  <c r="H148" s="1"/>
  <c r="I70"/>
  <c r="H103" i="2762"/>
  <c r="H146" s="1"/>
  <c r="H148" s="1"/>
  <c r="I70"/>
  <c r="I70" i="2758"/>
  <c r="H103"/>
  <c r="H146" s="1"/>
  <c r="H148" s="1"/>
  <c r="H100" i="2763"/>
  <c r="H143" s="1"/>
  <c r="H82"/>
  <c r="H101" s="1"/>
  <c r="H144" s="1"/>
  <c r="H174" s="1"/>
  <c r="H88"/>
  <c r="H102" s="1"/>
  <c r="H145" s="1"/>
  <c r="H100" i="2771"/>
  <c r="H143" s="1"/>
  <c r="H82"/>
  <c r="H101" s="1"/>
  <c r="H144" s="1"/>
  <c r="H174" s="1"/>
  <c r="H88"/>
  <c r="H102" s="1"/>
  <c r="H145" s="1"/>
  <c r="I70" i="2772"/>
  <c r="H103"/>
  <c r="H146" s="1"/>
  <c r="H148" s="1"/>
  <c r="I70" i="2765"/>
  <c r="H103"/>
  <c r="H146" s="1"/>
  <c r="H148" s="1"/>
  <c r="H151"/>
  <c r="H152" s="1"/>
  <c r="H173" s="1"/>
  <c r="H171"/>
  <c r="I70" i="2760"/>
  <c r="H103"/>
  <c r="H146" s="1"/>
  <c r="H148" s="1"/>
  <c r="I70" i="2766"/>
  <c r="H103"/>
  <c r="H146" s="1"/>
  <c r="H148" s="1"/>
  <c r="H171"/>
  <c r="H151"/>
  <c r="H152" s="1"/>
  <c r="H173" s="1"/>
  <c r="H103" i="2770"/>
  <c r="H146" s="1"/>
  <c r="H148" s="1"/>
  <c r="I70"/>
  <c r="H171"/>
  <c r="H151"/>
  <c r="H152" s="1"/>
  <c r="H173" s="1"/>
  <c r="H180" i="2764"/>
  <c r="H180" i="2759"/>
  <c r="C34" i="9"/>
  <c r="H178" i="2765" l="1"/>
  <c r="H180" s="1"/>
  <c r="H94" i="2771"/>
  <c r="H94" i="2763"/>
  <c r="H178" i="2772"/>
  <c r="H180" s="1"/>
  <c r="I100" i="2770"/>
  <c r="I143" s="1"/>
  <c r="I82"/>
  <c r="I101" s="1"/>
  <c r="I144" s="1"/>
  <c r="I174" s="1"/>
  <c r="I88"/>
  <c r="I102" s="1"/>
  <c r="I145" s="1"/>
  <c r="I94"/>
  <c r="H103" i="2771"/>
  <c r="H146" s="1"/>
  <c r="H148" s="1"/>
  <c r="I70"/>
  <c r="H103" i="2763"/>
  <c r="H146" s="1"/>
  <c r="H148" s="1"/>
  <c r="I70"/>
  <c r="I100" i="2762"/>
  <c r="I143" s="1"/>
  <c r="I82"/>
  <c r="I101" s="1"/>
  <c r="I144" s="1"/>
  <c r="I174" s="1"/>
  <c r="I88"/>
  <c r="I102" s="1"/>
  <c r="I145" s="1"/>
  <c r="I88" i="2764"/>
  <c r="I102" s="1"/>
  <c r="I145" s="1"/>
  <c r="I100"/>
  <c r="I143" s="1"/>
  <c r="I82"/>
  <c r="I101" s="1"/>
  <c r="I144" s="1"/>
  <c r="I174" s="1"/>
  <c r="I179" i="2769"/>
  <c r="I183"/>
  <c r="I184" s="1"/>
  <c r="H183" i="2767"/>
  <c r="H184" s="1"/>
  <c r="H179"/>
  <c r="H171"/>
  <c r="H151"/>
  <c r="H152" s="1"/>
  <c r="H173" s="1"/>
  <c r="H183" i="2761"/>
  <c r="H184" s="1"/>
  <c r="H179"/>
  <c r="I179" i="2768"/>
  <c r="I183"/>
  <c r="I184" s="1"/>
  <c r="I88" i="2766"/>
  <c r="I102" s="1"/>
  <c r="I145" s="1"/>
  <c r="I100"/>
  <c r="I143" s="1"/>
  <c r="I82"/>
  <c r="I101" s="1"/>
  <c r="I144" s="1"/>
  <c r="I174" s="1"/>
  <c r="I88" i="2760"/>
  <c r="I102" s="1"/>
  <c r="I145" s="1"/>
  <c r="I100"/>
  <c r="I143" s="1"/>
  <c r="I82"/>
  <c r="I101" s="1"/>
  <c r="I144" s="1"/>
  <c r="I174" s="1"/>
  <c r="I100" i="2765"/>
  <c r="I143" s="1"/>
  <c r="I82"/>
  <c r="I101" s="1"/>
  <c r="I144" s="1"/>
  <c r="I174" s="1"/>
  <c r="I88"/>
  <c r="I102" s="1"/>
  <c r="I145" s="1"/>
  <c r="I100" i="2772"/>
  <c r="I143" s="1"/>
  <c r="I82"/>
  <c r="I101" s="1"/>
  <c r="I144" s="1"/>
  <c r="I174" s="1"/>
  <c r="I88"/>
  <c r="I102" s="1"/>
  <c r="I145" s="1"/>
  <c r="H179" i="2771"/>
  <c r="H183"/>
  <c r="H184" s="1"/>
  <c r="H151"/>
  <c r="H152" s="1"/>
  <c r="H173" s="1"/>
  <c r="H171"/>
  <c r="H179" i="2763"/>
  <c r="H183"/>
  <c r="H184" s="1"/>
  <c r="H151"/>
  <c r="H152" s="1"/>
  <c r="H173" s="1"/>
  <c r="H171"/>
  <c r="I88" i="2758"/>
  <c r="I102" s="1"/>
  <c r="I145" s="1"/>
  <c r="I100"/>
  <c r="I143" s="1"/>
  <c r="I82"/>
  <c r="I101" s="1"/>
  <c r="I144" s="1"/>
  <c r="I174" s="1"/>
  <c r="I171" i="2769"/>
  <c r="I151"/>
  <c r="I152" s="1"/>
  <c r="I173" s="1"/>
  <c r="H171" i="2761"/>
  <c r="H151"/>
  <c r="H152" s="1"/>
  <c r="H173" s="1"/>
  <c r="I151" i="2768"/>
  <c r="I152" s="1"/>
  <c r="I173" s="1"/>
  <c r="I171"/>
  <c r="I82" i="2757"/>
  <c r="I101" s="1"/>
  <c r="I144" s="1"/>
  <c r="I174" s="1"/>
  <c r="I88"/>
  <c r="I102" s="1"/>
  <c r="I145" s="1"/>
  <c r="I100"/>
  <c r="I143" s="1"/>
  <c r="I100" i="2759"/>
  <c r="I143" s="1"/>
  <c r="I82"/>
  <c r="I101" s="1"/>
  <c r="I144" s="1"/>
  <c r="I174" s="1"/>
  <c r="I88"/>
  <c r="I102" s="1"/>
  <c r="I145" s="1"/>
  <c r="H178" i="2770"/>
  <c r="H178" i="2766"/>
  <c r="I94" i="2769"/>
  <c r="H94" i="2767"/>
  <c r="H94" i="2761"/>
  <c r="I94" i="2768"/>
  <c r="H180" i="2770"/>
  <c r="H180" i="2766"/>
  <c r="H178" i="2760"/>
  <c r="H180" s="1"/>
  <c r="H178" i="2758"/>
  <c r="H180" s="1"/>
  <c r="C22" i="9"/>
  <c r="H178" i="2767" l="1"/>
  <c r="H180" s="1"/>
  <c r="H178" i="2761"/>
  <c r="H180" s="1"/>
  <c r="I178" i="2769"/>
  <c r="I180" s="1"/>
  <c r="H103" i="2761"/>
  <c r="H146" s="1"/>
  <c r="H148" s="1"/>
  <c r="I70"/>
  <c r="I171" i="2759"/>
  <c r="I178" s="1"/>
  <c r="I151"/>
  <c r="I152" s="1"/>
  <c r="I173" s="1"/>
  <c r="I171" i="2757"/>
  <c r="I178" s="1"/>
  <c r="I151"/>
  <c r="I152" s="1"/>
  <c r="I173" s="1"/>
  <c r="I179" i="2758"/>
  <c r="I183"/>
  <c r="I184" s="1"/>
  <c r="I183" i="2772"/>
  <c r="I184" s="1"/>
  <c r="I179"/>
  <c r="I171"/>
  <c r="I178" s="1"/>
  <c r="I180" s="1"/>
  <c r="I151"/>
  <c r="I152" s="1"/>
  <c r="I173" s="1"/>
  <c r="I183" i="2765"/>
  <c r="I184" s="1"/>
  <c r="I179"/>
  <c r="I171"/>
  <c r="I178" s="1"/>
  <c r="I180" s="1"/>
  <c r="I151"/>
  <c r="I152" s="1"/>
  <c r="I173" s="1"/>
  <c r="I179" i="2760"/>
  <c r="I183"/>
  <c r="I184" s="1"/>
  <c r="I179" i="2766"/>
  <c r="I183"/>
  <c r="I184" s="1"/>
  <c r="I179" i="2764"/>
  <c r="I183"/>
  <c r="I184" s="1"/>
  <c r="I179" i="2762"/>
  <c r="I183"/>
  <c r="I184" s="1"/>
  <c r="I151"/>
  <c r="I152" s="1"/>
  <c r="I173" s="1"/>
  <c r="I171"/>
  <c r="I183" i="2770"/>
  <c r="I184" s="1"/>
  <c r="I179"/>
  <c r="I171"/>
  <c r="I178" s="1"/>
  <c r="I180" s="1"/>
  <c r="I151"/>
  <c r="I152" s="1"/>
  <c r="I173" s="1"/>
  <c r="J70" i="2769"/>
  <c r="I103"/>
  <c r="I146" s="1"/>
  <c r="I148" s="1"/>
  <c r="I179" i="2759"/>
  <c r="I183"/>
  <c r="I184" s="1"/>
  <c r="J70" i="2768"/>
  <c r="I103"/>
  <c r="I146" s="1"/>
  <c r="I148" s="1"/>
  <c r="H103" i="2767"/>
  <c r="H146" s="1"/>
  <c r="H148" s="1"/>
  <c r="I70"/>
  <c r="I183" i="2757"/>
  <c r="I184" s="1"/>
  <c r="I179"/>
  <c r="I151" i="2758"/>
  <c r="I152" s="1"/>
  <c r="I173" s="1"/>
  <c r="I171"/>
  <c r="I151" i="2760"/>
  <c r="I152" s="1"/>
  <c r="I173" s="1"/>
  <c r="I171"/>
  <c r="I151" i="2766"/>
  <c r="I152" s="1"/>
  <c r="I173" s="1"/>
  <c r="I171"/>
  <c r="I151" i="2764"/>
  <c r="I152" s="1"/>
  <c r="I173" s="1"/>
  <c r="I171"/>
  <c r="I100" i="2763"/>
  <c r="I143" s="1"/>
  <c r="I82"/>
  <c r="I101" s="1"/>
  <c r="I144" s="1"/>
  <c r="I174" s="1"/>
  <c r="I88"/>
  <c r="I102" s="1"/>
  <c r="I145" s="1"/>
  <c r="I100" i="2771"/>
  <c r="I143" s="1"/>
  <c r="I82"/>
  <c r="I101" s="1"/>
  <c r="I144" s="1"/>
  <c r="I174" s="1"/>
  <c r="I88"/>
  <c r="I102" s="1"/>
  <c r="I145" s="1"/>
  <c r="I103" i="2770"/>
  <c r="I146" s="1"/>
  <c r="I148" s="1"/>
  <c r="J70"/>
  <c r="I94" i="2759"/>
  <c r="I94" i="2757"/>
  <c r="I178" i="2768"/>
  <c r="I180" s="1"/>
  <c r="I94" i="2758"/>
  <c r="H178" i="2763"/>
  <c r="H180" s="1"/>
  <c r="H178" i="2771"/>
  <c r="H180" s="1"/>
  <c r="I94" i="2772"/>
  <c r="I94" i="2765"/>
  <c r="I94" i="2760"/>
  <c r="I94" i="2766"/>
  <c r="I94" i="2764"/>
  <c r="I94" i="2762"/>
  <c r="C26" i="9"/>
  <c r="D49" i="2772" s="1"/>
  <c r="C24" i="9"/>
  <c r="D47" i="2772" s="1"/>
  <c r="C25" i="9"/>
  <c r="D48" i="2772" s="1"/>
  <c r="C23" i="9"/>
  <c r="D46" i="2772" s="1"/>
  <c r="I94" i="2771" l="1"/>
  <c r="I94" i="2763"/>
  <c r="I178" i="2764"/>
  <c r="I180" s="1"/>
  <c r="I178" i="2766"/>
  <c r="I180" s="1"/>
  <c r="I178" i="2760"/>
  <c r="I180" s="1"/>
  <c r="I178" i="2758"/>
  <c r="I180" s="1"/>
  <c r="J70" i="2766"/>
  <c r="I103"/>
  <c r="I146" s="1"/>
  <c r="I148" s="1"/>
  <c r="I103" i="2765"/>
  <c r="I146" s="1"/>
  <c r="I148" s="1"/>
  <c r="J70"/>
  <c r="J70" i="2757"/>
  <c r="I103"/>
  <c r="I146" s="1"/>
  <c r="I148" s="1"/>
  <c r="I103" i="2763"/>
  <c r="I146" s="1"/>
  <c r="I148" s="1"/>
  <c r="J70"/>
  <c r="I100" i="2767"/>
  <c r="I143" s="1"/>
  <c r="I82"/>
  <c r="I101" s="1"/>
  <c r="I144" s="1"/>
  <c r="I174" s="1"/>
  <c r="I88"/>
  <c r="I102" s="1"/>
  <c r="I145" s="1"/>
  <c r="I94"/>
  <c r="I180" i="2757"/>
  <c r="I180" i="2759"/>
  <c r="J70" i="2762"/>
  <c r="I103"/>
  <c r="I146" s="1"/>
  <c r="I148" s="1"/>
  <c r="J70" i="2758"/>
  <c r="I103"/>
  <c r="I146" s="1"/>
  <c r="I148" s="1"/>
  <c r="J88" i="2770"/>
  <c r="J102" s="1"/>
  <c r="J145" s="1"/>
  <c r="J100"/>
  <c r="J143" s="1"/>
  <c r="J82"/>
  <c r="J101" s="1"/>
  <c r="J144" s="1"/>
  <c r="J174" s="1"/>
  <c r="J94"/>
  <c r="J103" s="1"/>
  <c r="J146" s="1"/>
  <c r="J148" s="1"/>
  <c r="J70" i="2771"/>
  <c r="I103"/>
  <c r="I146" s="1"/>
  <c r="I148" s="1"/>
  <c r="J70" i="2764"/>
  <c r="I103"/>
  <c r="I146" s="1"/>
  <c r="I148" s="1"/>
  <c r="J70" i="2760"/>
  <c r="I103"/>
  <c r="I146" s="1"/>
  <c r="I148" s="1"/>
  <c r="I103" i="2772"/>
  <c r="I146" s="1"/>
  <c r="I148" s="1"/>
  <c r="J70"/>
  <c r="I103" i="2759"/>
  <c r="I146" s="1"/>
  <c r="I148" s="1"/>
  <c r="J70"/>
  <c r="I179" i="2771"/>
  <c r="I183"/>
  <c r="I184" s="1"/>
  <c r="I151"/>
  <c r="I152" s="1"/>
  <c r="I173" s="1"/>
  <c r="I171"/>
  <c r="I178" s="1"/>
  <c r="I180" s="1"/>
  <c r="I183" i="2763"/>
  <c r="I184" s="1"/>
  <c r="I179"/>
  <c r="I171"/>
  <c r="I151"/>
  <c r="I152" s="1"/>
  <c r="I173" s="1"/>
  <c r="J88" i="2768"/>
  <c r="J102" s="1"/>
  <c r="J145" s="1"/>
  <c r="J100"/>
  <c r="J143" s="1"/>
  <c r="J82"/>
  <c r="J101" s="1"/>
  <c r="J144" s="1"/>
  <c r="J174" s="1"/>
  <c r="J94"/>
  <c r="J103" s="1"/>
  <c r="J146" s="1"/>
  <c r="J148" s="1"/>
  <c r="J100" i="2769"/>
  <c r="J143" s="1"/>
  <c r="J82"/>
  <c r="J101" s="1"/>
  <c r="J144" s="1"/>
  <c r="J174" s="1"/>
  <c r="J88"/>
  <c r="J102" s="1"/>
  <c r="J145" s="1"/>
  <c r="J94"/>
  <c r="J103" s="1"/>
  <c r="J146" s="1"/>
  <c r="J148" s="1"/>
  <c r="I100" i="2761"/>
  <c r="I143" s="1"/>
  <c r="I82"/>
  <c r="I101" s="1"/>
  <c r="I144" s="1"/>
  <c r="I174" s="1"/>
  <c r="I88"/>
  <c r="I102" s="1"/>
  <c r="I145" s="1"/>
  <c r="I94"/>
  <c r="I178" i="2762"/>
  <c r="I180" s="1"/>
  <c r="E175" i="2772"/>
  <c r="F175"/>
  <c r="G175"/>
  <c r="H175"/>
  <c r="I175"/>
  <c r="H190"/>
  <c r="G190"/>
  <c r="F190"/>
  <c r="J190"/>
  <c r="I190"/>
  <c r="E190"/>
  <c r="D46" i="2770"/>
  <c r="H190" s="1"/>
  <c r="D46" i="2771"/>
  <c r="D48" i="2770"/>
  <c r="F175" s="1"/>
  <c r="D48" i="2771"/>
  <c r="D49" i="2770"/>
  <c r="D49" i="2771"/>
  <c r="D47" i="2770"/>
  <c r="D47" i="2771"/>
  <c r="E175" i="2770"/>
  <c r="G190"/>
  <c r="D48" i="2768"/>
  <c r="F175" s="1"/>
  <c r="D48" i="2769"/>
  <c r="D49" i="2768"/>
  <c r="D49" i="2769"/>
  <c r="D46" i="2768"/>
  <c r="I190" s="1"/>
  <c r="D46" i="2769"/>
  <c r="D47" i="2768"/>
  <c r="D47" i="2769"/>
  <c r="E175" i="2768"/>
  <c r="D48" i="2766"/>
  <c r="F175" s="1"/>
  <c r="D48" i="2767"/>
  <c r="D49" i="2766"/>
  <c r="D49" i="2767"/>
  <c r="D46" i="2766"/>
  <c r="I190" s="1"/>
  <c r="D46" i="2767"/>
  <c r="D47" i="2766"/>
  <c r="D47" i="2767"/>
  <c r="E175" i="2766"/>
  <c r="D49" i="2764"/>
  <c r="D49" i="2765"/>
  <c r="D48" i="2764"/>
  <c r="F175" s="1"/>
  <c r="D48" i="2765"/>
  <c r="D46" i="2764"/>
  <c r="F190" s="1"/>
  <c r="D46" i="2765"/>
  <c r="D47" i="2764"/>
  <c r="D47" i="2765"/>
  <c r="E175" i="2764"/>
  <c r="D48" i="2762"/>
  <c r="F175" s="1"/>
  <c r="D48" i="2763"/>
  <c r="D49" i="2762"/>
  <c r="D49" i="2763"/>
  <c r="D46" i="2762"/>
  <c r="J190" s="1"/>
  <c r="D46" i="2763"/>
  <c r="D47" i="2762"/>
  <c r="D47" i="2763"/>
  <c r="E175" i="2762"/>
  <c r="D48" i="2760"/>
  <c r="F175" s="1"/>
  <c r="D48" i="2761"/>
  <c r="D49" i="2760"/>
  <c r="D49" i="2761"/>
  <c r="D46" i="2760"/>
  <c r="H190" s="1"/>
  <c r="D46" i="2761"/>
  <c r="D47" i="2760"/>
  <c r="D47" i="2761"/>
  <c r="E175" i="2760"/>
  <c r="D48" i="2758"/>
  <c r="F175" s="1"/>
  <c r="D48" i="2759"/>
  <c r="D49" i="2758"/>
  <c r="D49" i="2759"/>
  <c r="D46" i="2758"/>
  <c r="I190" s="1"/>
  <c r="D46" i="2759"/>
  <c r="D47" i="2758"/>
  <c r="D47" i="2759"/>
  <c r="E175" i="2758"/>
  <c r="D46" i="2757"/>
  <c r="D48"/>
  <c r="D49"/>
  <c r="D47"/>
  <c r="C12" i="9"/>
  <c r="D37" s="1"/>
  <c r="C27"/>
  <c r="D50" i="2772" s="1"/>
  <c r="F190" i="2766" l="1"/>
  <c r="I183" i="2761"/>
  <c r="I184" s="1"/>
  <c r="I179"/>
  <c r="I171"/>
  <c r="I178" s="1"/>
  <c r="I180" s="1"/>
  <c r="I151"/>
  <c r="I152" s="1"/>
  <c r="I173" s="1"/>
  <c r="J183" i="2769"/>
  <c r="J184" s="1"/>
  <c r="J179"/>
  <c r="J171"/>
  <c r="J178" s="1"/>
  <c r="J180" s="1"/>
  <c r="J151"/>
  <c r="J152" s="1"/>
  <c r="J173" s="1"/>
  <c r="J179" i="2768"/>
  <c r="J183"/>
  <c r="J184" s="1"/>
  <c r="J88" i="2760"/>
  <c r="J102" s="1"/>
  <c r="J145" s="1"/>
  <c r="J100"/>
  <c r="J143" s="1"/>
  <c r="J82"/>
  <c r="J101" s="1"/>
  <c r="J144" s="1"/>
  <c r="J174" s="1"/>
  <c r="J88" i="2764"/>
  <c r="J102" s="1"/>
  <c r="J145" s="1"/>
  <c r="J100"/>
  <c r="J143" s="1"/>
  <c r="J82"/>
  <c r="J101" s="1"/>
  <c r="J144" s="1"/>
  <c r="J174" s="1"/>
  <c r="J100" i="2771"/>
  <c r="J143" s="1"/>
  <c r="J82"/>
  <c r="J101" s="1"/>
  <c r="J144" s="1"/>
  <c r="J174" s="1"/>
  <c r="J88"/>
  <c r="J102" s="1"/>
  <c r="J145" s="1"/>
  <c r="J179" i="2770"/>
  <c r="J183"/>
  <c r="J184" s="1"/>
  <c r="J100" i="2758"/>
  <c r="J143" s="1"/>
  <c r="J82"/>
  <c r="J101" s="1"/>
  <c r="J144" s="1"/>
  <c r="J174" s="1"/>
  <c r="J88"/>
  <c r="J102" s="1"/>
  <c r="J145" s="1"/>
  <c r="J88" i="2762"/>
  <c r="J102" s="1"/>
  <c r="J145" s="1"/>
  <c r="J100"/>
  <c r="J143" s="1"/>
  <c r="J82"/>
  <c r="J101" s="1"/>
  <c r="J144" s="1"/>
  <c r="J174" s="1"/>
  <c r="I183" i="2767"/>
  <c r="I184" s="1"/>
  <c r="I179"/>
  <c r="I171"/>
  <c r="I151"/>
  <c r="I152" s="1"/>
  <c r="I173" s="1"/>
  <c r="J100" i="2757"/>
  <c r="J143" s="1"/>
  <c r="J88"/>
  <c r="J102" s="1"/>
  <c r="J145" s="1"/>
  <c r="J82"/>
  <c r="J101" s="1"/>
  <c r="J144" s="1"/>
  <c r="J174" s="1"/>
  <c r="J88" i="2766"/>
  <c r="J102" s="1"/>
  <c r="J145" s="1"/>
  <c r="J100"/>
  <c r="J143" s="1"/>
  <c r="J82"/>
  <c r="J101" s="1"/>
  <c r="J144" s="1"/>
  <c r="J174" s="1"/>
  <c r="J190" i="2770"/>
  <c r="I190"/>
  <c r="I178" i="2763"/>
  <c r="I180" s="1"/>
  <c r="I103" i="2761"/>
  <c r="I146" s="1"/>
  <c r="I148" s="1"/>
  <c r="J70"/>
  <c r="J151" i="2768"/>
  <c r="J152" s="1"/>
  <c r="J173" s="1"/>
  <c r="J171"/>
  <c r="J100" i="2759"/>
  <c r="J143" s="1"/>
  <c r="J82"/>
  <c r="J101" s="1"/>
  <c r="J144" s="1"/>
  <c r="J174" s="1"/>
  <c r="J88"/>
  <c r="J102" s="1"/>
  <c r="J145" s="1"/>
  <c r="J88" i="2772"/>
  <c r="J102" s="1"/>
  <c r="J145" s="1"/>
  <c r="J100"/>
  <c r="J143" s="1"/>
  <c r="J82"/>
  <c r="J101" s="1"/>
  <c r="J144" s="1"/>
  <c r="J174" s="1"/>
  <c r="J151" i="2770"/>
  <c r="J152" s="1"/>
  <c r="J173" s="1"/>
  <c r="J171"/>
  <c r="I103" i="2767"/>
  <c r="I146" s="1"/>
  <c r="I148" s="1"/>
  <c r="J70"/>
  <c r="J100" i="2763"/>
  <c r="J143" s="1"/>
  <c r="J82"/>
  <c r="J101" s="1"/>
  <c r="J144" s="1"/>
  <c r="J174" s="1"/>
  <c r="J88"/>
  <c r="J102" s="1"/>
  <c r="J145" s="1"/>
  <c r="J100" i="2765"/>
  <c r="J143" s="1"/>
  <c r="J82"/>
  <c r="J101" s="1"/>
  <c r="J144" s="1"/>
  <c r="J174" s="1"/>
  <c r="J88"/>
  <c r="J102" s="1"/>
  <c r="J145" s="1"/>
  <c r="I175" i="2766"/>
  <c r="F190" i="2768"/>
  <c r="J190" i="2764"/>
  <c r="I175" i="2768"/>
  <c r="F190" i="2758"/>
  <c r="I175" i="2770"/>
  <c r="I175" i="2764"/>
  <c r="G190" i="2766"/>
  <c r="H190"/>
  <c r="G175"/>
  <c r="G190" i="2768"/>
  <c r="H190"/>
  <c r="G175"/>
  <c r="G175" i="2770"/>
  <c r="I175" i="2758"/>
  <c r="G190" i="2760"/>
  <c r="G190" i="2762"/>
  <c r="H190" i="2764"/>
  <c r="G190"/>
  <c r="G175"/>
  <c r="E190" i="2766"/>
  <c r="J190"/>
  <c r="H175"/>
  <c r="E190" i="2768"/>
  <c r="J190"/>
  <c r="J175"/>
  <c r="H175"/>
  <c r="E190" i="2770"/>
  <c r="F190"/>
  <c r="J175"/>
  <c r="H175"/>
  <c r="I194" i="2772"/>
  <c r="G194"/>
  <c r="D266"/>
  <c r="H194"/>
  <c r="F194"/>
  <c r="I175" i="2762"/>
  <c r="D50" i="2770"/>
  <c r="G194" s="1"/>
  <c r="D50" i="2771"/>
  <c r="E175"/>
  <c r="F175"/>
  <c r="G175"/>
  <c r="H175"/>
  <c r="I175"/>
  <c r="I190"/>
  <c r="H190"/>
  <c r="G190"/>
  <c r="F190"/>
  <c r="J190"/>
  <c r="E190"/>
  <c r="I194" i="2770"/>
  <c r="D266"/>
  <c r="H194"/>
  <c r="D50" i="2768"/>
  <c r="G194" s="1"/>
  <c r="D50" i="2769"/>
  <c r="G190"/>
  <c r="F190"/>
  <c r="J190"/>
  <c r="I190"/>
  <c r="H190"/>
  <c r="E190"/>
  <c r="E175"/>
  <c r="F175"/>
  <c r="G175"/>
  <c r="H175"/>
  <c r="I175"/>
  <c r="J175"/>
  <c r="I194" i="2768"/>
  <c r="D266"/>
  <c r="H194"/>
  <c r="F194"/>
  <c r="D50" i="2766"/>
  <c r="D50" i="2767"/>
  <c r="I190"/>
  <c r="H190"/>
  <c r="G190"/>
  <c r="F190"/>
  <c r="J190"/>
  <c r="E190"/>
  <c r="E175"/>
  <c r="F175"/>
  <c r="G175"/>
  <c r="H175"/>
  <c r="I175"/>
  <c r="I175" i="2760"/>
  <c r="I190" i="2762"/>
  <c r="F190"/>
  <c r="G175"/>
  <c r="I194" i="2766"/>
  <c r="G194"/>
  <c r="D266"/>
  <c r="H194"/>
  <c r="F194"/>
  <c r="G190" i="2758"/>
  <c r="H190"/>
  <c r="G175"/>
  <c r="J190" i="2760"/>
  <c r="I190"/>
  <c r="G175"/>
  <c r="D50" i="2764"/>
  <c r="D50" i="2765"/>
  <c r="I190"/>
  <c r="H190"/>
  <c r="G190"/>
  <c r="F190"/>
  <c r="J190"/>
  <c r="E190"/>
  <c r="E175"/>
  <c r="F175"/>
  <c r="G175"/>
  <c r="H175"/>
  <c r="I175"/>
  <c r="E190" i="2758"/>
  <c r="J190"/>
  <c r="H175"/>
  <c r="E190" i="2760"/>
  <c r="F190"/>
  <c r="H175"/>
  <c r="E190" i="2762"/>
  <c r="H190"/>
  <c r="H175"/>
  <c r="E190" i="2764"/>
  <c r="I190"/>
  <c r="I194" s="1"/>
  <c r="H175"/>
  <c r="H194" s="1"/>
  <c r="G194"/>
  <c r="D266"/>
  <c r="F194"/>
  <c r="D50" i="2762"/>
  <c r="D50" i="2763"/>
  <c r="H190"/>
  <c r="I190"/>
  <c r="F190"/>
  <c r="J190"/>
  <c r="G190"/>
  <c r="E190"/>
  <c r="E175"/>
  <c r="F175"/>
  <c r="G175"/>
  <c r="H175"/>
  <c r="I175"/>
  <c r="D266" i="2762"/>
  <c r="I194"/>
  <c r="G194"/>
  <c r="H194"/>
  <c r="F194"/>
  <c r="D50" i="2760"/>
  <c r="D50" i="2761"/>
  <c r="I190"/>
  <c r="H190"/>
  <c r="G190"/>
  <c r="F190"/>
  <c r="J190"/>
  <c r="E190"/>
  <c r="E175"/>
  <c r="F175"/>
  <c r="G175"/>
  <c r="H175"/>
  <c r="I175"/>
  <c r="I194" i="2760"/>
  <c r="G194"/>
  <c r="D266"/>
  <c r="H194"/>
  <c r="F194"/>
  <c r="D50" i="2758"/>
  <c r="D50" i="2759"/>
  <c r="H190"/>
  <c r="I190"/>
  <c r="F190"/>
  <c r="J190"/>
  <c r="G190"/>
  <c r="E190"/>
  <c r="E175"/>
  <c r="F175"/>
  <c r="G175"/>
  <c r="H175"/>
  <c r="I175"/>
  <c r="I194" i="2758"/>
  <c r="G194"/>
  <c r="D266"/>
  <c r="H194"/>
  <c r="F194"/>
  <c r="D50" i="2757"/>
  <c r="E175"/>
  <c r="F175"/>
  <c r="G175"/>
  <c r="H175"/>
  <c r="I175"/>
  <c r="H190"/>
  <c r="I190"/>
  <c r="F190"/>
  <c r="J190"/>
  <c r="G190"/>
  <c r="E190"/>
  <c r="C39" i="9"/>
  <c r="C40" s="1"/>
  <c r="B40"/>
  <c r="J94" i="2765" l="1"/>
  <c r="J103" s="1"/>
  <c r="J146" s="1"/>
  <c r="J148" s="1"/>
  <c r="J94" i="2763"/>
  <c r="J103" s="1"/>
  <c r="J146" s="1"/>
  <c r="J148" s="1"/>
  <c r="J178" i="2770"/>
  <c r="J180" s="1"/>
  <c r="J94" i="2772"/>
  <c r="J103" s="1"/>
  <c r="J146" s="1"/>
  <c r="J148" s="1"/>
  <c r="J94" i="2759"/>
  <c r="J103" s="1"/>
  <c r="J146" s="1"/>
  <c r="J148" s="1"/>
  <c r="J178" i="2768"/>
  <c r="J180" s="1"/>
  <c r="I178" i="2767"/>
  <c r="I180" s="1"/>
  <c r="J100"/>
  <c r="J143" s="1"/>
  <c r="J82"/>
  <c r="J101" s="1"/>
  <c r="J144" s="1"/>
  <c r="J174" s="1"/>
  <c r="J88"/>
  <c r="J102" s="1"/>
  <c r="J145" s="1"/>
  <c r="J151" i="2772"/>
  <c r="J152" s="1"/>
  <c r="J173" s="1"/>
  <c r="J171"/>
  <c r="J100" i="2761"/>
  <c r="J143" s="1"/>
  <c r="J82"/>
  <c r="J101" s="1"/>
  <c r="J144" s="1"/>
  <c r="J174" s="1"/>
  <c r="J88"/>
  <c r="J102" s="1"/>
  <c r="J145" s="1"/>
  <c r="J179" i="2766"/>
  <c r="J183"/>
  <c r="J184" s="1"/>
  <c r="J171" i="2757"/>
  <c r="J151"/>
  <c r="J152" s="1"/>
  <c r="J173" s="1"/>
  <c r="J179" i="2762"/>
  <c r="J183"/>
  <c r="J184" s="1"/>
  <c r="J179" i="2758"/>
  <c r="J183"/>
  <c r="J184" s="1"/>
  <c r="J151"/>
  <c r="J152" s="1"/>
  <c r="J173" s="1"/>
  <c r="J171"/>
  <c r="J183" i="2771"/>
  <c r="J184" s="1"/>
  <c r="J179"/>
  <c r="J171"/>
  <c r="J151"/>
  <c r="J152" s="1"/>
  <c r="J173" s="1"/>
  <c r="J179" i="2764"/>
  <c r="J183"/>
  <c r="J184" s="1"/>
  <c r="J179" i="2760"/>
  <c r="J183"/>
  <c r="J184" s="1"/>
  <c r="J183" i="2765"/>
  <c r="J184" s="1"/>
  <c r="J179"/>
  <c r="J171"/>
  <c r="J151"/>
  <c r="J152" s="1"/>
  <c r="J173" s="1"/>
  <c r="J183" i="2763"/>
  <c r="J184" s="1"/>
  <c r="J179"/>
  <c r="J171"/>
  <c r="J151"/>
  <c r="J152" s="1"/>
  <c r="J173" s="1"/>
  <c r="J179" i="2772"/>
  <c r="J183"/>
  <c r="J184" s="1"/>
  <c r="J179" i="2759"/>
  <c r="J183"/>
  <c r="J184" s="1"/>
  <c r="J151"/>
  <c r="J152" s="1"/>
  <c r="J173" s="1"/>
  <c r="J171"/>
  <c r="J151" i="2766"/>
  <c r="J152" s="1"/>
  <c r="J173" s="1"/>
  <c r="J171"/>
  <c r="J183" i="2757"/>
  <c r="J184" s="1"/>
  <c r="J179"/>
  <c r="J151" i="2762"/>
  <c r="J152" s="1"/>
  <c r="J173" s="1"/>
  <c r="J171"/>
  <c r="J151" i="2764"/>
  <c r="J152" s="1"/>
  <c r="J173" s="1"/>
  <c r="J171"/>
  <c r="J151" i="2760"/>
  <c r="J152" s="1"/>
  <c r="J173" s="1"/>
  <c r="J171"/>
  <c r="J194" i="2768"/>
  <c r="F194" i="2770"/>
  <c r="J194"/>
  <c r="J94" i="2766"/>
  <c r="J103" s="1"/>
  <c r="J146" s="1"/>
  <c r="J148" s="1"/>
  <c r="J94" i="2757"/>
  <c r="J103" s="1"/>
  <c r="J146" s="1"/>
  <c r="J148" s="1"/>
  <c r="J94" i="2762"/>
  <c r="J103" s="1"/>
  <c r="J146" s="1"/>
  <c r="J148" s="1"/>
  <c r="J94" i="2758"/>
  <c r="J103" s="1"/>
  <c r="J146" s="1"/>
  <c r="J148" s="1"/>
  <c r="J94" i="2771"/>
  <c r="J103" s="1"/>
  <c r="J146" s="1"/>
  <c r="J148" s="1"/>
  <c r="J94" i="2764"/>
  <c r="J103" s="1"/>
  <c r="J146" s="1"/>
  <c r="J148" s="1"/>
  <c r="J94" i="2760"/>
  <c r="J103" s="1"/>
  <c r="J146" s="1"/>
  <c r="J148" s="1"/>
  <c r="F195" i="2772"/>
  <c r="F196" s="1"/>
  <c r="F197" s="1"/>
  <c r="F198" s="1"/>
  <c r="F199" s="1"/>
  <c r="H195"/>
  <c r="H196" s="1"/>
  <c r="H197" s="1"/>
  <c r="G195"/>
  <c r="G196" s="1"/>
  <c r="G197" s="1"/>
  <c r="G198" s="1"/>
  <c r="G199" s="1"/>
  <c r="I195"/>
  <c r="I196" s="1"/>
  <c r="I197" s="1"/>
  <c r="I194" i="2771"/>
  <c r="G194"/>
  <c r="H194"/>
  <c r="F194"/>
  <c r="D266"/>
  <c r="G195" i="2770"/>
  <c r="G196" s="1"/>
  <c r="G197" s="1"/>
  <c r="G198" s="1"/>
  <c r="G199" s="1"/>
  <c r="I195"/>
  <c r="I196" s="1"/>
  <c r="I197" s="1"/>
  <c r="F195"/>
  <c r="F196" s="1"/>
  <c r="F197" s="1"/>
  <c r="F198" s="1"/>
  <c r="F199" s="1"/>
  <c r="H195"/>
  <c r="H196" s="1"/>
  <c r="H197" s="1"/>
  <c r="J195"/>
  <c r="J196" s="1"/>
  <c r="J197" s="1"/>
  <c r="I194" i="2769"/>
  <c r="G194"/>
  <c r="J194"/>
  <c r="H194"/>
  <c r="F194"/>
  <c r="D266"/>
  <c r="G195" i="2768"/>
  <c r="G196" s="1"/>
  <c r="G197" s="1"/>
  <c r="G198" s="1"/>
  <c r="G199" s="1"/>
  <c r="I195"/>
  <c r="I196" s="1"/>
  <c r="I197" s="1"/>
  <c r="F195"/>
  <c r="F196" s="1"/>
  <c r="F197" s="1"/>
  <c r="F198" s="1"/>
  <c r="F199" s="1"/>
  <c r="H195"/>
  <c r="H196" s="1"/>
  <c r="H197" s="1"/>
  <c r="J195"/>
  <c r="J196" s="1"/>
  <c r="J197" s="1"/>
  <c r="I194" i="2767"/>
  <c r="G194"/>
  <c r="H194"/>
  <c r="F194"/>
  <c r="D266"/>
  <c r="G195" i="2766"/>
  <c r="G196" s="1"/>
  <c r="G197" s="1"/>
  <c r="G198" s="1"/>
  <c r="G199" s="1"/>
  <c r="I195"/>
  <c r="I196" s="1"/>
  <c r="I197" s="1"/>
  <c r="F195"/>
  <c r="F196" s="1"/>
  <c r="F197" s="1"/>
  <c r="F198" s="1"/>
  <c r="F199" s="1"/>
  <c r="H195"/>
  <c r="H196" s="1"/>
  <c r="H197" s="1"/>
  <c r="I194" i="2765"/>
  <c r="G194"/>
  <c r="H194"/>
  <c r="F194"/>
  <c r="D266"/>
  <c r="G195" i="2764"/>
  <c r="G196" s="1"/>
  <c r="G197" s="1"/>
  <c r="G198" s="1"/>
  <c r="G199" s="1"/>
  <c r="I195"/>
  <c r="I196" s="1"/>
  <c r="I197" s="1"/>
  <c r="F195"/>
  <c r="F196" s="1"/>
  <c r="F197" s="1"/>
  <c r="F198" s="1"/>
  <c r="F199" s="1"/>
  <c r="H195"/>
  <c r="H196" s="1"/>
  <c r="H197" s="1"/>
  <c r="I194" i="2763"/>
  <c r="G194"/>
  <c r="H194"/>
  <c r="F194"/>
  <c r="D266"/>
  <c r="G195" i="2762"/>
  <c r="G196" s="1"/>
  <c r="G197" s="1"/>
  <c r="G198" s="1"/>
  <c r="G199" s="1"/>
  <c r="I195"/>
  <c r="I196" s="1"/>
  <c r="I197" s="1"/>
  <c r="F195"/>
  <c r="F196" s="1"/>
  <c r="F197" s="1"/>
  <c r="F198" s="1"/>
  <c r="F199" s="1"/>
  <c r="H195"/>
  <c r="H196" s="1"/>
  <c r="H197" s="1"/>
  <c r="I194" i="2761"/>
  <c r="G194"/>
  <c r="H194"/>
  <c r="F194"/>
  <c r="D266"/>
  <c r="G195" i="2760"/>
  <c r="G196" s="1"/>
  <c r="G197" s="1"/>
  <c r="G198" s="1"/>
  <c r="G199" s="1"/>
  <c r="I195"/>
  <c r="I196" s="1"/>
  <c r="I197" s="1"/>
  <c r="F195"/>
  <c r="F196" s="1"/>
  <c r="F197" s="1"/>
  <c r="F198" s="1"/>
  <c r="F199" s="1"/>
  <c r="H195"/>
  <c r="H196" s="1"/>
  <c r="H197" s="1"/>
  <c r="I194" i="2759"/>
  <c r="G194"/>
  <c r="H194"/>
  <c r="F194"/>
  <c r="D266"/>
  <c r="G195" i="2758"/>
  <c r="G196" s="1"/>
  <c r="G197" s="1"/>
  <c r="G198" s="1"/>
  <c r="G199" s="1"/>
  <c r="I195"/>
  <c r="I196" s="1"/>
  <c r="I197" s="1"/>
  <c r="F195"/>
  <c r="F196" s="1"/>
  <c r="F197" s="1"/>
  <c r="F198" s="1"/>
  <c r="F199" s="1"/>
  <c r="H195"/>
  <c r="H196" s="1"/>
  <c r="H197" s="1"/>
  <c r="I194" i="2757"/>
  <c r="G194"/>
  <c r="H194"/>
  <c r="F194"/>
  <c r="D266"/>
  <c r="D40" i="5"/>
  <c r="J94" i="2761" l="1"/>
  <c r="J103" s="1"/>
  <c r="J146" s="1"/>
  <c r="J148" s="1"/>
  <c r="J94" i="2767"/>
  <c r="J103" s="1"/>
  <c r="J146" s="1"/>
  <c r="J148" s="1"/>
  <c r="J178" i="2763"/>
  <c r="J180" s="1"/>
  <c r="J175"/>
  <c r="J194" s="1"/>
  <c r="J178" i="2765"/>
  <c r="J180" s="1"/>
  <c r="J175"/>
  <c r="J194" s="1"/>
  <c r="J178" i="2771"/>
  <c r="J180" s="1"/>
  <c r="J175"/>
  <c r="J194" s="1"/>
  <c r="J178" i="2757"/>
  <c r="J180" s="1"/>
  <c r="J175"/>
  <c r="J194" s="1"/>
  <c r="J183" i="2761"/>
  <c r="J184" s="1"/>
  <c r="J179"/>
  <c r="J171"/>
  <c r="J151"/>
  <c r="J152" s="1"/>
  <c r="J173" s="1"/>
  <c r="J183" i="2767"/>
  <c r="J184" s="1"/>
  <c r="J179"/>
  <c r="J171"/>
  <c r="J151"/>
  <c r="J152" s="1"/>
  <c r="J173" s="1"/>
  <c r="J178" i="2760"/>
  <c r="J180" s="1"/>
  <c r="J175"/>
  <c r="J194" s="1"/>
  <c r="J195" s="1"/>
  <c r="J196" s="1"/>
  <c r="J197" s="1"/>
  <c r="J178" i="2764"/>
  <c r="J180" s="1"/>
  <c r="J175"/>
  <c r="J194" s="1"/>
  <c r="J195" s="1"/>
  <c r="J196" s="1"/>
  <c r="J197" s="1"/>
  <c r="J178" i="2762"/>
  <c r="J180" s="1"/>
  <c r="J175"/>
  <c r="J194" s="1"/>
  <c r="J195" s="1"/>
  <c r="J196" s="1"/>
  <c r="J197" s="1"/>
  <c r="J178" i="2766"/>
  <c r="J180" s="1"/>
  <c r="J175"/>
  <c r="J194" s="1"/>
  <c r="J195" s="1"/>
  <c r="J196" s="1"/>
  <c r="J197" s="1"/>
  <c r="J178" i="2759"/>
  <c r="J180" s="1"/>
  <c r="J175"/>
  <c r="J194" s="1"/>
  <c r="J178" i="2758"/>
  <c r="J180" s="1"/>
  <c r="J175"/>
  <c r="J194" s="1"/>
  <c r="J195" s="1"/>
  <c r="J196" s="1"/>
  <c r="J197" s="1"/>
  <c r="J178" i="2772"/>
  <c r="J180" s="1"/>
  <c r="J175"/>
  <c r="J194" s="1"/>
  <c r="J195" s="1"/>
  <c r="J196" s="1"/>
  <c r="J197" s="1"/>
  <c r="J204" s="1"/>
  <c r="J205" s="1"/>
  <c r="I204"/>
  <c r="I205" s="1"/>
  <c r="I198"/>
  <c r="I199" s="1"/>
  <c r="H204"/>
  <c r="H205" s="1"/>
  <c r="H198"/>
  <c r="H199" s="1"/>
  <c r="G195" i="2771"/>
  <c r="G196" s="1"/>
  <c r="G197" s="1"/>
  <c r="G198" s="1"/>
  <c r="G199" s="1"/>
  <c r="I195"/>
  <c r="I196" s="1"/>
  <c r="I197" s="1"/>
  <c r="F195"/>
  <c r="F196" s="1"/>
  <c r="F197" s="1"/>
  <c r="F198" s="1"/>
  <c r="F199" s="1"/>
  <c r="H195"/>
  <c r="H196" s="1"/>
  <c r="H197" s="1"/>
  <c r="J195"/>
  <c r="J196" s="1"/>
  <c r="J197" s="1"/>
  <c r="J204" i="2770"/>
  <c r="J205" s="1"/>
  <c r="J198"/>
  <c r="J199" s="1"/>
  <c r="H204"/>
  <c r="H205" s="1"/>
  <c r="H198"/>
  <c r="H199" s="1"/>
  <c r="I204"/>
  <c r="I205" s="1"/>
  <c r="I198"/>
  <c r="I199" s="1"/>
  <c r="G195" i="2769"/>
  <c r="G196" s="1"/>
  <c r="G197" s="1"/>
  <c r="G198" s="1"/>
  <c r="G199" s="1"/>
  <c r="I195"/>
  <c r="I196" s="1"/>
  <c r="I197" s="1"/>
  <c r="F195"/>
  <c r="F196" s="1"/>
  <c r="F197" s="1"/>
  <c r="F198" s="1"/>
  <c r="F199" s="1"/>
  <c r="H195"/>
  <c r="H196" s="1"/>
  <c r="H197" s="1"/>
  <c r="J195"/>
  <c r="J196" s="1"/>
  <c r="J197" s="1"/>
  <c r="J204" i="2768"/>
  <c r="J205" s="1"/>
  <c r="J198"/>
  <c r="J199" s="1"/>
  <c r="H204"/>
  <c r="H205" s="1"/>
  <c r="H198"/>
  <c r="H199" s="1"/>
  <c r="I204"/>
  <c r="I205" s="1"/>
  <c r="I198"/>
  <c r="I199" s="1"/>
  <c r="G195" i="2767"/>
  <c r="G196" s="1"/>
  <c r="G197" s="1"/>
  <c r="G198" s="1"/>
  <c r="G199" s="1"/>
  <c r="I195"/>
  <c r="I196" s="1"/>
  <c r="I197" s="1"/>
  <c r="F195"/>
  <c r="F196" s="1"/>
  <c r="F197" s="1"/>
  <c r="F198" s="1"/>
  <c r="F199" s="1"/>
  <c r="H195"/>
  <c r="H196" s="1"/>
  <c r="H197" s="1"/>
  <c r="J204" i="2766"/>
  <c r="J205" s="1"/>
  <c r="J198"/>
  <c r="J199" s="1"/>
  <c r="H204"/>
  <c r="H205" s="1"/>
  <c r="H198"/>
  <c r="H199" s="1"/>
  <c r="I204"/>
  <c r="I205" s="1"/>
  <c r="I198"/>
  <c r="I199" s="1"/>
  <c r="G195" i="2765"/>
  <c r="G196" s="1"/>
  <c r="G197" s="1"/>
  <c r="G198" s="1"/>
  <c r="G199" s="1"/>
  <c r="I195"/>
  <c r="I196" s="1"/>
  <c r="I197" s="1"/>
  <c r="F195"/>
  <c r="F196" s="1"/>
  <c r="F197" s="1"/>
  <c r="F198" s="1"/>
  <c r="F199" s="1"/>
  <c r="H195"/>
  <c r="H196" s="1"/>
  <c r="H197" s="1"/>
  <c r="J195"/>
  <c r="J196" s="1"/>
  <c r="J197" s="1"/>
  <c r="J204" i="2764"/>
  <c r="J205" s="1"/>
  <c r="J198"/>
  <c r="J199" s="1"/>
  <c r="H204"/>
  <c r="H205" s="1"/>
  <c r="H198"/>
  <c r="H199" s="1"/>
  <c r="I204"/>
  <c r="I205" s="1"/>
  <c r="I198"/>
  <c r="I199" s="1"/>
  <c r="G195" i="2763"/>
  <c r="G196" s="1"/>
  <c r="G197" s="1"/>
  <c r="G198" s="1"/>
  <c r="G199" s="1"/>
  <c r="I195"/>
  <c r="I196" s="1"/>
  <c r="I197" s="1"/>
  <c r="F195"/>
  <c r="F196" s="1"/>
  <c r="F197" s="1"/>
  <c r="F198" s="1"/>
  <c r="F199" s="1"/>
  <c r="H195"/>
  <c r="H196" s="1"/>
  <c r="H197" s="1"/>
  <c r="J195"/>
  <c r="J196" s="1"/>
  <c r="J197" s="1"/>
  <c r="J204" i="2762"/>
  <c r="J205" s="1"/>
  <c r="J198"/>
  <c r="J199" s="1"/>
  <c r="H204"/>
  <c r="H205" s="1"/>
  <c r="H198"/>
  <c r="H199" s="1"/>
  <c r="I204"/>
  <c r="I205" s="1"/>
  <c r="I198"/>
  <c r="I199" s="1"/>
  <c r="G195" i="2761"/>
  <c r="G196" s="1"/>
  <c r="G197" s="1"/>
  <c r="G198" s="1"/>
  <c r="G199" s="1"/>
  <c r="I195"/>
  <c r="I196" s="1"/>
  <c r="I197" s="1"/>
  <c r="F195"/>
  <c r="F196" s="1"/>
  <c r="F197" s="1"/>
  <c r="F198" s="1"/>
  <c r="F199" s="1"/>
  <c r="H195"/>
  <c r="H196" s="1"/>
  <c r="H197" s="1"/>
  <c r="J204" i="2760"/>
  <c r="J205" s="1"/>
  <c r="J198"/>
  <c r="J199" s="1"/>
  <c r="H204"/>
  <c r="H205" s="1"/>
  <c r="H198"/>
  <c r="H199" s="1"/>
  <c r="I204"/>
  <c r="I205" s="1"/>
  <c r="I198"/>
  <c r="I199" s="1"/>
  <c r="G195" i="2759"/>
  <c r="G196" s="1"/>
  <c r="G197" s="1"/>
  <c r="G198" s="1"/>
  <c r="G199" s="1"/>
  <c r="I195"/>
  <c r="I196" s="1"/>
  <c r="I197" s="1"/>
  <c r="F195"/>
  <c r="F196" s="1"/>
  <c r="F197" s="1"/>
  <c r="F198" s="1"/>
  <c r="F199" s="1"/>
  <c r="H195"/>
  <c r="H196" s="1"/>
  <c r="H197" s="1"/>
  <c r="J195"/>
  <c r="J196" s="1"/>
  <c r="J197" s="1"/>
  <c r="J204" i="2758"/>
  <c r="J205" s="1"/>
  <c r="J198"/>
  <c r="J199" s="1"/>
  <c r="H204"/>
  <c r="H205" s="1"/>
  <c r="H198"/>
  <c r="H199" s="1"/>
  <c r="I204"/>
  <c r="I205" s="1"/>
  <c r="I198"/>
  <c r="I199" s="1"/>
  <c r="G195" i="2757"/>
  <c r="G196" s="1"/>
  <c r="G197" s="1"/>
  <c r="G198" s="1"/>
  <c r="G199" s="1"/>
  <c r="I195"/>
  <c r="I196" s="1"/>
  <c r="I197" s="1"/>
  <c r="F195"/>
  <c r="F196" s="1"/>
  <c r="F197" s="1"/>
  <c r="F198" s="1"/>
  <c r="F199" s="1"/>
  <c r="H195"/>
  <c r="H196" s="1"/>
  <c r="H197" s="1"/>
  <c r="J195"/>
  <c r="J196" s="1"/>
  <c r="J197" s="1"/>
  <c r="J198" i="2772" l="1"/>
  <c r="J199" s="1"/>
  <c r="J178" i="2767"/>
  <c r="J180" s="1"/>
  <c r="J175"/>
  <c r="J178" i="2761"/>
  <c r="J180" s="1"/>
  <c r="J175"/>
  <c r="D206" i="2772"/>
  <c r="D210" s="1"/>
  <c r="D214" s="1"/>
  <c r="J204" i="2771"/>
  <c r="J205" s="1"/>
  <c r="J198"/>
  <c r="J199" s="1"/>
  <c r="H204"/>
  <c r="H205" s="1"/>
  <c r="H198"/>
  <c r="H199" s="1"/>
  <c r="I204"/>
  <c r="I205" s="1"/>
  <c r="I198"/>
  <c r="I199" s="1"/>
  <c r="D206" i="2770"/>
  <c r="D210" s="1"/>
  <c r="J204" i="2769"/>
  <c r="J205" s="1"/>
  <c r="J198"/>
  <c r="J199" s="1"/>
  <c r="H204"/>
  <c r="H205" s="1"/>
  <c r="H198"/>
  <c r="H199" s="1"/>
  <c r="I204"/>
  <c r="I205" s="1"/>
  <c r="I198"/>
  <c r="I199" s="1"/>
  <c r="D206" i="2768"/>
  <c r="D210" s="1"/>
  <c r="H204" i="2767"/>
  <c r="H205" s="1"/>
  <c r="H198"/>
  <c r="H199" s="1"/>
  <c r="I204"/>
  <c r="I205" s="1"/>
  <c r="I198"/>
  <c r="I199" s="1"/>
  <c r="D206" i="2766"/>
  <c r="D210" s="1"/>
  <c r="J204" i="2765"/>
  <c r="J205" s="1"/>
  <c r="J198"/>
  <c r="J199" s="1"/>
  <c r="H204"/>
  <c r="H205" s="1"/>
  <c r="H198"/>
  <c r="H199" s="1"/>
  <c r="I204"/>
  <c r="I205" s="1"/>
  <c r="I198"/>
  <c r="I199" s="1"/>
  <c r="D206" i="2764"/>
  <c r="D210" s="1"/>
  <c r="J204" i="2763"/>
  <c r="J205" s="1"/>
  <c r="J198"/>
  <c r="J199" s="1"/>
  <c r="H204"/>
  <c r="H205" s="1"/>
  <c r="H198"/>
  <c r="H199" s="1"/>
  <c r="I204"/>
  <c r="I205" s="1"/>
  <c r="I198"/>
  <c r="I199" s="1"/>
  <c r="D206" i="2762"/>
  <c r="D210" s="1"/>
  <c r="H204" i="2761"/>
  <c r="H205" s="1"/>
  <c r="H198"/>
  <c r="H199" s="1"/>
  <c r="I204"/>
  <c r="I205" s="1"/>
  <c r="I198"/>
  <c r="I199" s="1"/>
  <c r="D206" i="2760"/>
  <c r="D210" s="1"/>
  <c r="J204" i="2759"/>
  <c r="J205" s="1"/>
  <c r="J198"/>
  <c r="J199" s="1"/>
  <c r="H204"/>
  <c r="H205" s="1"/>
  <c r="H198"/>
  <c r="H199" s="1"/>
  <c r="I204"/>
  <c r="I205" s="1"/>
  <c r="I198"/>
  <c r="I199" s="1"/>
  <c r="D206" i="2758"/>
  <c r="D210" s="1"/>
  <c r="J204" i="2757"/>
  <c r="J205" s="1"/>
  <c r="J198"/>
  <c r="J199" s="1"/>
  <c r="H204"/>
  <c r="H205" s="1"/>
  <c r="H198"/>
  <c r="H199" s="1"/>
  <c r="I204"/>
  <c r="I205" s="1"/>
  <c r="I198"/>
  <c r="I199" s="1"/>
  <c r="J194" i="2761" l="1"/>
  <c r="J195" s="1"/>
  <c r="J196" s="1"/>
  <c r="J197" s="1"/>
  <c r="J194" i="2767"/>
  <c r="J195" s="1"/>
  <c r="J196" s="1"/>
  <c r="J197" s="1"/>
  <c r="I215" i="2772"/>
  <c r="J215"/>
  <c r="H215"/>
  <c r="D206" i="2771"/>
  <c r="D210" s="1"/>
  <c r="D214" i="2770"/>
  <c r="D206" i="2769"/>
  <c r="D210" s="1"/>
  <c r="D214" i="2768"/>
  <c r="D214" i="2766"/>
  <c r="D206" i="2765"/>
  <c r="D210" s="1"/>
  <c r="D214" i="2764"/>
  <c r="D206" i="2763"/>
  <c r="D210" s="1"/>
  <c r="D214" i="2762"/>
  <c r="D214" i="2760"/>
  <c r="D206" i="2759"/>
  <c r="D210" s="1"/>
  <c r="D214" i="2758"/>
  <c r="D206" i="2757"/>
  <c r="D210" s="1"/>
  <c r="J198" i="2761" l="1"/>
  <c r="J199" s="1"/>
  <c r="J204"/>
  <c r="J205" s="1"/>
  <c r="D206" s="1"/>
  <c r="D210" s="1"/>
  <c r="J204" i="2767"/>
  <c r="J205" s="1"/>
  <c r="D206" s="1"/>
  <c r="D210" s="1"/>
  <c r="J198"/>
  <c r="J199" s="1"/>
  <c r="J216" i="2772"/>
  <c r="J255" s="1"/>
  <c r="J217"/>
  <c r="H232"/>
  <c r="H233" s="1"/>
  <c r="H216"/>
  <c r="H217"/>
  <c r="I217"/>
  <c r="D220" s="1"/>
  <c r="D226" s="1"/>
  <c r="I216"/>
  <c r="I255" s="1"/>
  <c r="D214" i="2771"/>
  <c r="J215" i="2770"/>
  <c r="H215"/>
  <c r="I215"/>
  <c r="D214" i="2769"/>
  <c r="J215" i="2768"/>
  <c r="H215"/>
  <c r="I215"/>
  <c r="D214" i="2767"/>
  <c r="J215" i="2766"/>
  <c r="H215"/>
  <c r="I215"/>
  <c r="D214" i="2765"/>
  <c r="J215" i="2764"/>
  <c r="H215"/>
  <c r="I215"/>
  <c r="D214" i="2763"/>
  <c r="J215" i="2762"/>
  <c r="H215"/>
  <c r="I215"/>
  <c r="D214" i="2761"/>
  <c r="J215" i="2760"/>
  <c r="H215"/>
  <c r="I215"/>
  <c r="D214" i="2759"/>
  <c r="J215" i="2758"/>
  <c r="H215"/>
  <c r="I215"/>
  <c r="D214" i="2757"/>
  <c r="I257" i="2772" l="1"/>
  <c r="I256"/>
  <c r="H259"/>
  <c r="H237"/>
  <c r="D277"/>
  <c r="E12" i="49" s="1"/>
  <c r="H240" i="2772"/>
  <c r="G240" s="1"/>
  <c r="F240" s="1"/>
  <c r="E13" i="49" s="1"/>
  <c r="D218" i="2772"/>
  <c r="D219" s="1"/>
  <c r="D231"/>
  <c r="H255"/>
  <c r="J215" i="2771"/>
  <c r="H215"/>
  <c r="I215"/>
  <c r="I216" i="2770"/>
  <c r="I255" s="1"/>
  <c r="I217"/>
  <c r="J217"/>
  <c r="J216"/>
  <c r="J255" s="1"/>
  <c r="H217"/>
  <c r="H232"/>
  <c r="H233" s="1"/>
  <c r="H216"/>
  <c r="J215" i="2769"/>
  <c r="H215"/>
  <c r="I215"/>
  <c r="I216" i="2768"/>
  <c r="I255" s="1"/>
  <c r="I217"/>
  <c r="J217"/>
  <c r="J216"/>
  <c r="J255" s="1"/>
  <c r="H217"/>
  <c r="H232"/>
  <c r="H233" s="1"/>
  <c r="H216"/>
  <c r="J215" i="2767"/>
  <c r="H215"/>
  <c r="I215"/>
  <c r="I216" i="2766"/>
  <c r="I255" s="1"/>
  <c r="I217"/>
  <c r="J217"/>
  <c r="J216"/>
  <c r="J255" s="1"/>
  <c r="H217"/>
  <c r="H232"/>
  <c r="H233" s="1"/>
  <c r="H216"/>
  <c r="J215" i="2765"/>
  <c r="H215"/>
  <c r="I215"/>
  <c r="I216" i="2764"/>
  <c r="I255" s="1"/>
  <c r="I217"/>
  <c r="J217"/>
  <c r="J216"/>
  <c r="J255" s="1"/>
  <c r="H217"/>
  <c r="D218" s="1"/>
  <c r="D219" s="1"/>
  <c r="H232"/>
  <c r="H233" s="1"/>
  <c r="H216"/>
  <c r="J215" i="2763"/>
  <c r="H215"/>
  <c r="I215"/>
  <c r="I216" i="2762"/>
  <c r="I255" s="1"/>
  <c r="I217"/>
  <c r="J217"/>
  <c r="J216"/>
  <c r="J255" s="1"/>
  <c r="H217"/>
  <c r="D218" s="1"/>
  <c r="D219" s="1"/>
  <c r="H232"/>
  <c r="H233" s="1"/>
  <c r="H216"/>
  <c r="J215" i="2761"/>
  <c r="H215"/>
  <c r="I215"/>
  <c r="I216" i="2760"/>
  <c r="I255" s="1"/>
  <c r="I217"/>
  <c r="J217"/>
  <c r="J216"/>
  <c r="J255" s="1"/>
  <c r="H217"/>
  <c r="D218" s="1"/>
  <c r="D219" s="1"/>
  <c r="H232"/>
  <c r="H233" s="1"/>
  <c r="H216"/>
  <c r="J215" i="2759"/>
  <c r="H215"/>
  <c r="I215"/>
  <c r="I216" i="2758"/>
  <c r="I255" s="1"/>
  <c r="I217"/>
  <c r="J217"/>
  <c r="J216"/>
  <c r="J255" s="1"/>
  <c r="H217"/>
  <c r="H232"/>
  <c r="H233" s="1"/>
  <c r="H216"/>
  <c r="J215" i="2757"/>
  <c r="H215"/>
  <c r="I215"/>
  <c r="D218" i="2758" l="1"/>
  <c r="D219" s="1"/>
  <c r="J232" i="2772"/>
  <c r="I232"/>
  <c r="H260"/>
  <c r="J257"/>
  <c r="I258"/>
  <c r="D265"/>
  <c r="H257"/>
  <c r="D220" i="2770"/>
  <c r="D226" s="1"/>
  <c r="I216" i="2771"/>
  <c r="I255" s="1"/>
  <c r="I217"/>
  <c r="J217"/>
  <c r="J216"/>
  <c r="J255" s="1"/>
  <c r="H217"/>
  <c r="H232"/>
  <c r="H233" s="1"/>
  <c r="H216"/>
  <c r="H255" i="2770"/>
  <c r="I257"/>
  <c r="I256"/>
  <c r="D218" i="2768"/>
  <c r="D219" s="1"/>
  <c r="D218" i="2770"/>
  <c r="D219" s="1"/>
  <c r="D277"/>
  <c r="G12" i="49" s="1"/>
  <c r="H240" i="2770"/>
  <c r="G240" s="1"/>
  <c r="F240" s="1"/>
  <c r="G13" i="49" s="1"/>
  <c r="H259" i="2770"/>
  <c r="H237"/>
  <c r="D231"/>
  <c r="I216" i="2769"/>
  <c r="I255" s="1"/>
  <c r="I217"/>
  <c r="J217"/>
  <c r="J216"/>
  <c r="J255" s="1"/>
  <c r="H217"/>
  <c r="H232"/>
  <c r="H233" s="1"/>
  <c r="H216"/>
  <c r="D220" i="2768"/>
  <c r="D226" s="1"/>
  <c r="D231" s="1"/>
  <c r="H255"/>
  <c r="I257"/>
  <c r="I256"/>
  <c r="D277"/>
  <c r="I12" i="49" s="1"/>
  <c r="H240" i="2768"/>
  <c r="G240" s="1"/>
  <c r="F240" s="1"/>
  <c r="I13" i="49" s="1"/>
  <c r="H259" i="2768"/>
  <c r="H237"/>
  <c r="I216" i="2767"/>
  <c r="I255" s="1"/>
  <c r="I217"/>
  <c r="J217"/>
  <c r="J216"/>
  <c r="J255" s="1"/>
  <c r="H217"/>
  <c r="H232"/>
  <c r="H233" s="1"/>
  <c r="H216"/>
  <c r="D218" i="2766"/>
  <c r="D219" s="1"/>
  <c r="D220"/>
  <c r="D226" s="1"/>
  <c r="D231" s="1"/>
  <c r="D277"/>
  <c r="K12" i="49" s="1"/>
  <c r="H240" i="2766"/>
  <c r="G240" s="1"/>
  <c r="F240" s="1"/>
  <c r="K13" i="49" s="1"/>
  <c r="H259" i="2766"/>
  <c r="H237"/>
  <c r="I257"/>
  <c r="I256"/>
  <c r="H255"/>
  <c r="I216" i="2765"/>
  <c r="I255" s="1"/>
  <c r="I217"/>
  <c r="J217"/>
  <c r="J216"/>
  <c r="J255" s="1"/>
  <c r="D220" i="2764"/>
  <c r="D226" s="1"/>
  <c r="H217" i="2765"/>
  <c r="H232"/>
  <c r="H233" s="1"/>
  <c r="H216"/>
  <c r="H255" i="2764"/>
  <c r="I257"/>
  <c r="I256"/>
  <c r="D277"/>
  <c r="M12" i="49" s="1"/>
  <c r="H240" i="2764"/>
  <c r="G240" s="1"/>
  <c r="F240" s="1"/>
  <c r="M13" i="49" s="1"/>
  <c r="H259" i="2764"/>
  <c r="H237"/>
  <c r="D231"/>
  <c r="I216" i="2763"/>
  <c r="I255" s="1"/>
  <c r="I217"/>
  <c r="J217"/>
  <c r="J216"/>
  <c r="J255" s="1"/>
  <c r="D220" i="2762"/>
  <c r="D226" s="1"/>
  <c r="D231" s="1"/>
  <c r="H217" i="2763"/>
  <c r="H232"/>
  <c r="H233" s="1"/>
  <c r="H216"/>
  <c r="H255" i="2762"/>
  <c r="I257"/>
  <c r="I256"/>
  <c r="D277"/>
  <c r="O12" i="49" s="1"/>
  <c r="H240" i="2762"/>
  <c r="G240" s="1"/>
  <c r="F240" s="1"/>
  <c r="O13" i="49" s="1"/>
  <c r="H259" i="2762"/>
  <c r="H237"/>
  <c r="I216" i="2761"/>
  <c r="I255" s="1"/>
  <c r="I217"/>
  <c r="J217"/>
  <c r="J216"/>
  <c r="J255" s="1"/>
  <c r="H217"/>
  <c r="H232"/>
  <c r="H233" s="1"/>
  <c r="H216"/>
  <c r="D220" i="2760"/>
  <c r="D226" s="1"/>
  <c r="D231" s="1"/>
  <c r="H255"/>
  <c r="I257"/>
  <c r="I256"/>
  <c r="D277"/>
  <c r="Q12" i="49" s="1"/>
  <c r="H240" i="2760"/>
  <c r="G240" s="1"/>
  <c r="F240" s="1"/>
  <c r="Q13" i="49" s="1"/>
  <c r="H259" i="2760"/>
  <c r="H237"/>
  <c r="I216" i="2759"/>
  <c r="I255" s="1"/>
  <c r="I217"/>
  <c r="J217"/>
  <c r="J216"/>
  <c r="J255" s="1"/>
  <c r="H217"/>
  <c r="H232"/>
  <c r="H233" s="1"/>
  <c r="H216"/>
  <c r="D220" i="2758"/>
  <c r="D226" s="1"/>
  <c r="D231" s="1"/>
  <c r="H255"/>
  <c r="I257"/>
  <c r="I256"/>
  <c r="D277"/>
  <c r="S12" i="49" s="1"/>
  <c r="H240" i="2758"/>
  <c r="G240" s="1"/>
  <c r="F240" s="1"/>
  <c r="S13" i="49" s="1"/>
  <c r="H259" i="2758"/>
  <c r="H237"/>
  <c r="I216" i="2757"/>
  <c r="I255" s="1"/>
  <c r="I217"/>
  <c r="J217"/>
  <c r="J216"/>
  <c r="J255" s="1"/>
  <c r="H217"/>
  <c r="H232"/>
  <c r="H233" s="1"/>
  <c r="H216"/>
  <c r="E23" i="49"/>
  <c r="G23"/>
  <c r="I23"/>
  <c r="K23"/>
  <c r="M23"/>
  <c r="O23"/>
  <c r="Q23"/>
  <c r="S23"/>
  <c r="S30"/>
  <c r="S35"/>
  <c r="M35"/>
  <c r="D218" i="2767" l="1"/>
  <c r="D219" s="1"/>
  <c r="J233" i="2772"/>
  <c r="J234"/>
  <c r="H264"/>
  <c r="I234"/>
  <c r="D235" s="1"/>
  <c r="D236" s="1"/>
  <c r="I233"/>
  <c r="D218" i="2771"/>
  <c r="D219" s="1"/>
  <c r="D269" i="2772"/>
  <c r="D278" s="1"/>
  <c r="E14" i="49" s="1"/>
  <c r="D220" i="2771"/>
  <c r="D226" s="1"/>
  <c r="H255"/>
  <c r="I257"/>
  <c r="I256"/>
  <c r="D277"/>
  <c r="F12" i="49" s="1"/>
  <c r="H240" i="2771"/>
  <c r="G240" s="1"/>
  <c r="F240" s="1"/>
  <c r="F13" i="49" s="1"/>
  <c r="H259" i="2771"/>
  <c r="H237"/>
  <c r="D231"/>
  <c r="H260" i="2770"/>
  <c r="I258"/>
  <c r="J257"/>
  <c r="D218" i="2765"/>
  <c r="D219" s="1"/>
  <c r="D220" i="2767"/>
  <c r="D226" s="1"/>
  <c r="D218" i="2769"/>
  <c r="D219" s="1"/>
  <c r="I232" i="2770"/>
  <c r="J232"/>
  <c r="D265"/>
  <c r="H257"/>
  <c r="D269" s="1"/>
  <c r="D278" s="1"/>
  <c r="G14" i="49" s="1"/>
  <c r="H255" i="2769"/>
  <c r="I257"/>
  <c r="I256"/>
  <c r="D277"/>
  <c r="H12" i="49" s="1"/>
  <c r="H240" i="2769"/>
  <c r="G240" s="1"/>
  <c r="F240" s="1"/>
  <c r="H13" i="49" s="1"/>
  <c r="H237" i="2769"/>
  <c r="H259"/>
  <c r="D220"/>
  <c r="D226" s="1"/>
  <c r="H260" i="2768"/>
  <c r="I258"/>
  <c r="J257"/>
  <c r="I232"/>
  <c r="J232"/>
  <c r="D265"/>
  <c r="H257"/>
  <c r="D269" s="1"/>
  <c r="D278" s="1"/>
  <c r="I14" i="49" s="1"/>
  <c r="D220" i="2765"/>
  <c r="D226" s="1"/>
  <c r="H255" i="2767"/>
  <c r="I257"/>
  <c r="I256"/>
  <c r="D277"/>
  <c r="J12" i="49" s="1"/>
  <c r="H240" i="2767"/>
  <c r="G240" s="1"/>
  <c r="F240" s="1"/>
  <c r="J13" i="49" s="1"/>
  <c r="H259" i="2767"/>
  <c r="H237"/>
  <c r="D231"/>
  <c r="I258" i="2766"/>
  <c r="J257"/>
  <c r="H260"/>
  <c r="D218" i="2763"/>
  <c r="D219" s="1"/>
  <c r="I232" i="2766"/>
  <c r="J232"/>
  <c r="D265"/>
  <c r="H257"/>
  <c r="D269" s="1"/>
  <c r="D278" s="1"/>
  <c r="K14" i="49" s="1"/>
  <c r="D277" i="2765"/>
  <c r="L12" i="49" s="1"/>
  <c r="H240" i="2765"/>
  <c r="G240" s="1"/>
  <c r="F240" s="1"/>
  <c r="L13" i="49" s="1"/>
  <c r="H259" i="2765"/>
  <c r="H237"/>
  <c r="I257"/>
  <c r="I256"/>
  <c r="D220" i="2763"/>
  <c r="D226" s="1"/>
  <c r="H255" i="2765"/>
  <c r="D231"/>
  <c r="H260" i="2764"/>
  <c r="I258"/>
  <c r="J257"/>
  <c r="I232"/>
  <c r="J232"/>
  <c r="D265"/>
  <c r="H257"/>
  <c r="D269" s="1"/>
  <c r="D278" s="1"/>
  <c r="M14" i="49" s="1"/>
  <c r="D277" i="2763"/>
  <c r="N12" i="49" s="1"/>
  <c r="H240" i="2763"/>
  <c r="G240" s="1"/>
  <c r="F240" s="1"/>
  <c r="N13" i="49" s="1"/>
  <c r="H259" i="2763"/>
  <c r="H237"/>
  <c r="I257"/>
  <c r="I256"/>
  <c r="D218" i="2759"/>
  <c r="D219" s="1"/>
  <c r="H255" i="2763"/>
  <c r="D231"/>
  <c r="H260" i="2762"/>
  <c r="I258"/>
  <c r="J257"/>
  <c r="D218" i="2761"/>
  <c r="D219" s="1"/>
  <c r="I232" i="2762"/>
  <c r="J232"/>
  <c r="D265"/>
  <c r="H257"/>
  <c r="D220" i="2761"/>
  <c r="D226" s="1"/>
  <c r="D231" s="1"/>
  <c r="H255"/>
  <c r="I257"/>
  <c r="I256"/>
  <c r="D218" i="2757"/>
  <c r="D219" s="1"/>
  <c r="D277" i="2761"/>
  <c r="P12" i="49" s="1"/>
  <c r="H240" i="2761"/>
  <c r="G240" s="1"/>
  <c r="F240" s="1"/>
  <c r="P13" i="49" s="1"/>
  <c r="H259" i="2761"/>
  <c r="H237"/>
  <c r="H260" i="2760"/>
  <c r="I258"/>
  <c r="J257"/>
  <c r="I232"/>
  <c r="J232"/>
  <c r="D265"/>
  <c r="H257"/>
  <c r="D269" s="1"/>
  <c r="D278" s="1"/>
  <c r="Q14" i="49" s="1"/>
  <c r="D220" i="2759"/>
  <c r="D226" s="1"/>
  <c r="H255"/>
  <c r="I257"/>
  <c r="I256"/>
  <c r="D277"/>
  <c r="R12" i="49" s="1"/>
  <c r="H240" i="2759"/>
  <c r="G240" s="1"/>
  <c r="F240" s="1"/>
  <c r="R13" i="49" s="1"/>
  <c r="H259" i="2759"/>
  <c r="H237"/>
  <c r="D231"/>
  <c r="H260" i="2758"/>
  <c r="I258"/>
  <c r="J257"/>
  <c r="I232"/>
  <c r="J232"/>
  <c r="D265"/>
  <c r="H257"/>
  <c r="D269" s="1"/>
  <c r="D278" s="1"/>
  <c r="S14" i="49" s="1"/>
  <c r="D220" i="2757"/>
  <c r="D226" s="1"/>
  <c r="D231" s="1"/>
  <c r="H255"/>
  <c r="I257"/>
  <c r="I256"/>
  <c r="D277"/>
  <c r="T12" i="49" s="1"/>
  <c r="T23" s="1"/>
  <c r="H240" i="2757"/>
  <c r="G240" s="1"/>
  <c r="F240" s="1"/>
  <c r="T13" i="49" s="1"/>
  <c r="T35" s="1"/>
  <c r="H259" i="2757"/>
  <c r="H237"/>
  <c r="E20" i="49"/>
  <c r="F23"/>
  <c r="F35"/>
  <c r="G20"/>
  <c r="H23"/>
  <c r="I20"/>
  <c r="J23"/>
  <c r="K20"/>
  <c r="L23"/>
  <c r="M20"/>
  <c r="N23"/>
  <c r="P23"/>
  <c r="Q20"/>
  <c r="R23"/>
  <c r="S20"/>
  <c r="F30"/>
  <c r="J30"/>
  <c r="L35"/>
  <c r="L30"/>
  <c r="N30"/>
  <c r="P35"/>
  <c r="Q35"/>
  <c r="O35"/>
  <c r="E35"/>
  <c r="K35"/>
  <c r="I35"/>
  <c r="G35"/>
  <c r="K30"/>
  <c r="I30"/>
  <c r="O30"/>
  <c r="M30"/>
  <c r="T30" l="1"/>
  <c r="D269" i="2762"/>
  <c r="D278" s="1"/>
  <c r="O14" i="49" s="1"/>
  <c r="O20" s="1"/>
  <c r="I259" i="2772"/>
  <c r="I237"/>
  <c r="J259"/>
  <c r="J237"/>
  <c r="H260" i="2771"/>
  <c r="I258"/>
  <c r="J257"/>
  <c r="I232"/>
  <c r="J232"/>
  <c r="D265"/>
  <c r="H257"/>
  <c r="D269" s="1"/>
  <c r="D278" s="1"/>
  <c r="F14" i="49" s="1"/>
  <c r="J234" i="2770"/>
  <c r="J233"/>
  <c r="H264"/>
  <c r="I234"/>
  <c r="I233"/>
  <c r="D231" i="2769"/>
  <c r="I258"/>
  <c r="J257"/>
  <c r="H260"/>
  <c r="D265"/>
  <c r="H257"/>
  <c r="I234" i="2768"/>
  <c r="I233"/>
  <c r="H264"/>
  <c r="J234"/>
  <c r="J233"/>
  <c r="H260" i="2767"/>
  <c r="I258"/>
  <c r="J257"/>
  <c r="I232"/>
  <c r="J232"/>
  <c r="D265"/>
  <c r="H257"/>
  <c r="D269" s="1"/>
  <c r="D278" s="1"/>
  <c r="J14" i="49" s="1"/>
  <c r="J234" i="2766"/>
  <c r="J233"/>
  <c r="H264"/>
  <c r="I234"/>
  <c r="I233"/>
  <c r="I232" i="2765"/>
  <c r="J232"/>
  <c r="D265"/>
  <c r="H257"/>
  <c r="I258"/>
  <c r="J257"/>
  <c r="H260"/>
  <c r="I234" i="2764"/>
  <c r="I233"/>
  <c r="H264"/>
  <c r="J234"/>
  <c r="J233"/>
  <c r="I232" i="2763"/>
  <c r="J232"/>
  <c r="D265"/>
  <c r="H257"/>
  <c r="I258"/>
  <c r="J257"/>
  <c r="H260"/>
  <c r="I234" i="2762"/>
  <c r="I233"/>
  <c r="H264"/>
  <c r="J234"/>
  <c r="J233"/>
  <c r="I232" i="2761"/>
  <c r="J232"/>
  <c r="I258"/>
  <c r="J257"/>
  <c r="H260"/>
  <c r="D265"/>
  <c r="H257"/>
  <c r="D269" s="1"/>
  <c r="D278" s="1"/>
  <c r="P14" i="49" s="1"/>
  <c r="H30"/>
  <c r="I234" i="2760"/>
  <c r="I233"/>
  <c r="H264"/>
  <c r="J234"/>
  <c r="J233"/>
  <c r="H260" i="2759"/>
  <c r="I258"/>
  <c r="J257"/>
  <c r="I232"/>
  <c r="J232"/>
  <c r="D265"/>
  <c r="H257"/>
  <c r="D269" s="1"/>
  <c r="D278" s="1"/>
  <c r="R14" i="49" s="1"/>
  <c r="I234" i="2758"/>
  <c r="I233"/>
  <c r="H264"/>
  <c r="J234"/>
  <c r="J233"/>
  <c r="H260" i="2757"/>
  <c r="I258"/>
  <c r="J257"/>
  <c r="I232"/>
  <c r="J232"/>
  <c r="D265"/>
  <c r="H257"/>
  <c r="D269" s="1"/>
  <c r="D278" s="1"/>
  <c r="T14" i="49" s="1"/>
  <c r="T20" s="1"/>
  <c r="J20"/>
  <c r="P20"/>
  <c r="N35"/>
  <c r="H35"/>
  <c r="R35"/>
  <c r="J35"/>
  <c r="D269" i="2769" l="1"/>
  <c r="D278" s="1"/>
  <c r="H14" i="49" s="1"/>
  <c r="H20" s="1"/>
  <c r="I260" i="2772"/>
  <c r="D267"/>
  <c r="I234" i="2771"/>
  <c r="I233"/>
  <c r="H264"/>
  <c r="J234"/>
  <c r="J233"/>
  <c r="D235" i="2770"/>
  <c r="D236" s="1"/>
  <c r="I259"/>
  <c r="I237"/>
  <c r="J259"/>
  <c r="J237"/>
  <c r="I232" i="2769"/>
  <c r="J232"/>
  <c r="H264"/>
  <c r="J259" i="2768"/>
  <c r="J237"/>
  <c r="D235"/>
  <c r="D236" s="1"/>
  <c r="I259"/>
  <c r="I237"/>
  <c r="I234" i="2767"/>
  <c r="I233"/>
  <c r="H264"/>
  <c r="J234"/>
  <c r="J233"/>
  <c r="D235" i="2766"/>
  <c r="D236" s="1"/>
  <c r="I259"/>
  <c r="I237"/>
  <c r="J259"/>
  <c r="J237"/>
  <c r="H264" i="2765"/>
  <c r="I234"/>
  <c r="I233"/>
  <c r="J234"/>
  <c r="J233"/>
  <c r="D269"/>
  <c r="D278" s="1"/>
  <c r="L14" i="49" s="1"/>
  <c r="L20" s="1"/>
  <c r="J259" i="2764"/>
  <c r="J237"/>
  <c r="D235"/>
  <c r="D236" s="1"/>
  <c r="I259"/>
  <c r="I237"/>
  <c r="H264" i="2763"/>
  <c r="I234"/>
  <c r="I233"/>
  <c r="J234"/>
  <c r="J233"/>
  <c r="D269"/>
  <c r="D278" s="1"/>
  <c r="N14" i="49" s="1"/>
  <c r="N20" s="1"/>
  <c r="J259" i="2762"/>
  <c r="J237"/>
  <c r="D235"/>
  <c r="D236" s="1"/>
  <c r="I259"/>
  <c r="I237"/>
  <c r="H264" i="2761"/>
  <c r="I234"/>
  <c r="I233"/>
  <c r="J234"/>
  <c r="J233"/>
  <c r="J259" i="2760"/>
  <c r="J237"/>
  <c r="D235"/>
  <c r="D236" s="1"/>
  <c r="I259"/>
  <c r="I237"/>
  <c r="I234" i="2759"/>
  <c r="I233"/>
  <c r="H264"/>
  <c r="J234"/>
  <c r="J233"/>
  <c r="J259" i="2758"/>
  <c r="J237"/>
  <c r="D235"/>
  <c r="D236" s="1"/>
  <c r="I259"/>
  <c r="I237"/>
  <c r="I234" i="2757"/>
  <c r="I233"/>
  <c r="H264"/>
  <c r="J234"/>
  <c r="J233"/>
  <c r="F20" i="49"/>
  <c r="R20"/>
  <c r="I264" i="2772" l="1"/>
  <c r="I261"/>
  <c r="J260"/>
  <c r="D270" s="1"/>
  <c r="J259" i="2771"/>
  <c r="J237"/>
  <c r="D235"/>
  <c r="D236" s="1"/>
  <c r="I259"/>
  <c r="I237"/>
  <c r="I260" i="2770"/>
  <c r="D267"/>
  <c r="I234" i="2769"/>
  <c r="I233"/>
  <c r="J234"/>
  <c r="J233"/>
  <c r="I260" i="2768"/>
  <c r="D267"/>
  <c r="J259" i="2767"/>
  <c r="J237"/>
  <c r="D235"/>
  <c r="D236" s="1"/>
  <c r="I259"/>
  <c r="I237"/>
  <c r="I260" i="2766"/>
  <c r="D267"/>
  <c r="J259" i="2765"/>
  <c r="J237"/>
  <c r="D235"/>
  <c r="D236" s="1"/>
  <c r="I259"/>
  <c r="I237"/>
  <c r="I260" i="2764"/>
  <c r="D267"/>
  <c r="J259" i="2763"/>
  <c r="J237"/>
  <c r="D235"/>
  <c r="D236" s="1"/>
  <c r="I259"/>
  <c r="I237"/>
  <c r="I260" i="2762"/>
  <c r="D267"/>
  <c r="J259" i="2761"/>
  <c r="J237"/>
  <c r="D235"/>
  <c r="D236" s="1"/>
  <c r="I259"/>
  <c r="I237"/>
  <c r="I260" i="2760"/>
  <c r="D267"/>
  <c r="J259" i="2759"/>
  <c r="J237"/>
  <c r="D235"/>
  <c r="D236" s="1"/>
  <c r="I259"/>
  <c r="I237"/>
  <c r="I260" i="2758"/>
  <c r="D267"/>
  <c r="J259" i="2757"/>
  <c r="J237"/>
  <c r="D235"/>
  <c r="D236" s="1"/>
  <c r="I259"/>
  <c r="I237"/>
  <c r="D274" i="2772" l="1"/>
  <c r="E9" i="49" s="1"/>
  <c r="E22" s="1"/>
  <c r="D276" i="2772"/>
  <c r="E11" i="49" s="1"/>
  <c r="E21" s="1"/>
  <c r="J263" i="2772"/>
  <c r="D271" s="1"/>
  <c r="E10" i="49" s="1"/>
  <c r="E19" s="1"/>
  <c r="J264" i="2772"/>
  <c r="D268" s="1"/>
  <c r="D275" s="1"/>
  <c r="I260" i="2771"/>
  <c r="D267"/>
  <c r="J260" i="2770"/>
  <c r="D270" s="1"/>
  <c r="I264"/>
  <c r="I261"/>
  <c r="D235" i="2769"/>
  <c r="D236" s="1"/>
  <c r="J259"/>
  <c r="J237"/>
  <c r="I259"/>
  <c r="I237"/>
  <c r="J260" i="2768"/>
  <c r="D270" s="1"/>
  <c r="I264"/>
  <c r="I261"/>
  <c r="I260" i="2767"/>
  <c r="D267"/>
  <c r="J260" i="2766"/>
  <c r="D270" s="1"/>
  <c r="I264"/>
  <c r="I261"/>
  <c r="I260" i="2765"/>
  <c r="D267"/>
  <c r="J260" i="2764"/>
  <c r="D270" s="1"/>
  <c r="I264"/>
  <c r="I261"/>
  <c r="I260" i="2763"/>
  <c r="D267"/>
  <c r="J260" i="2762"/>
  <c r="I264"/>
  <c r="I261"/>
  <c r="D270"/>
  <c r="I260" i="2761"/>
  <c r="D267"/>
  <c r="J260" i="2760"/>
  <c r="I264"/>
  <c r="I261"/>
  <c r="D270"/>
  <c r="I260" i="2759"/>
  <c r="D267"/>
  <c r="J260" i="2758"/>
  <c r="I264"/>
  <c r="I261"/>
  <c r="D270"/>
  <c r="I260" i="2757"/>
  <c r="D267"/>
  <c r="J260" i="2771" l="1"/>
  <c r="I264"/>
  <c r="I261"/>
  <c r="D270"/>
  <c r="D276" i="2770"/>
  <c r="G11" i="49" s="1"/>
  <c r="G21" s="1"/>
  <c r="J263" i="2770"/>
  <c r="J264" s="1"/>
  <c r="D268" s="1"/>
  <c r="D275" s="1"/>
  <c r="D274"/>
  <c r="G9" i="49" s="1"/>
  <c r="G22" s="1"/>
  <c r="D271" i="2770"/>
  <c r="G10" i="49" s="1"/>
  <c r="G19" s="1"/>
  <c r="I260" i="2769"/>
  <c r="D267"/>
  <c r="D276" i="2768"/>
  <c r="I11" i="49" s="1"/>
  <c r="I21" s="1"/>
  <c r="J263" i="2768"/>
  <c r="D271" s="1"/>
  <c r="I10" i="49" s="1"/>
  <c r="I19" s="1"/>
  <c r="D274" i="2768"/>
  <c r="I9" i="49" s="1"/>
  <c r="I22" s="1"/>
  <c r="J260" i="2767"/>
  <c r="D270" s="1"/>
  <c r="I264"/>
  <c r="I261"/>
  <c r="D276" i="2766"/>
  <c r="K11" i="49" s="1"/>
  <c r="K21" s="1"/>
  <c r="J263" i="2766"/>
  <c r="D271" s="1"/>
  <c r="K10" i="49" s="1"/>
  <c r="D274" i="2766"/>
  <c r="K9" i="49" s="1"/>
  <c r="K22" s="1"/>
  <c r="J260" i="2765"/>
  <c r="D270" s="1"/>
  <c r="I264"/>
  <c r="I261"/>
  <c r="D276" i="2764"/>
  <c r="M11" i="49" s="1"/>
  <c r="M21" s="1"/>
  <c r="J263" i="2764"/>
  <c r="D271" s="1"/>
  <c r="M10" i="49" s="1"/>
  <c r="D274" i="2764"/>
  <c r="M9" i="49" s="1"/>
  <c r="M22" s="1"/>
  <c r="J260" i="2763"/>
  <c r="D270" s="1"/>
  <c r="I264"/>
  <c r="I261"/>
  <c r="D276" i="2762"/>
  <c r="O11" i="49" s="1"/>
  <c r="O21" s="1"/>
  <c r="J263" i="2762"/>
  <c r="D271" s="1"/>
  <c r="O10" i="49" s="1"/>
  <c r="O19" s="1"/>
  <c r="D274" i="2762"/>
  <c r="O9" i="49" s="1"/>
  <c r="O22" s="1"/>
  <c r="J260" i="2761"/>
  <c r="D270" s="1"/>
  <c r="I264"/>
  <c r="I261"/>
  <c r="D276" i="2760"/>
  <c r="Q11" i="49" s="1"/>
  <c r="Q21" s="1"/>
  <c r="J263" i="2760"/>
  <c r="D271" s="1"/>
  <c r="Q10" i="49" s="1"/>
  <c r="Q19" s="1"/>
  <c r="D274" i="2760"/>
  <c r="Q9" i="49" s="1"/>
  <c r="Q22" s="1"/>
  <c r="J260" i="2759"/>
  <c r="D270" s="1"/>
  <c r="I264"/>
  <c r="I261"/>
  <c r="D276" i="2758"/>
  <c r="S11" i="49" s="1"/>
  <c r="J263" i="2758"/>
  <c r="J264" s="1"/>
  <c r="D268" s="1"/>
  <c r="D275" s="1"/>
  <c r="D274"/>
  <c r="S9" i="49" s="1"/>
  <c r="S22" s="1"/>
  <c r="J260" i="2757"/>
  <c r="D270" s="1"/>
  <c r="I264"/>
  <c r="I261"/>
  <c r="O31" i="49"/>
  <c r="K31"/>
  <c r="I31"/>
  <c r="M31"/>
  <c r="K19" l="1"/>
  <c r="S21"/>
  <c r="S31"/>
  <c r="D271" i="2758"/>
  <c r="S10" i="49" s="1"/>
  <c r="S19" s="1"/>
  <c r="M19"/>
  <c r="D276" i="2771"/>
  <c r="F11" i="49" s="1"/>
  <c r="F21" s="1"/>
  <c r="J263" i="2771"/>
  <c r="D271" s="1"/>
  <c r="F10" i="49" s="1"/>
  <c r="D274" i="2771"/>
  <c r="F9" i="49" s="1"/>
  <c r="F22" s="1"/>
  <c r="J264" i="2762"/>
  <c r="D268" s="1"/>
  <c r="D275" s="1"/>
  <c r="J264" i="2766"/>
  <c r="D268" s="1"/>
  <c r="D275" s="1"/>
  <c r="J260" i="2769"/>
  <c r="D270" s="1"/>
  <c r="I261"/>
  <c r="I264"/>
  <c r="J264" i="2768"/>
  <c r="D268" s="1"/>
  <c r="D275" s="1"/>
  <c r="D276" i="2767"/>
  <c r="J11" i="49" s="1"/>
  <c r="J263" i="2767"/>
  <c r="D271" s="1"/>
  <c r="J10" i="49" s="1"/>
  <c r="D274" i="2767"/>
  <c r="J9" i="49" s="1"/>
  <c r="J22" s="1"/>
  <c r="D276" i="2765"/>
  <c r="L11" i="49" s="1"/>
  <c r="J263" i="2765"/>
  <c r="D271" s="1"/>
  <c r="L10" i="49" s="1"/>
  <c r="D274" i="2765"/>
  <c r="L9" i="49" s="1"/>
  <c r="L22" s="1"/>
  <c r="J264" i="2764"/>
  <c r="D268" s="1"/>
  <c r="D275" s="1"/>
  <c r="D276" i="2763"/>
  <c r="N11" i="49" s="1"/>
  <c r="J263" i="2763"/>
  <c r="J264" s="1"/>
  <c r="D268" s="1"/>
  <c r="D275" s="1"/>
  <c r="D274"/>
  <c r="N9" i="49" s="1"/>
  <c r="N22" s="1"/>
  <c r="F31"/>
  <c r="J264" i="2760"/>
  <c r="D268" s="1"/>
  <c r="D275" s="1"/>
  <c r="D276" i="2761"/>
  <c r="P11" i="49" s="1"/>
  <c r="P21" s="1"/>
  <c r="J263" i="2761"/>
  <c r="D271" s="1"/>
  <c r="P10" i="49" s="1"/>
  <c r="P19" s="1"/>
  <c r="D274" i="2761"/>
  <c r="P9" i="49" s="1"/>
  <c r="P22" s="1"/>
  <c r="D276" i="2759"/>
  <c r="R11" i="49" s="1"/>
  <c r="R21" s="1"/>
  <c r="J263" i="2759"/>
  <c r="D271" s="1"/>
  <c r="R10" i="49" s="1"/>
  <c r="D274" i="2759"/>
  <c r="R9" i="49" s="1"/>
  <c r="R22" s="1"/>
  <c r="D276" i="2757"/>
  <c r="T11" i="49" s="1"/>
  <c r="J263" i="2757"/>
  <c r="J264" s="1"/>
  <c r="D268" s="1"/>
  <c r="D275" s="1"/>
  <c r="D274"/>
  <c r="T9" i="49" s="1"/>
  <c r="T22" s="1"/>
  <c r="R31"/>
  <c r="L19"/>
  <c r="F19"/>
  <c r="R19" l="1"/>
  <c r="J264" i="2771"/>
  <c r="D268" s="1"/>
  <c r="D275" s="1"/>
  <c r="L21" i="49"/>
  <c r="L31"/>
  <c r="J21"/>
  <c r="J31"/>
  <c r="T21"/>
  <c r="T31"/>
  <c r="N31"/>
  <c r="N21"/>
  <c r="J19"/>
  <c r="D271" i="2763"/>
  <c r="N10" i="49" s="1"/>
  <c r="N19" s="1"/>
  <c r="J264" i="2767"/>
  <c r="D268" s="1"/>
  <c r="D275" s="1"/>
  <c r="D276" i="2769"/>
  <c r="H11" i="49" s="1"/>
  <c r="J263" i="2769"/>
  <c r="D271" s="1"/>
  <c r="H10" i="49" s="1"/>
  <c r="D274" i="2769"/>
  <c r="H9" i="49" s="1"/>
  <c r="H22" s="1"/>
  <c r="J264" i="2761"/>
  <c r="D268" s="1"/>
  <c r="D275" s="1"/>
  <c r="J264" i="2765"/>
  <c r="D268" s="1"/>
  <c r="D275" s="1"/>
  <c r="D271" i="2757"/>
  <c r="T10" i="49" s="1"/>
  <c r="T19" s="1"/>
  <c r="J264" i="2759"/>
  <c r="D268" s="1"/>
  <c r="D275" s="1"/>
  <c r="H19" i="49" l="1"/>
  <c r="H21"/>
  <c r="H31"/>
  <c r="J264" i="2769"/>
  <c r="D268" s="1"/>
  <c r="D275" s="1"/>
</calcChain>
</file>

<file path=xl/comments1.xml><?xml version="1.0" encoding="utf-8"?>
<comments xmlns="http://schemas.openxmlformats.org/spreadsheetml/2006/main">
  <authors>
    <author>Paul Ware</author>
  </authors>
  <commentList>
    <comment ref="B38" authorId="0">
      <text>
        <r>
          <rPr>
            <b/>
            <sz val="8"/>
            <color indexed="81"/>
            <rFont val="Tahoma"/>
            <family val="2"/>
          </rPr>
          <t>Paul Ware:</t>
        </r>
        <r>
          <rPr>
            <sz val="8"/>
            <color indexed="81"/>
            <rFont val="Tahoma"/>
            <family val="2"/>
          </rPr>
          <t xml:space="preserve">
"IWX" in this row means that the industry-wide-X value should be applied as the X value, otherwise the alternate X value entred in this row should be applied.
</t>
        </r>
      </text>
    </comment>
  </commentList>
</comments>
</file>

<file path=xl/comments10.xml><?xml version="1.0" encoding="utf-8"?>
<comments xmlns="http://schemas.openxmlformats.org/spreadsheetml/2006/main">
  <authors>
    <author>Paul Ware</author>
  </authors>
  <commentList>
    <comment ref="C7" authorId="0">
      <text>
        <r>
          <rPr>
            <b/>
            <sz val="8"/>
            <color indexed="81"/>
            <rFont val="Tahoma"/>
            <family val="2"/>
          </rPr>
          <t>Paul Ware:</t>
        </r>
        <r>
          <rPr>
            <sz val="8"/>
            <color indexed="81"/>
            <rFont val="Tahoma"/>
            <family val="2"/>
          </rPr>
          <t xml:space="preserve">
These 'year numbers' are used only to refer to data in the input sheet that is arranged as the transpose of the way in which the data is required on this sheet. It does not relate to Year 1, Year 2 etc of a regulatory period.</t>
        </r>
      </text>
    </comment>
    <comment ref="E26" authorId="0">
      <text>
        <r>
          <rPr>
            <b/>
            <sz val="8"/>
            <color indexed="81"/>
            <rFont val="Tahoma"/>
            <family val="2"/>
          </rPr>
          <t>Paul Ware:</t>
        </r>
        <r>
          <rPr>
            <sz val="8"/>
            <color indexed="81"/>
            <rFont val="Tahoma"/>
            <family val="2"/>
          </rPr>
          <t xml:space="preserve">
"IWX" in this cell indicates the </t>
        </r>
        <r>
          <rPr>
            <b/>
            <sz val="8"/>
            <color indexed="81"/>
            <rFont val="Tahoma"/>
            <family val="2"/>
          </rPr>
          <t>I</t>
        </r>
        <r>
          <rPr>
            <sz val="8"/>
            <color indexed="81"/>
            <rFont val="Tahoma"/>
            <family val="2"/>
          </rPr>
          <t>ndustry-</t>
        </r>
        <r>
          <rPr>
            <b/>
            <sz val="8"/>
            <color indexed="81"/>
            <rFont val="Tahoma"/>
            <family val="2"/>
          </rPr>
          <t>W</t>
        </r>
        <r>
          <rPr>
            <sz val="8"/>
            <color indexed="81"/>
            <rFont val="Tahoma"/>
            <family val="2"/>
          </rPr>
          <t xml:space="preserve">ide </t>
        </r>
        <r>
          <rPr>
            <b/>
            <sz val="8"/>
            <color indexed="81"/>
            <rFont val="Tahoma"/>
            <family val="2"/>
          </rPr>
          <t>X</t>
        </r>
        <r>
          <rPr>
            <sz val="8"/>
            <color indexed="81"/>
            <rFont val="Tahoma"/>
            <family val="2"/>
          </rPr>
          <t xml:space="preserve"> value is to be used. Otherwise the numerical value entered is the alternate X.</t>
        </r>
      </text>
    </comment>
    <comment ref="L37" authorId="0">
      <text>
        <r>
          <rPr>
            <b/>
            <sz val="8"/>
            <color indexed="81"/>
            <rFont val="Tahoma"/>
            <family val="2"/>
          </rPr>
          <t>Paul Ware:</t>
        </r>
        <r>
          <rPr>
            <sz val="8"/>
            <color indexed="81"/>
            <rFont val="Tahoma"/>
            <family val="2"/>
          </rPr>
          <t xml:space="preserve">
This row and the one above differ with respect to whether the GST adjustment is made. Note that the distinction has no numerical impact on results as 2012/13 values and prior are not used and 2013/14 and 2014/15 values are not impacted by the distinction.</t>
        </r>
      </text>
    </comment>
    <comment ref="C196" authorId="0">
      <text>
        <r>
          <rPr>
            <b/>
            <sz val="8"/>
            <color indexed="81"/>
            <rFont val="Tahoma"/>
            <family val="2"/>
          </rPr>
          <t>Paul Ware:</t>
        </r>
        <r>
          <rPr>
            <sz val="8"/>
            <color indexed="81"/>
            <rFont val="Tahoma"/>
            <family val="2"/>
          </rPr>
          <t xml:space="preserve">
Tax losses are not expected and are therefore not explicitly modelled. However if tax losses were to occur, then the Regulatory tax allowance calculated in the row above would be negative. This row would then take the error value #N/A which would propogate through the calculations to the results, thus providing an alert that tax losses had been calculated.</t>
        </r>
      </text>
    </comment>
  </commentList>
</comments>
</file>

<file path=xl/comments11.xml><?xml version="1.0" encoding="utf-8"?>
<comments xmlns="http://schemas.openxmlformats.org/spreadsheetml/2006/main">
  <authors>
    <author>Paul Ware</author>
  </authors>
  <commentList>
    <comment ref="C7" authorId="0">
      <text>
        <r>
          <rPr>
            <b/>
            <sz val="8"/>
            <color indexed="81"/>
            <rFont val="Tahoma"/>
            <family val="2"/>
          </rPr>
          <t>Paul Ware:</t>
        </r>
        <r>
          <rPr>
            <sz val="8"/>
            <color indexed="81"/>
            <rFont val="Tahoma"/>
            <family val="2"/>
          </rPr>
          <t xml:space="preserve">
These 'year numbers' are used only to refer to data in the input sheet that is arranged as the transpose of the way in which the data is required on this sheet. It does not relate to Year 1, Year 2 etc of a regulatory period.</t>
        </r>
      </text>
    </comment>
    <comment ref="E26" authorId="0">
      <text>
        <r>
          <rPr>
            <b/>
            <sz val="8"/>
            <color indexed="81"/>
            <rFont val="Tahoma"/>
            <family val="2"/>
          </rPr>
          <t>Paul Ware:</t>
        </r>
        <r>
          <rPr>
            <sz val="8"/>
            <color indexed="81"/>
            <rFont val="Tahoma"/>
            <family val="2"/>
          </rPr>
          <t xml:space="preserve">
"IWX" in this cell indicates the </t>
        </r>
        <r>
          <rPr>
            <b/>
            <sz val="8"/>
            <color indexed="81"/>
            <rFont val="Tahoma"/>
            <family val="2"/>
          </rPr>
          <t>I</t>
        </r>
        <r>
          <rPr>
            <sz val="8"/>
            <color indexed="81"/>
            <rFont val="Tahoma"/>
            <family val="2"/>
          </rPr>
          <t>ndustry-</t>
        </r>
        <r>
          <rPr>
            <b/>
            <sz val="8"/>
            <color indexed="81"/>
            <rFont val="Tahoma"/>
            <family val="2"/>
          </rPr>
          <t>W</t>
        </r>
        <r>
          <rPr>
            <sz val="8"/>
            <color indexed="81"/>
            <rFont val="Tahoma"/>
            <family val="2"/>
          </rPr>
          <t xml:space="preserve">ide </t>
        </r>
        <r>
          <rPr>
            <b/>
            <sz val="8"/>
            <color indexed="81"/>
            <rFont val="Tahoma"/>
            <family val="2"/>
          </rPr>
          <t>X</t>
        </r>
        <r>
          <rPr>
            <sz val="8"/>
            <color indexed="81"/>
            <rFont val="Tahoma"/>
            <family val="2"/>
          </rPr>
          <t xml:space="preserve"> value is to be used. Otherwise the numerical value entered is the alternate X.</t>
        </r>
      </text>
    </comment>
    <comment ref="L37" authorId="0">
      <text>
        <r>
          <rPr>
            <b/>
            <sz val="8"/>
            <color indexed="81"/>
            <rFont val="Tahoma"/>
            <family val="2"/>
          </rPr>
          <t>Paul Ware:</t>
        </r>
        <r>
          <rPr>
            <sz val="8"/>
            <color indexed="81"/>
            <rFont val="Tahoma"/>
            <family val="2"/>
          </rPr>
          <t xml:space="preserve">
This row and the one above differ with respect to whether the GST adjustment is made. Note that the distinction has no numerical impact on results as 2012/13 values and prior are not used and 2013/14 and 2014/15 values are not impacted by the distinction.</t>
        </r>
      </text>
    </comment>
    <comment ref="C196" authorId="0">
      <text>
        <r>
          <rPr>
            <b/>
            <sz val="8"/>
            <color indexed="81"/>
            <rFont val="Tahoma"/>
            <family val="2"/>
          </rPr>
          <t>Paul Ware:</t>
        </r>
        <r>
          <rPr>
            <sz val="8"/>
            <color indexed="81"/>
            <rFont val="Tahoma"/>
            <family val="2"/>
          </rPr>
          <t xml:space="preserve">
Tax losses are not expected and are therefore not explicitly modelled. However if tax losses were to occur, then the Regulatory tax allowance calculated in the row above would be negative. This row would then take the error value #N/A which would propogate through the calculations to the results, thus providing an alert that tax losses had been calculated.</t>
        </r>
      </text>
    </comment>
  </commentList>
</comments>
</file>

<file path=xl/comments12.xml><?xml version="1.0" encoding="utf-8"?>
<comments xmlns="http://schemas.openxmlformats.org/spreadsheetml/2006/main">
  <authors>
    <author>Paul Ware</author>
  </authors>
  <commentList>
    <comment ref="C7" authorId="0">
      <text>
        <r>
          <rPr>
            <b/>
            <sz val="8"/>
            <color indexed="81"/>
            <rFont val="Tahoma"/>
            <family val="2"/>
          </rPr>
          <t>Paul Ware:</t>
        </r>
        <r>
          <rPr>
            <sz val="8"/>
            <color indexed="81"/>
            <rFont val="Tahoma"/>
            <family val="2"/>
          </rPr>
          <t xml:space="preserve">
These 'year numbers' are used only to refer to data in the input sheet that is arranged as the transpose of the way in which the data is required on this sheet. It does not relate to Year 1, Year 2 etc of a regulatory period.</t>
        </r>
      </text>
    </comment>
    <comment ref="E26" authorId="0">
      <text>
        <r>
          <rPr>
            <b/>
            <sz val="8"/>
            <color indexed="81"/>
            <rFont val="Tahoma"/>
            <family val="2"/>
          </rPr>
          <t>Paul Ware:</t>
        </r>
        <r>
          <rPr>
            <sz val="8"/>
            <color indexed="81"/>
            <rFont val="Tahoma"/>
            <family val="2"/>
          </rPr>
          <t xml:space="preserve">
"IWX" in this cell indicates the </t>
        </r>
        <r>
          <rPr>
            <b/>
            <sz val="8"/>
            <color indexed="81"/>
            <rFont val="Tahoma"/>
            <family val="2"/>
          </rPr>
          <t>I</t>
        </r>
        <r>
          <rPr>
            <sz val="8"/>
            <color indexed="81"/>
            <rFont val="Tahoma"/>
            <family val="2"/>
          </rPr>
          <t>ndustry-</t>
        </r>
        <r>
          <rPr>
            <b/>
            <sz val="8"/>
            <color indexed="81"/>
            <rFont val="Tahoma"/>
            <family val="2"/>
          </rPr>
          <t>W</t>
        </r>
        <r>
          <rPr>
            <sz val="8"/>
            <color indexed="81"/>
            <rFont val="Tahoma"/>
            <family val="2"/>
          </rPr>
          <t xml:space="preserve">ide </t>
        </r>
        <r>
          <rPr>
            <b/>
            <sz val="8"/>
            <color indexed="81"/>
            <rFont val="Tahoma"/>
            <family val="2"/>
          </rPr>
          <t>X</t>
        </r>
        <r>
          <rPr>
            <sz val="8"/>
            <color indexed="81"/>
            <rFont val="Tahoma"/>
            <family val="2"/>
          </rPr>
          <t xml:space="preserve"> value is to be used. Otherwise the numerical value entered is the alternate X.</t>
        </r>
      </text>
    </comment>
    <comment ref="L37" authorId="0">
      <text>
        <r>
          <rPr>
            <b/>
            <sz val="8"/>
            <color indexed="81"/>
            <rFont val="Tahoma"/>
            <family val="2"/>
          </rPr>
          <t>Paul Ware:</t>
        </r>
        <r>
          <rPr>
            <sz val="8"/>
            <color indexed="81"/>
            <rFont val="Tahoma"/>
            <family val="2"/>
          </rPr>
          <t xml:space="preserve">
This row and the one above differ with respect to whether the GST adjustment is made. Note that the distinction has no numerical impact on results as 2012/13 values and prior are not used and 2013/14 and 2014/15 values are not impacted by the distinction.</t>
        </r>
      </text>
    </comment>
    <comment ref="C196" authorId="0">
      <text>
        <r>
          <rPr>
            <b/>
            <sz val="8"/>
            <color indexed="81"/>
            <rFont val="Tahoma"/>
            <family val="2"/>
          </rPr>
          <t>Paul Ware:</t>
        </r>
        <r>
          <rPr>
            <sz val="8"/>
            <color indexed="81"/>
            <rFont val="Tahoma"/>
            <family val="2"/>
          </rPr>
          <t xml:space="preserve">
Tax losses are not expected and are therefore not explicitly modelled. However if tax losses were to occur, then the Regulatory tax allowance calculated in the row above would be negative. This row would then take the error value #N/A which would propogate through the calculations to the results, thus providing an alert that tax losses had been calculated.</t>
        </r>
      </text>
    </comment>
  </commentList>
</comments>
</file>

<file path=xl/comments13.xml><?xml version="1.0" encoding="utf-8"?>
<comments xmlns="http://schemas.openxmlformats.org/spreadsheetml/2006/main">
  <authors>
    <author>Paul Ware</author>
  </authors>
  <commentList>
    <comment ref="C7" authorId="0">
      <text>
        <r>
          <rPr>
            <b/>
            <sz val="8"/>
            <color indexed="81"/>
            <rFont val="Tahoma"/>
            <family val="2"/>
          </rPr>
          <t>Paul Ware:</t>
        </r>
        <r>
          <rPr>
            <sz val="8"/>
            <color indexed="81"/>
            <rFont val="Tahoma"/>
            <family val="2"/>
          </rPr>
          <t xml:space="preserve">
These 'year numbers' are used only to refer to data in the input sheet that is arranged as the transpose of the way in which the data is required on this sheet. It does not relate to Year 1, Year 2 etc of a regulatory period.</t>
        </r>
      </text>
    </comment>
    <comment ref="E26" authorId="0">
      <text>
        <r>
          <rPr>
            <b/>
            <sz val="8"/>
            <color indexed="81"/>
            <rFont val="Tahoma"/>
            <family val="2"/>
          </rPr>
          <t>Paul Ware:</t>
        </r>
        <r>
          <rPr>
            <sz val="8"/>
            <color indexed="81"/>
            <rFont val="Tahoma"/>
            <family val="2"/>
          </rPr>
          <t xml:space="preserve">
"IWX" in this cell indicates the </t>
        </r>
        <r>
          <rPr>
            <b/>
            <sz val="8"/>
            <color indexed="81"/>
            <rFont val="Tahoma"/>
            <family val="2"/>
          </rPr>
          <t>I</t>
        </r>
        <r>
          <rPr>
            <sz val="8"/>
            <color indexed="81"/>
            <rFont val="Tahoma"/>
            <family val="2"/>
          </rPr>
          <t>ndustry-</t>
        </r>
        <r>
          <rPr>
            <b/>
            <sz val="8"/>
            <color indexed="81"/>
            <rFont val="Tahoma"/>
            <family val="2"/>
          </rPr>
          <t>W</t>
        </r>
        <r>
          <rPr>
            <sz val="8"/>
            <color indexed="81"/>
            <rFont val="Tahoma"/>
            <family val="2"/>
          </rPr>
          <t xml:space="preserve">ide </t>
        </r>
        <r>
          <rPr>
            <b/>
            <sz val="8"/>
            <color indexed="81"/>
            <rFont val="Tahoma"/>
            <family val="2"/>
          </rPr>
          <t>X</t>
        </r>
        <r>
          <rPr>
            <sz val="8"/>
            <color indexed="81"/>
            <rFont val="Tahoma"/>
            <family val="2"/>
          </rPr>
          <t xml:space="preserve"> value is to be used. Otherwise the numerical value entered is the alternate X.</t>
        </r>
      </text>
    </comment>
    <comment ref="L37" authorId="0">
      <text>
        <r>
          <rPr>
            <b/>
            <sz val="8"/>
            <color indexed="81"/>
            <rFont val="Tahoma"/>
            <family val="2"/>
          </rPr>
          <t>Paul Ware:</t>
        </r>
        <r>
          <rPr>
            <sz val="8"/>
            <color indexed="81"/>
            <rFont val="Tahoma"/>
            <family val="2"/>
          </rPr>
          <t xml:space="preserve">
This row and the one above differ with respect to whether the GST adjustment is made. Note that the distinction has no numerical impact on results as 2012/13 values and prior are not used and 2013/14 and 2014/15 values are not impacted by the distinction.</t>
        </r>
      </text>
    </comment>
    <comment ref="C196" authorId="0">
      <text>
        <r>
          <rPr>
            <b/>
            <sz val="8"/>
            <color indexed="81"/>
            <rFont val="Tahoma"/>
            <family val="2"/>
          </rPr>
          <t>Paul Ware:</t>
        </r>
        <r>
          <rPr>
            <sz val="8"/>
            <color indexed="81"/>
            <rFont val="Tahoma"/>
            <family val="2"/>
          </rPr>
          <t xml:space="preserve">
Tax losses are not expected and are therefore not explicitly modelled. However if tax losses were to occur, then the Regulatory tax allowance calculated in the row above would be negative. This row would then take the error value #N/A which would propogate through the calculations to the results, thus providing an alert that tax losses had been calculated.</t>
        </r>
      </text>
    </comment>
  </commentList>
</comments>
</file>

<file path=xl/comments14.xml><?xml version="1.0" encoding="utf-8"?>
<comments xmlns="http://schemas.openxmlformats.org/spreadsheetml/2006/main">
  <authors>
    <author>Paul Ware</author>
  </authors>
  <commentList>
    <comment ref="C7" authorId="0">
      <text>
        <r>
          <rPr>
            <b/>
            <sz val="8"/>
            <color indexed="81"/>
            <rFont val="Tahoma"/>
            <family val="2"/>
          </rPr>
          <t>Paul Ware:</t>
        </r>
        <r>
          <rPr>
            <sz val="8"/>
            <color indexed="81"/>
            <rFont val="Tahoma"/>
            <family val="2"/>
          </rPr>
          <t xml:space="preserve">
These 'year numbers' are used only to refer to data in the input sheet that is arranged as the transpose of the way in which the data is required on this sheet. It does not relate to Year 1, Year 2 etc of a regulatory period.</t>
        </r>
      </text>
    </comment>
    <comment ref="E26" authorId="0">
      <text>
        <r>
          <rPr>
            <b/>
            <sz val="8"/>
            <color indexed="81"/>
            <rFont val="Tahoma"/>
            <family val="2"/>
          </rPr>
          <t>Paul Ware:</t>
        </r>
        <r>
          <rPr>
            <sz val="8"/>
            <color indexed="81"/>
            <rFont val="Tahoma"/>
            <family val="2"/>
          </rPr>
          <t xml:space="preserve">
"IWX" in this cell indicates the </t>
        </r>
        <r>
          <rPr>
            <b/>
            <sz val="8"/>
            <color indexed="81"/>
            <rFont val="Tahoma"/>
            <family val="2"/>
          </rPr>
          <t>I</t>
        </r>
        <r>
          <rPr>
            <sz val="8"/>
            <color indexed="81"/>
            <rFont val="Tahoma"/>
            <family val="2"/>
          </rPr>
          <t>ndustry-</t>
        </r>
        <r>
          <rPr>
            <b/>
            <sz val="8"/>
            <color indexed="81"/>
            <rFont val="Tahoma"/>
            <family val="2"/>
          </rPr>
          <t>W</t>
        </r>
        <r>
          <rPr>
            <sz val="8"/>
            <color indexed="81"/>
            <rFont val="Tahoma"/>
            <family val="2"/>
          </rPr>
          <t xml:space="preserve">ide </t>
        </r>
        <r>
          <rPr>
            <b/>
            <sz val="8"/>
            <color indexed="81"/>
            <rFont val="Tahoma"/>
            <family val="2"/>
          </rPr>
          <t>X</t>
        </r>
        <r>
          <rPr>
            <sz val="8"/>
            <color indexed="81"/>
            <rFont val="Tahoma"/>
            <family val="2"/>
          </rPr>
          <t xml:space="preserve"> value is to be used. Otherwise the numerical value entered is the alternate X.</t>
        </r>
      </text>
    </comment>
    <comment ref="L37" authorId="0">
      <text>
        <r>
          <rPr>
            <b/>
            <sz val="8"/>
            <color indexed="81"/>
            <rFont val="Tahoma"/>
            <family val="2"/>
          </rPr>
          <t>Paul Ware:</t>
        </r>
        <r>
          <rPr>
            <sz val="8"/>
            <color indexed="81"/>
            <rFont val="Tahoma"/>
            <family val="2"/>
          </rPr>
          <t xml:space="preserve">
This row and the one above differ with respect to whether the GST adjustment is made. Note that the distinction has no numerical impact on results as 2012/13 values and prior are not used and 2013/14 and 2014/15 values are not impacted by the distinction.</t>
        </r>
      </text>
    </comment>
    <comment ref="C196" authorId="0">
      <text>
        <r>
          <rPr>
            <b/>
            <sz val="8"/>
            <color indexed="81"/>
            <rFont val="Tahoma"/>
            <family val="2"/>
          </rPr>
          <t>Paul Ware:</t>
        </r>
        <r>
          <rPr>
            <sz val="8"/>
            <color indexed="81"/>
            <rFont val="Tahoma"/>
            <family val="2"/>
          </rPr>
          <t xml:space="preserve">
Tax losses are not expected and are therefore not explicitly modelled. However if tax losses were to occur, then the Regulatory tax allowance calculated in the row above would be negative. This row would then take the error value #N/A which would propogate through the calculations to the results, thus providing an alert that tax losses had been calculated.</t>
        </r>
      </text>
    </comment>
  </commentList>
</comments>
</file>

<file path=xl/comments15.xml><?xml version="1.0" encoding="utf-8"?>
<comments xmlns="http://schemas.openxmlformats.org/spreadsheetml/2006/main">
  <authors>
    <author>Paul Ware</author>
  </authors>
  <commentList>
    <comment ref="C7" authorId="0">
      <text>
        <r>
          <rPr>
            <b/>
            <sz val="8"/>
            <color indexed="81"/>
            <rFont val="Tahoma"/>
            <family val="2"/>
          </rPr>
          <t>Paul Ware:</t>
        </r>
        <r>
          <rPr>
            <sz val="8"/>
            <color indexed="81"/>
            <rFont val="Tahoma"/>
            <family val="2"/>
          </rPr>
          <t xml:space="preserve">
These 'year numbers' are used only to refer to data in the input sheet that is arranged as the transpose of the way in which the data is required on this sheet. It does not relate to Year 1, Year 2 etc of a regulatory period.</t>
        </r>
      </text>
    </comment>
    <comment ref="E26" authorId="0">
      <text>
        <r>
          <rPr>
            <b/>
            <sz val="8"/>
            <color indexed="81"/>
            <rFont val="Tahoma"/>
            <family val="2"/>
          </rPr>
          <t>Paul Ware:</t>
        </r>
        <r>
          <rPr>
            <sz val="8"/>
            <color indexed="81"/>
            <rFont val="Tahoma"/>
            <family val="2"/>
          </rPr>
          <t xml:space="preserve">
"IWX" in this cell indicates the </t>
        </r>
        <r>
          <rPr>
            <b/>
            <sz val="8"/>
            <color indexed="81"/>
            <rFont val="Tahoma"/>
            <family val="2"/>
          </rPr>
          <t>I</t>
        </r>
        <r>
          <rPr>
            <sz val="8"/>
            <color indexed="81"/>
            <rFont val="Tahoma"/>
            <family val="2"/>
          </rPr>
          <t>ndustry-</t>
        </r>
        <r>
          <rPr>
            <b/>
            <sz val="8"/>
            <color indexed="81"/>
            <rFont val="Tahoma"/>
            <family val="2"/>
          </rPr>
          <t>W</t>
        </r>
        <r>
          <rPr>
            <sz val="8"/>
            <color indexed="81"/>
            <rFont val="Tahoma"/>
            <family val="2"/>
          </rPr>
          <t xml:space="preserve">ide </t>
        </r>
        <r>
          <rPr>
            <b/>
            <sz val="8"/>
            <color indexed="81"/>
            <rFont val="Tahoma"/>
            <family val="2"/>
          </rPr>
          <t>X</t>
        </r>
        <r>
          <rPr>
            <sz val="8"/>
            <color indexed="81"/>
            <rFont val="Tahoma"/>
            <family val="2"/>
          </rPr>
          <t xml:space="preserve"> value is to be used. Otherwise the numerical value entered is the alternate X.</t>
        </r>
      </text>
    </comment>
    <comment ref="L37" authorId="0">
      <text>
        <r>
          <rPr>
            <b/>
            <sz val="8"/>
            <color indexed="81"/>
            <rFont val="Tahoma"/>
            <family val="2"/>
          </rPr>
          <t>Paul Ware:</t>
        </r>
        <r>
          <rPr>
            <sz val="8"/>
            <color indexed="81"/>
            <rFont val="Tahoma"/>
            <family val="2"/>
          </rPr>
          <t xml:space="preserve">
This row and the one above differ with respect to whether the GST adjustment is made. Note that the distinction has no numerical impact on results as 2012/13 values and prior are not used and 2013/14 and 2014/15 values are not impacted by the distinction.</t>
        </r>
      </text>
    </comment>
    <comment ref="C196" authorId="0">
      <text>
        <r>
          <rPr>
            <b/>
            <sz val="8"/>
            <color indexed="81"/>
            <rFont val="Tahoma"/>
            <family val="2"/>
          </rPr>
          <t>Paul Ware:</t>
        </r>
        <r>
          <rPr>
            <sz val="8"/>
            <color indexed="81"/>
            <rFont val="Tahoma"/>
            <family val="2"/>
          </rPr>
          <t xml:space="preserve">
Tax losses are not expected and are therefore not explicitly modelled. However if tax losses were to occur, then the Regulatory tax allowance calculated in the row above would be negative. This row would then take the error value #N/A which would propogate through the calculations to the results, thus providing an alert that tax losses had been calculated.</t>
        </r>
      </text>
    </comment>
  </commentList>
</comments>
</file>

<file path=xl/comments16.xml><?xml version="1.0" encoding="utf-8"?>
<comments xmlns="http://schemas.openxmlformats.org/spreadsheetml/2006/main">
  <authors>
    <author>Paul Ware</author>
  </authors>
  <commentList>
    <comment ref="C7" authorId="0">
      <text>
        <r>
          <rPr>
            <b/>
            <sz val="8"/>
            <color indexed="81"/>
            <rFont val="Tahoma"/>
            <family val="2"/>
          </rPr>
          <t>Paul Ware:</t>
        </r>
        <r>
          <rPr>
            <sz val="8"/>
            <color indexed="81"/>
            <rFont val="Tahoma"/>
            <family val="2"/>
          </rPr>
          <t xml:space="preserve">
These 'year numbers' are used only to refer to data in the input sheet that is arranged as the transpose of the way in which the data is required on this sheet. It does not relate to Year 1, Year 2 etc of a regulatory period.</t>
        </r>
      </text>
    </comment>
    <comment ref="E26" authorId="0">
      <text>
        <r>
          <rPr>
            <b/>
            <sz val="8"/>
            <color indexed="81"/>
            <rFont val="Tahoma"/>
            <family val="2"/>
          </rPr>
          <t>Paul Ware:</t>
        </r>
        <r>
          <rPr>
            <sz val="8"/>
            <color indexed="81"/>
            <rFont val="Tahoma"/>
            <family val="2"/>
          </rPr>
          <t xml:space="preserve">
"IWX" in this cell indicates the </t>
        </r>
        <r>
          <rPr>
            <b/>
            <sz val="8"/>
            <color indexed="81"/>
            <rFont val="Tahoma"/>
            <family val="2"/>
          </rPr>
          <t>I</t>
        </r>
        <r>
          <rPr>
            <sz val="8"/>
            <color indexed="81"/>
            <rFont val="Tahoma"/>
            <family val="2"/>
          </rPr>
          <t>ndustry-</t>
        </r>
        <r>
          <rPr>
            <b/>
            <sz val="8"/>
            <color indexed="81"/>
            <rFont val="Tahoma"/>
            <family val="2"/>
          </rPr>
          <t>W</t>
        </r>
        <r>
          <rPr>
            <sz val="8"/>
            <color indexed="81"/>
            <rFont val="Tahoma"/>
            <family val="2"/>
          </rPr>
          <t xml:space="preserve">ide </t>
        </r>
        <r>
          <rPr>
            <b/>
            <sz val="8"/>
            <color indexed="81"/>
            <rFont val="Tahoma"/>
            <family val="2"/>
          </rPr>
          <t>X</t>
        </r>
        <r>
          <rPr>
            <sz val="8"/>
            <color indexed="81"/>
            <rFont val="Tahoma"/>
            <family val="2"/>
          </rPr>
          <t xml:space="preserve"> value is to be used. Otherwise the numerical value entered is the alternate X.</t>
        </r>
      </text>
    </comment>
    <comment ref="L37" authorId="0">
      <text>
        <r>
          <rPr>
            <b/>
            <sz val="8"/>
            <color indexed="81"/>
            <rFont val="Tahoma"/>
            <family val="2"/>
          </rPr>
          <t>Paul Ware:</t>
        </r>
        <r>
          <rPr>
            <sz val="8"/>
            <color indexed="81"/>
            <rFont val="Tahoma"/>
            <family val="2"/>
          </rPr>
          <t xml:space="preserve">
This row and the one above differ with respect to whether the GST adjustment is made. Note that the distinction has no numerical impact on results as 2012/13 values and prior are not used and 2013/14 and 2014/15 values are not impacted by the distinction.</t>
        </r>
      </text>
    </comment>
    <comment ref="C196" authorId="0">
      <text>
        <r>
          <rPr>
            <b/>
            <sz val="8"/>
            <color indexed="81"/>
            <rFont val="Tahoma"/>
            <family val="2"/>
          </rPr>
          <t>Paul Ware:</t>
        </r>
        <r>
          <rPr>
            <sz val="8"/>
            <color indexed="81"/>
            <rFont val="Tahoma"/>
            <family val="2"/>
          </rPr>
          <t xml:space="preserve">
Tax losses are not expected and are therefore not explicitly modelled. However if tax losses were to occur, then the Regulatory tax allowance calculated in the row above would be negative. This row would then take the error value #N/A which would propogate through the calculations to the results, thus providing an alert that tax losses had been calculated.</t>
        </r>
      </text>
    </comment>
  </commentList>
</comments>
</file>

<file path=xl/comments17.xml><?xml version="1.0" encoding="utf-8"?>
<comments xmlns="http://schemas.openxmlformats.org/spreadsheetml/2006/main">
  <authors>
    <author>Paul Ware</author>
  </authors>
  <commentList>
    <comment ref="C7" authorId="0">
      <text>
        <r>
          <rPr>
            <b/>
            <sz val="8"/>
            <color indexed="81"/>
            <rFont val="Tahoma"/>
            <family val="2"/>
          </rPr>
          <t>Paul Ware:</t>
        </r>
        <r>
          <rPr>
            <sz val="8"/>
            <color indexed="81"/>
            <rFont val="Tahoma"/>
            <family val="2"/>
          </rPr>
          <t xml:space="preserve">
These 'year numbers' are used only to refer to data in the input sheet that is arranged as the transpose of the way in which the data is required on this sheet. It does not relate to Year 1, Year 2 etc of a regulatory period.</t>
        </r>
      </text>
    </comment>
    <comment ref="E26" authorId="0">
      <text>
        <r>
          <rPr>
            <b/>
            <sz val="8"/>
            <color indexed="81"/>
            <rFont val="Tahoma"/>
            <family val="2"/>
          </rPr>
          <t>Paul Ware:</t>
        </r>
        <r>
          <rPr>
            <sz val="8"/>
            <color indexed="81"/>
            <rFont val="Tahoma"/>
            <family val="2"/>
          </rPr>
          <t xml:space="preserve">
"IWX" in this cell indicates the </t>
        </r>
        <r>
          <rPr>
            <b/>
            <sz val="8"/>
            <color indexed="81"/>
            <rFont val="Tahoma"/>
            <family val="2"/>
          </rPr>
          <t>I</t>
        </r>
        <r>
          <rPr>
            <sz val="8"/>
            <color indexed="81"/>
            <rFont val="Tahoma"/>
            <family val="2"/>
          </rPr>
          <t>ndustry-</t>
        </r>
        <r>
          <rPr>
            <b/>
            <sz val="8"/>
            <color indexed="81"/>
            <rFont val="Tahoma"/>
            <family val="2"/>
          </rPr>
          <t>W</t>
        </r>
        <r>
          <rPr>
            <sz val="8"/>
            <color indexed="81"/>
            <rFont val="Tahoma"/>
            <family val="2"/>
          </rPr>
          <t xml:space="preserve">ide </t>
        </r>
        <r>
          <rPr>
            <b/>
            <sz val="8"/>
            <color indexed="81"/>
            <rFont val="Tahoma"/>
            <family val="2"/>
          </rPr>
          <t>X</t>
        </r>
        <r>
          <rPr>
            <sz val="8"/>
            <color indexed="81"/>
            <rFont val="Tahoma"/>
            <family val="2"/>
          </rPr>
          <t xml:space="preserve"> value is to be used. Otherwise the numerical value entered is the alternate X.</t>
        </r>
      </text>
    </comment>
    <comment ref="L37" authorId="0">
      <text>
        <r>
          <rPr>
            <b/>
            <sz val="8"/>
            <color indexed="81"/>
            <rFont val="Tahoma"/>
            <family val="2"/>
          </rPr>
          <t>Paul Ware:</t>
        </r>
        <r>
          <rPr>
            <sz val="8"/>
            <color indexed="81"/>
            <rFont val="Tahoma"/>
            <family val="2"/>
          </rPr>
          <t xml:space="preserve">
This row and the one above differ with respect to whether the GST adjustment is made. Note that the distinction has no numerical impact on results as 2012/13 values and prior are not used and 2013/14 and 2014/15 values are not impacted by the distinction.</t>
        </r>
      </text>
    </comment>
    <comment ref="C196" authorId="0">
      <text>
        <r>
          <rPr>
            <b/>
            <sz val="8"/>
            <color indexed="81"/>
            <rFont val="Tahoma"/>
            <family val="2"/>
          </rPr>
          <t>Paul Ware:</t>
        </r>
        <r>
          <rPr>
            <sz val="8"/>
            <color indexed="81"/>
            <rFont val="Tahoma"/>
            <family val="2"/>
          </rPr>
          <t xml:space="preserve">
Tax losses are not expected and are therefore not explicitly modelled. However if tax losses were to occur, then the Regulatory tax allowance calculated in the row above would be negative. This row would then take the error value #N/A which would propogate through the calculations to the results, thus providing an alert that tax losses had been calculated.</t>
        </r>
      </text>
    </comment>
  </commentList>
</comments>
</file>

<file path=xl/comments18.xml><?xml version="1.0" encoding="utf-8"?>
<comments xmlns="http://schemas.openxmlformats.org/spreadsheetml/2006/main">
  <authors>
    <author>Paul Ware</author>
  </authors>
  <commentList>
    <comment ref="D8" authorId="0">
      <text>
        <r>
          <rPr>
            <b/>
            <sz val="9"/>
            <color indexed="81"/>
            <rFont val="Tahoma"/>
            <family val="2"/>
          </rPr>
          <t>Paul Ware:</t>
        </r>
        <r>
          <rPr>
            <sz val="9"/>
            <color indexed="81"/>
            <rFont val="Tahoma"/>
            <family val="2"/>
          </rPr>
          <t xml:space="preserve">
All numbers in this column are from Series SE9A, ex Statistics NZ, Sep 2012 quarter, released 16 Oct 2012.</t>
        </r>
      </text>
    </comment>
    <comment ref="I16" authorId="0">
      <text>
        <r>
          <rPr>
            <b/>
            <sz val="9"/>
            <color indexed="81"/>
            <rFont val="Tahoma"/>
            <family val="2"/>
          </rPr>
          <t>Paul Ware:</t>
        </r>
        <r>
          <rPr>
            <sz val="9"/>
            <color indexed="81"/>
            <rFont val="Tahoma"/>
            <family val="2"/>
          </rPr>
          <t xml:space="preserve">
Numbers in this column down to the Mar-12 number are ex www.rbnz.govt, and from the Sept 2009 monetary policy statement released 10 September 2009.</t>
        </r>
      </text>
    </comment>
    <comment ref="J28" authorId="0">
      <text>
        <r>
          <rPr>
            <b/>
            <sz val="9"/>
            <color indexed="81"/>
            <rFont val="Tahoma"/>
            <family val="2"/>
          </rPr>
          <t>Paul Ware:</t>
        </r>
        <r>
          <rPr>
            <sz val="9"/>
            <color indexed="81"/>
            <rFont val="Tahoma"/>
            <family val="2"/>
          </rPr>
          <t xml:space="preserve">
Numbers in this column are ex www.rbnz.govt, and from the Sept 2012 monetary policy statement released 13 September 2012.</t>
        </r>
      </text>
    </comment>
  </commentList>
</comments>
</file>

<file path=xl/comments2.xml><?xml version="1.0" encoding="utf-8"?>
<comments xmlns="http://schemas.openxmlformats.org/spreadsheetml/2006/main">
  <authors>
    <author>Paul Ware</author>
  </authors>
  <commentList>
    <comment ref="C7" authorId="0">
      <text>
        <r>
          <rPr>
            <b/>
            <sz val="8"/>
            <color indexed="81"/>
            <rFont val="Tahoma"/>
            <family val="2"/>
          </rPr>
          <t>Paul Ware:</t>
        </r>
        <r>
          <rPr>
            <sz val="8"/>
            <color indexed="81"/>
            <rFont val="Tahoma"/>
            <family val="2"/>
          </rPr>
          <t xml:space="preserve">
These 'year numbers' are used only to refer to data in the input sheet that is arranged as the transpose of the way in which the data is required on this sheet. It does not relate to Year 1, Year 2 etc of a regulatory period.</t>
        </r>
      </text>
    </comment>
    <comment ref="E26" authorId="0">
      <text>
        <r>
          <rPr>
            <b/>
            <sz val="8"/>
            <color indexed="81"/>
            <rFont val="Tahoma"/>
            <family val="2"/>
          </rPr>
          <t>Paul Ware:</t>
        </r>
        <r>
          <rPr>
            <sz val="8"/>
            <color indexed="81"/>
            <rFont val="Tahoma"/>
            <family val="2"/>
          </rPr>
          <t xml:space="preserve">
"IWX" in this cell indicates the </t>
        </r>
        <r>
          <rPr>
            <b/>
            <sz val="8"/>
            <color indexed="81"/>
            <rFont val="Tahoma"/>
            <family val="2"/>
          </rPr>
          <t>I</t>
        </r>
        <r>
          <rPr>
            <sz val="8"/>
            <color indexed="81"/>
            <rFont val="Tahoma"/>
            <family val="2"/>
          </rPr>
          <t>ndustry-</t>
        </r>
        <r>
          <rPr>
            <b/>
            <sz val="8"/>
            <color indexed="81"/>
            <rFont val="Tahoma"/>
            <family val="2"/>
          </rPr>
          <t>W</t>
        </r>
        <r>
          <rPr>
            <sz val="8"/>
            <color indexed="81"/>
            <rFont val="Tahoma"/>
            <family val="2"/>
          </rPr>
          <t xml:space="preserve">ide </t>
        </r>
        <r>
          <rPr>
            <b/>
            <sz val="8"/>
            <color indexed="81"/>
            <rFont val="Tahoma"/>
            <family val="2"/>
          </rPr>
          <t>X</t>
        </r>
        <r>
          <rPr>
            <sz val="8"/>
            <color indexed="81"/>
            <rFont val="Tahoma"/>
            <family val="2"/>
          </rPr>
          <t xml:space="preserve"> value is to be used. Otherwise the numerical value entered is the alternate X.</t>
        </r>
      </text>
    </comment>
    <comment ref="L37" authorId="0">
      <text>
        <r>
          <rPr>
            <b/>
            <sz val="8"/>
            <color indexed="81"/>
            <rFont val="Tahoma"/>
            <family val="2"/>
          </rPr>
          <t>Paul Ware:</t>
        </r>
        <r>
          <rPr>
            <sz val="8"/>
            <color indexed="81"/>
            <rFont val="Tahoma"/>
            <family val="2"/>
          </rPr>
          <t xml:space="preserve">
This row and the one above differ with respect to whether the GST adjustment is made. Note that the distinction has no numerical impact on results as 2012/13 values and prior are not used and 2013/14 and 2014/15 values are not impacted by the distinction.</t>
        </r>
      </text>
    </comment>
    <comment ref="C196" authorId="0">
      <text>
        <r>
          <rPr>
            <b/>
            <sz val="8"/>
            <color indexed="81"/>
            <rFont val="Tahoma"/>
            <family val="2"/>
          </rPr>
          <t>Paul Ware:</t>
        </r>
        <r>
          <rPr>
            <sz val="8"/>
            <color indexed="81"/>
            <rFont val="Tahoma"/>
            <family val="2"/>
          </rPr>
          <t xml:space="preserve">
Tax losses are not expected and are therefore not explicitly modelled. However if tax losses were to occur, then the Regulatory tax allowance calculated in the row above would be negative. This row would then take the error value #N/A which would propogate through the calculations to the results, thus providing an alert that tax losses had been calculated.</t>
        </r>
      </text>
    </comment>
  </commentList>
</comments>
</file>

<file path=xl/comments3.xml><?xml version="1.0" encoding="utf-8"?>
<comments xmlns="http://schemas.openxmlformats.org/spreadsheetml/2006/main">
  <authors>
    <author>Paul Ware</author>
  </authors>
  <commentList>
    <comment ref="C7" authorId="0">
      <text>
        <r>
          <rPr>
            <b/>
            <sz val="8"/>
            <color indexed="81"/>
            <rFont val="Tahoma"/>
            <family val="2"/>
          </rPr>
          <t>Paul Ware:</t>
        </r>
        <r>
          <rPr>
            <sz val="8"/>
            <color indexed="81"/>
            <rFont val="Tahoma"/>
            <family val="2"/>
          </rPr>
          <t xml:space="preserve">
These 'year numbers' are used only to refer to data in the input sheet that is arranged as the transpose of the way in which the data is required on this sheet. It does not relate to Year 1, Year 2 etc of a regulatory period.</t>
        </r>
      </text>
    </comment>
    <comment ref="E26" authorId="0">
      <text>
        <r>
          <rPr>
            <b/>
            <sz val="8"/>
            <color indexed="81"/>
            <rFont val="Tahoma"/>
            <family val="2"/>
          </rPr>
          <t>Paul Ware:</t>
        </r>
        <r>
          <rPr>
            <sz val="8"/>
            <color indexed="81"/>
            <rFont val="Tahoma"/>
            <family val="2"/>
          </rPr>
          <t xml:space="preserve">
"IWX" in this cell indicates the </t>
        </r>
        <r>
          <rPr>
            <b/>
            <sz val="8"/>
            <color indexed="81"/>
            <rFont val="Tahoma"/>
            <family val="2"/>
          </rPr>
          <t>I</t>
        </r>
        <r>
          <rPr>
            <sz val="8"/>
            <color indexed="81"/>
            <rFont val="Tahoma"/>
            <family val="2"/>
          </rPr>
          <t>ndustry-</t>
        </r>
        <r>
          <rPr>
            <b/>
            <sz val="8"/>
            <color indexed="81"/>
            <rFont val="Tahoma"/>
            <family val="2"/>
          </rPr>
          <t>W</t>
        </r>
        <r>
          <rPr>
            <sz val="8"/>
            <color indexed="81"/>
            <rFont val="Tahoma"/>
            <family val="2"/>
          </rPr>
          <t xml:space="preserve">ide </t>
        </r>
        <r>
          <rPr>
            <b/>
            <sz val="8"/>
            <color indexed="81"/>
            <rFont val="Tahoma"/>
            <family val="2"/>
          </rPr>
          <t>X</t>
        </r>
        <r>
          <rPr>
            <sz val="8"/>
            <color indexed="81"/>
            <rFont val="Tahoma"/>
            <family val="2"/>
          </rPr>
          <t xml:space="preserve"> value is to be used. Otherwise the numerical value entered is the alternate X.</t>
        </r>
      </text>
    </comment>
    <comment ref="L37" authorId="0">
      <text>
        <r>
          <rPr>
            <b/>
            <sz val="8"/>
            <color indexed="81"/>
            <rFont val="Tahoma"/>
            <family val="2"/>
          </rPr>
          <t>Paul Ware:</t>
        </r>
        <r>
          <rPr>
            <sz val="8"/>
            <color indexed="81"/>
            <rFont val="Tahoma"/>
            <family val="2"/>
          </rPr>
          <t xml:space="preserve">
This row and the one above differ with respect to whether the GST adjustment is made. Note that the distinction has no numerical impact on results as 2012/13 values and prior are not used and 2013/14 and 2014/15 values are not impacted by the distinction.</t>
        </r>
      </text>
    </comment>
    <comment ref="C196" authorId="0">
      <text>
        <r>
          <rPr>
            <b/>
            <sz val="8"/>
            <color indexed="81"/>
            <rFont val="Tahoma"/>
            <family val="2"/>
          </rPr>
          <t>Paul Ware:</t>
        </r>
        <r>
          <rPr>
            <sz val="8"/>
            <color indexed="81"/>
            <rFont val="Tahoma"/>
            <family val="2"/>
          </rPr>
          <t xml:space="preserve">
Tax losses are not expected and are therefore not explicitly modelled. However if tax losses were to occur, then the Regulatory tax allowance calculated in the row above would be negative. This row would then take the error value #N/A which would propogate through the calculations to the results, thus providing an alert that tax losses had been calculated.</t>
        </r>
      </text>
    </comment>
  </commentList>
</comments>
</file>

<file path=xl/comments4.xml><?xml version="1.0" encoding="utf-8"?>
<comments xmlns="http://schemas.openxmlformats.org/spreadsheetml/2006/main">
  <authors>
    <author>Paul Ware</author>
  </authors>
  <commentList>
    <comment ref="C7" authorId="0">
      <text>
        <r>
          <rPr>
            <b/>
            <sz val="8"/>
            <color indexed="81"/>
            <rFont val="Tahoma"/>
            <family val="2"/>
          </rPr>
          <t>Paul Ware:</t>
        </r>
        <r>
          <rPr>
            <sz val="8"/>
            <color indexed="81"/>
            <rFont val="Tahoma"/>
            <family val="2"/>
          </rPr>
          <t xml:space="preserve">
These 'year numbers' are used only to refer to data in the input sheet that is arranged as the transpose of the way in which the data is required on this sheet. It does not relate to Year 1, Year 2 etc of a regulatory period.</t>
        </r>
      </text>
    </comment>
    <comment ref="E26" authorId="0">
      <text>
        <r>
          <rPr>
            <b/>
            <sz val="8"/>
            <color indexed="81"/>
            <rFont val="Tahoma"/>
            <family val="2"/>
          </rPr>
          <t>Paul Ware:</t>
        </r>
        <r>
          <rPr>
            <sz val="8"/>
            <color indexed="81"/>
            <rFont val="Tahoma"/>
            <family val="2"/>
          </rPr>
          <t xml:space="preserve">
"IWX" in this cell indicates the </t>
        </r>
        <r>
          <rPr>
            <b/>
            <sz val="8"/>
            <color indexed="81"/>
            <rFont val="Tahoma"/>
            <family val="2"/>
          </rPr>
          <t>I</t>
        </r>
        <r>
          <rPr>
            <sz val="8"/>
            <color indexed="81"/>
            <rFont val="Tahoma"/>
            <family val="2"/>
          </rPr>
          <t>ndustry-</t>
        </r>
        <r>
          <rPr>
            <b/>
            <sz val="8"/>
            <color indexed="81"/>
            <rFont val="Tahoma"/>
            <family val="2"/>
          </rPr>
          <t>W</t>
        </r>
        <r>
          <rPr>
            <sz val="8"/>
            <color indexed="81"/>
            <rFont val="Tahoma"/>
            <family val="2"/>
          </rPr>
          <t xml:space="preserve">ide </t>
        </r>
        <r>
          <rPr>
            <b/>
            <sz val="8"/>
            <color indexed="81"/>
            <rFont val="Tahoma"/>
            <family val="2"/>
          </rPr>
          <t>X</t>
        </r>
        <r>
          <rPr>
            <sz val="8"/>
            <color indexed="81"/>
            <rFont val="Tahoma"/>
            <family val="2"/>
          </rPr>
          <t xml:space="preserve"> value is to be used. Otherwise the numerical value entered is the alternate X.</t>
        </r>
      </text>
    </comment>
    <comment ref="L37" authorId="0">
      <text>
        <r>
          <rPr>
            <b/>
            <sz val="8"/>
            <color indexed="81"/>
            <rFont val="Tahoma"/>
            <family val="2"/>
          </rPr>
          <t>Paul Ware:</t>
        </r>
        <r>
          <rPr>
            <sz val="8"/>
            <color indexed="81"/>
            <rFont val="Tahoma"/>
            <family val="2"/>
          </rPr>
          <t xml:space="preserve">
This row and the one above differ with respect to whether the GST adjustment is made. Note that the distinction has no numerical impact on results as 2012/13 values and prior are not used and 2013/14 and 2014/15 values are not impacted by the distinction.</t>
        </r>
      </text>
    </comment>
    <comment ref="C196" authorId="0">
      <text>
        <r>
          <rPr>
            <b/>
            <sz val="8"/>
            <color indexed="81"/>
            <rFont val="Tahoma"/>
            <family val="2"/>
          </rPr>
          <t>Paul Ware:</t>
        </r>
        <r>
          <rPr>
            <sz val="8"/>
            <color indexed="81"/>
            <rFont val="Tahoma"/>
            <family val="2"/>
          </rPr>
          <t xml:space="preserve">
Tax losses are not expected and are therefore not explicitly modelled. However if tax losses were to occur, then the Regulatory tax allowance calculated in the row above would be negative. This row would then take the error value #N/A which would propogate through the calculations to the results, thus providing an alert that tax losses had been calculated.</t>
        </r>
      </text>
    </comment>
  </commentList>
</comments>
</file>

<file path=xl/comments5.xml><?xml version="1.0" encoding="utf-8"?>
<comments xmlns="http://schemas.openxmlformats.org/spreadsheetml/2006/main">
  <authors>
    <author>Paul Ware</author>
  </authors>
  <commentList>
    <comment ref="C7" authorId="0">
      <text>
        <r>
          <rPr>
            <b/>
            <sz val="8"/>
            <color indexed="81"/>
            <rFont val="Tahoma"/>
            <family val="2"/>
          </rPr>
          <t>Paul Ware:</t>
        </r>
        <r>
          <rPr>
            <sz val="8"/>
            <color indexed="81"/>
            <rFont val="Tahoma"/>
            <family val="2"/>
          </rPr>
          <t xml:space="preserve">
These 'year numbers' are used only to refer to data in the input sheet that is arranged as the transpose of the way in which the data is required on this sheet. It does not relate to Year 1, Year 2 etc of a regulatory period.</t>
        </r>
      </text>
    </comment>
    <comment ref="E26" authorId="0">
      <text>
        <r>
          <rPr>
            <b/>
            <sz val="8"/>
            <color indexed="81"/>
            <rFont val="Tahoma"/>
            <family val="2"/>
          </rPr>
          <t>Paul Ware:</t>
        </r>
        <r>
          <rPr>
            <sz val="8"/>
            <color indexed="81"/>
            <rFont val="Tahoma"/>
            <family val="2"/>
          </rPr>
          <t xml:space="preserve">
"IWX" in this cell indicates the </t>
        </r>
        <r>
          <rPr>
            <b/>
            <sz val="8"/>
            <color indexed="81"/>
            <rFont val="Tahoma"/>
            <family val="2"/>
          </rPr>
          <t>I</t>
        </r>
        <r>
          <rPr>
            <sz val="8"/>
            <color indexed="81"/>
            <rFont val="Tahoma"/>
            <family val="2"/>
          </rPr>
          <t>ndustry-</t>
        </r>
        <r>
          <rPr>
            <b/>
            <sz val="8"/>
            <color indexed="81"/>
            <rFont val="Tahoma"/>
            <family val="2"/>
          </rPr>
          <t>W</t>
        </r>
        <r>
          <rPr>
            <sz val="8"/>
            <color indexed="81"/>
            <rFont val="Tahoma"/>
            <family val="2"/>
          </rPr>
          <t xml:space="preserve">ide </t>
        </r>
        <r>
          <rPr>
            <b/>
            <sz val="8"/>
            <color indexed="81"/>
            <rFont val="Tahoma"/>
            <family val="2"/>
          </rPr>
          <t>X</t>
        </r>
        <r>
          <rPr>
            <sz val="8"/>
            <color indexed="81"/>
            <rFont val="Tahoma"/>
            <family val="2"/>
          </rPr>
          <t xml:space="preserve"> value is to be used. Otherwise the numerical value entered is the alternate X.</t>
        </r>
      </text>
    </comment>
    <comment ref="L37" authorId="0">
      <text>
        <r>
          <rPr>
            <b/>
            <sz val="8"/>
            <color indexed="81"/>
            <rFont val="Tahoma"/>
            <family val="2"/>
          </rPr>
          <t>Paul Ware:</t>
        </r>
        <r>
          <rPr>
            <sz val="8"/>
            <color indexed="81"/>
            <rFont val="Tahoma"/>
            <family val="2"/>
          </rPr>
          <t xml:space="preserve">
This row and the one above differ with respect to whether the GST adjustment is made. Note that the distinction has no numerical impact on results as 2012/13 values and prior are not used and 2013/14 and 2014/15 values are not impacted by the distinction.</t>
        </r>
      </text>
    </comment>
    <comment ref="C196" authorId="0">
      <text>
        <r>
          <rPr>
            <b/>
            <sz val="8"/>
            <color indexed="81"/>
            <rFont val="Tahoma"/>
            <family val="2"/>
          </rPr>
          <t>Paul Ware:</t>
        </r>
        <r>
          <rPr>
            <sz val="8"/>
            <color indexed="81"/>
            <rFont val="Tahoma"/>
            <family val="2"/>
          </rPr>
          <t xml:space="preserve">
Tax losses are not expected and are therefore not explicitly modelled. However if tax losses were to occur, then the Regulatory tax allowance calculated in the row above would be negative. This row would then take the error value #N/A which would propogate through the calculations to the results, thus providing an alert that tax losses had been calculated.</t>
        </r>
      </text>
    </comment>
  </commentList>
</comments>
</file>

<file path=xl/comments6.xml><?xml version="1.0" encoding="utf-8"?>
<comments xmlns="http://schemas.openxmlformats.org/spreadsheetml/2006/main">
  <authors>
    <author>Paul Ware</author>
  </authors>
  <commentList>
    <comment ref="C7" authorId="0">
      <text>
        <r>
          <rPr>
            <b/>
            <sz val="8"/>
            <color indexed="81"/>
            <rFont val="Tahoma"/>
            <family val="2"/>
          </rPr>
          <t>Paul Ware:</t>
        </r>
        <r>
          <rPr>
            <sz val="8"/>
            <color indexed="81"/>
            <rFont val="Tahoma"/>
            <family val="2"/>
          </rPr>
          <t xml:space="preserve">
These 'year numbers' are used only to refer to data in the input sheet that is arranged as the transpose of the way in which the data is required on this sheet. It does not relate to Year 1, Year 2 etc of a regulatory period.</t>
        </r>
      </text>
    </comment>
    <comment ref="E26" authorId="0">
      <text>
        <r>
          <rPr>
            <b/>
            <sz val="8"/>
            <color indexed="81"/>
            <rFont val="Tahoma"/>
            <family val="2"/>
          </rPr>
          <t>Paul Ware:</t>
        </r>
        <r>
          <rPr>
            <sz val="8"/>
            <color indexed="81"/>
            <rFont val="Tahoma"/>
            <family val="2"/>
          </rPr>
          <t xml:space="preserve">
"IWX" in this cell indicates the </t>
        </r>
        <r>
          <rPr>
            <b/>
            <sz val="8"/>
            <color indexed="81"/>
            <rFont val="Tahoma"/>
            <family val="2"/>
          </rPr>
          <t>I</t>
        </r>
        <r>
          <rPr>
            <sz val="8"/>
            <color indexed="81"/>
            <rFont val="Tahoma"/>
            <family val="2"/>
          </rPr>
          <t>ndustry-</t>
        </r>
        <r>
          <rPr>
            <b/>
            <sz val="8"/>
            <color indexed="81"/>
            <rFont val="Tahoma"/>
            <family val="2"/>
          </rPr>
          <t>W</t>
        </r>
        <r>
          <rPr>
            <sz val="8"/>
            <color indexed="81"/>
            <rFont val="Tahoma"/>
            <family val="2"/>
          </rPr>
          <t xml:space="preserve">ide </t>
        </r>
        <r>
          <rPr>
            <b/>
            <sz val="8"/>
            <color indexed="81"/>
            <rFont val="Tahoma"/>
            <family val="2"/>
          </rPr>
          <t>X</t>
        </r>
        <r>
          <rPr>
            <sz val="8"/>
            <color indexed="81"/>
            <rFont val="Tahoma"/>
            <family val="2"/>
          </rPr>
          <t xml:space="preserve"> value is to be used. Otherwise the numerical value entered is the alternate X.</t>
        </r>
      </text>
    </comment>
    <comment ref="L37" authorId="0">
      <text>
        <r>
          <rPr>
            <b/>
            <sz val="8"/>
            <color indexed="81"/>
            <rFont val="Tahoma"/>
            <family val="2"/>
          </rPr>
          <t>Paul Ware:</t>
        </r>
        <r>
          <rPr>
            <sz val="8"/>
            <color indexed="81"/>
            <rFont val="Tahoma"/>
            <family val="2"/>
          </rPr>
          <t xml:space="preserve">
This row and the one above differ with respect to whether the GST adjustment is made. Note that the distinction has no numerical impact on results as 2012/13 values and prior are not used and 2013/14 and 2014/15 values are not impacted by the distinction.</t>
        </r>
      </text>
    </comment>
    <comment ref="C196" authorId="0">
      <text>
        <r>
          <rPr>
            <b/>
            <sz val="8"/>
            <color indexed="81"/>
            <rFont val="Tahoma"/>
            <family val="2"/>
          </rPr>
          <t>Paul Ware:</t>
        </r>
        <r>
          <rPr>
            <sz val="8"/>
            <color indexed="81"/>
            <rFont val="Tahoma"/>
            <family val="2"/>
          </rPr>
          <t xml:space="preserve">
Tax losses are not expected and are therefore not explicitly modelled. However if tax losses were to occur, then the Regulatory tax allowance calculated in the row above would be negative. This row would then take the error value #N/A which would propogate through the calculations to the results, thus providing an alert that tax losses had been calculated.</t>
        </r>
      </text>
    </comment>
  </commentList>
</comments>
</file>

<file path=xl/comments7.xml><?xml version="1.0" encoding="utf-8"?>
<comments xmlns="http://schemas.openxmlformats.org/spreadsheetml/2006/main">
  <authors>
    <author>Paul Ware</author>
  </authors>
  <commentList>
    <comment ref="C7" authorId="0">
      <text>
        <r>
          <rPr>
            <b/>
            <sz val="8"/>
            <color indexed="81"/>
            <rFont val="Tahoma"/>
            <family val="2"/>
          </rPr>
          <t>Paul Ware:</t>
        </r>
        <r>
          <rPr>
            <sz val="8"/>
            <color indexed="81"/>
            <rFont val="Tahoma"/>
            <family val="2"/>
          </rPr>
          <t xml:space="preserve">
These 'year numbers' are used only to refer to data in the input sheet that is arranged as the transpose of the way in which the data is required on this sheet. It does not relate to Year 1, Year 2 etc of a regulatory period.</t>
        </r>
      </text>
    </comment>
    <comment ref="E26" authorId="0">
      <text>
        <r>
          <rPr>
            <b/>
            <sz val="8"/>
            <color indexed="81"/>
            <rFont val="Tahoma"/>
            <family val="2"/>
          </rPr>
          <t>Paul Ware:</t>
        </r>
        <r>
          <rPr>
            <sz val="8"/>
            <color indexed="81"/>
            <rFont val="Tahoma"/>
            <family val="2"/>
          </rPr>
          <t xml:space="preserve">
"IWX" in this cell indicates the </t>
        </r>
        <r>
          <rPr>
            <b/>
            <sz val="8"/>
            <color indexed="81"/>
            <rFont val="Tahoma"/>
            <family val="2"/>
          </rPr>
          <t>I</t>
        </r>
        <r>
          <rPr>
            <sz val="8"/>
            <color indexed="81"/>
            <rFont val="Tahoma"/>
            <family val="2"/>
          </rPr>
          <t>ndustry-</t>
        </r>
        <r>
          <rPr>
            <b/>
            <sz val="8"/>
            <color indexed="81"/>
            <rFont val="Tahoma"/>
            <family val="2"/>
          </rPr>
          <t>W</t>
        </r>
        <r>
          <rPr>
            <sz val="8"/>
            <color indexed="81"/>
            <rFont val="Tahoma"/>
            <family val="2"/>
          </rPr>
          <t xml:space="preserve">ide </t>
        </r>
        <r>
          <rPr>
            <b/>
            <sz val="8"/>
            <color indexed="81"/>
            <rFont val="Tahoma"/>
            <family val="2"/>
          </rPr>
          <t>X</t>
        </r>
        <r>
          <rPr>
            <sz val="8"/>
            <color indexed="81"/>
            <rFont val="Tahoma"/>
            <family val="2"/>
          </rPr>
          <t xml:space="preserve"> value is to be used. Otherwise the numerical value entered is the alternate X.</t>
        </r>
      </text>
    </comment>
    <comment ref="L37" authorId="0">
      <text>
        <r>
          <rPr>
            <b/>
            <sz val="8"/>
            <color indexed="81"/>
            <rFont val="Tahoma"/>
            <family val="2"/>
          </rPr>
          <t>Paul Ware:</t>
        </r>
        <r>
          <rPr>
            <sz val="8"/>
            <color indexed="81"/>
            <rFont val="Tahoma"/>
            <family val="2"/>
          </rPr>
          <t xml:space="preserve">
This row and the one above differ with respect to whether the GST adjustment is made. Note that the distinction has no numerical impact on results as 2012/13 values and prior are not used and 2013/14 and 2014/15 values are not impacted by the distinction.</t>
        </r>
      </text>
    </comment>
    <comment ref="C196" authorId="0">
      <text>
        <r>
          <rPr>
            <b/>
            <sz val="8"/>
            <color indexed="81"/>
            <rFont val="Tahoma"/>
            <family val="2"/>
          </rPr>
          <t>Paul Ware:</t>
        </r>
        <r>
          <rPr>
            <sz val="8"/>
            <color indexed="81"/>
            <rFont val="Tahoma"/>
            <family val="2"/>
          </rPr>
          <t xml:space="preserve">
Tax losses are not expected and are therefore not explicitly modelled. However if tax losses were to occur, then the Regulatory tax allowance calculated in the row above would be negative. This row would then take the error value #N/A which would propogate through the calculations to the results, thus providing an alert that tax losses had been calculated.</t>
        </r>
      </text>
    </comment>
  </commentList>
</comments>
</file>

<file path=xl/comments8.xml><?xml version="1.0" encoding="utf-8"?>
<comments xmlns="http://schemas.openxmlformats.org/spreadsheetml/2006/main">
  <authors>
    <author>Paul Ware</author>
  </authors>
  <commentList>
    <comment ref="C7" authorId="0">
      <text>
        <r>
          <rPr>
            <b/>
            <sz val="8"/>
            <color indexed="81"/>
            <rFont val="Tahoma"/>
            <family val="2"/>
          </rPr>
          <t>Paul Ware:</t>
        </r>
        <r>
          <rPr>
            <sz val="8"/>
            <color indexed="81"/>
            <rFont val="Tahoma"/>
            <family val="2"/>
          </rPr>
          <t xml:space="preserve">
These 'year numbers' are used only to refer to data in the input sheet that is arranged as the transpose of the way in which the data is required on this sheet. It does not relate to Year 1, Year 2 etc of a regulatory period.</t>
        </r>
      </text>
    </comment>
    <comment ref="E26" authorId="0">
      <text>
        <r>
          <rPr>
            <b/>
            <sz val="8"/>
            <color indexed="81"/>
            <rFont val="Tahoma"/>
            <family val="2"/>
          </rPr>
          <t>Paul Ware:</t>
        </r>
        <r>
          <rPr>
            <sz val="8"/>
            <color indexed="81"/>
            <rFont val="Tahoma"/>
            <family val="2"/>
          </rPr>
          <t xml:space="preserve">
"IWX" in this cell indicates the </t>
        </r>
        <r>
          <rPr>
            <b/>
            <sz val="8"/>
            <color indexed="81"/>
            <rFont val="Tahoma"/>
            <family val="2"/>
          </rPr>
          <t>I</t>
        </r>
        <r>
          <rPr>
            <sz val="8"/>
            <color indexed="81"/>
            <rFont val="Tahoma"/>
            <family val="2"/>
          </rPr>
          <t>ndustry-</t>
        </r>
        <r>
          <rPr>
            <b/>
            <sz val="8"/>
            <color indexed="81"/>
            <rFont val="Tahoma"/>
            <family val="2"/>
          </rPr>
          <t>W</t>
        </r>
        <r>
          <rPr>
            <sz val="8"/>
            <color indexed="81"/>
            <rFont val="Tahoma"/>
            <family val="2"/>
          </rPr>
          <t xml:space="preserve">ide </t>
        </r>
        <r>
          <rPr>
            <b/>
            <sz val="8"/>
            <color indexed="81"/>
            <rFont val="Tahoma"/>
            <family val="2"/>
          </rPr>
          <t>X</t>
        </r>
        <r>
          <rPr>
            <sz val="8"/>
            <color indexed="81"/>
            <rFont val="Tahoma"/>
            <family val="2"/>
          </rPr>
          <t xml:space="preserve"> value is to be used. Otherwise the numerical value entered is the alternate X.</t>
        </r>
      </text>
    </comment>
    <comment ref="L37" authorId="0">
      <text>
        <r>
          <rPr>
            <b/>
            <sz val="8"/>
            <color indexed="81"/>
            <rFont val="Tahoma"/>
            <family val="2"/>
          </rPr>
          <t>Paul Ware:</t>
        </r>
        <r>
          <rPr>
            <sz val="8"/>
            <color indexed="81"/>
            <rFont val="Tahoma"/>
            <family val="2"/>
          </rPr>
          <t xml:space="preserve">
This row and the one above differ with respect to whether the GST adjustment is made. Note that the distinction has no numerical impact on results as 2012/13 values and prior are not used and 2013/14 and 2014/15 values are not impacted by the distinction.</t>
        </r>
      </text>
    </comment>
    <comment ref="C196" authorId="0">
      <text>
        <r>
          <rPr>
            <b/>
            <sz val="8"/>
            <color indexed="81"/>
            <rFont val="Tahoma"/>
            <family val="2"/>
          </rPr>
          <t>Paul Ware:</t>
        </r>
        <r>
          <rPr>
            <sz val="8"/>
            <color indexed="81"/>
            <rFont val="Tahoma"/>
            <family val="2"/>
          </rPr>
          <t xml:space="preserve">
Tax losses are not expected and are therefore not explicitly modelled. However if tax losses were to occur, then the Regulatory tax allowance calculated in the row above would be negative. This row would then take the error value #N/A which would propogate through the calculations to the results, thus providing an alert that tax losses had been calculated.</t>
        </r>
      </text>
    </comment>
  </commentList>
</comments>
</file>

<file path=xl/comments9.xml><?xml version="1.0" encoding="utf-8"?>
<comments xmlns="http://schemas.openxmlformats.org/spreadsheetml/2006/main">
  <authors>
    <author>Paul Ware</author>
  </authors>
  <commentList>
    <comment ref="C7" authorId="0">
      <text>
        <r>
          <rPr>
            <b/>
            <sz val="8"/>
            <color indexed="81"/>
            <rFont val="Tahoma"/>
            <family val="2"/>
          </rPr>
          <t>Paul Ware:</t>
        </r>
        <r>
          <rPr>
            <sz val="8"/>
            <color indexed="81"/>
            <rFont val="Tahoma"/>
            <family val="2"/>
          </rPr>
          <t xml:space="preserve">
These 'year numbers' are used only to refer to data in the input sheet that is arranged as the transpose of the way in which the data is required on this sheet. It does not relate to Year 1, Year 2 etc of a regulatory period.</t>
        </r>
      </text>
    </comment>
    <comment ref="E26" authorId="0">
      <text>
        <r>
          <rPr>
            <b/>
            <sz val="8"/>
            <color indexed="81"/>
            <rFont val="Tahoma"/>
            <family val="2"/>
          </rPr>
          <t>Paul Ware:</t>
        </r>
        <r>
          <rPr>
            <sz val="8"/>
            <color indexed="81"/>
            <rFont val="Tahoma"/>
            <family val="2"/>
          </rPr>
          <t xml:space="preserve">
"IWX" in this cell indicates the </t>
        </r>
        <r>
          <rPr>
            <b/>
            <sz val="8"/>
            <color indexed="81"/>
            <rFont val="Tahoma"/>
            <family val="2"/>
          </rPr>
          <t>I</t>
        </r>
        <r>
          <rPr>
            <sz val="8"/>
            <color indexed="81"/>
            <rFont val="Tahoma"/>
            <family val="2"/>
          </rPr>
          <t>ndustry-</t>
        </r>
        <r>
          <rPr>
            <b/>
            <sz val="8"/>
            <color indexed="81"/>
            <rFont val="Tahoma"/>
            <family val="2"/>
          </rPr>
          <t>W</t>
        </r>
        <r>
          <rPr>
            <sz val="8"/>
            <color indexed="81"/>
            <rFont val="Tahoma"/>
            <family val="2"/>
          </rPr>
          <t xml:space="preserve">ide </t>
        </r>
        <r>
          <rPr>
            <b/>
            <sz val="8"/>
            <color indexed="81"/>
            <rFont val="Tahoma"/>
            <family val="2"/>
          </rPr>
          <t>X</t>
        </r>
        <r>
          <rPr>
            <sz val="8"/>
            <color indexed="81"/>
            <rFont val="Tahoma"/>
            <family val="2"/>
          </rPr>
          <t xml:space="preserve"> value is to be used. Otherwise the numerical value entered is the alternate X.</t>
        </r>
      </text>
    </comment>
    <comment ref="L37" authorId="0">
      <text>
        <r>
          <rPr>
            <b/>
            <sz val="8"/>
            <color indexed="81"/>
            <rFont val="Tahoma"/>
            <family val="2"/>
          </rPr>
          <t>Paul Ware:</t>
        </r>
        <r>
          <rPr>
            <sz val="8"/>
            <color indexed="81"/>
            <rFont val="Tahoma"/>
            <family val="2"/>
          </rPr>
          <t xml:space="preserve">
This row and the one above differ with respect to whether the GST adjustment is made. Note that the distinction has no numerical impact on results as 2012/13 values and prior are not used and 2013/14 and 2014/15 values are not impacted by the distinction.</t>
        </r>
      </text>
    </comment>
    <comment ref="C196" authorId="0">
      <text>
        <r>
          <rPr>
            <b/>
            <sz val="8"/>
            <color indexed="81"/>
            <rFont val="Tahoma"/>
            <family val="2"/>
          </rPr>
          <t>Paul Ware:</t>
        </r>
        <r>
          <rPr>
            <sz val="8"/>
            <color indexed="81"/>
            <rFont val="Tahoma"/>
            <family val="2"/>
          </rPr>
          <t xml:space="preserve">
Tax losses are not expected and are therefore not explicitly modelled. However if tax losses were to occur, then the Regulatory tax allowance calculated in the row above would be negative. This row would then take the error value #N/A which would propogate through the calculations to the results, thus providing an alert that tax losses had been calculated.</t>
        </r>
      </text>
    </comment>
  </commentList>
</comments>
</file>

<file path=xl/sharedStrings.xml><?xml version="1.0" encoding="utf-8"?>
<sst xmlns="http://schemas.openxmlformats.org/spreadsheetml/2006/main" count="4605" uniqueCount="410">
  <si>
    <t>Purpose</t>
  </si>
  <si>
    <t>Description</t>
  </si>
  <si>
    <t>Inputs Anchor</t>
  </si>
  <si>
    <t>Inputs</t>
  </si>
  <si>
    <t>Calculations</t>
  </si>
  <si>
    <t>Time series data only in these columns</t>
  </si>
  <si>
    <t>Non business-specific single inputs</t>
  </si>
  <si>
    <t>Notes</t>
  </si>
  <si>
    <t>Vanilla WACC (75th Percentile)</t>
  </si>
  <si>
    <t>Cost of Debt</t>
  </si>
  <si>
    <t>Leverage</t>
  </si>
  <si>
    <t xml:space="preserve">Alpine Energy </t>
  </si>
  <si>
    <t>Aurora Energy</t>
  </si>
  <si>
    <t xml:space="preserve">Centralines </t>
  </si>
  <si>
    <t xml:space="preserve">Eastland </t>
  </si>
  <si>
    <t>Electricity Ashburton</t>
  </si>
  <si>
    <t>Electricity Invercargill</t>
  </si>
  <si>
    <t xml:space="preserve">Horizon Energy </t>
  </si>
  <si>
    <t xml:space="preserve">Nelson Electricity </t>
  </si>
  <si>
    <t xml:space="preserve">Network Tasman </t>
  </si>
  <si>
    <t xml:space="preserve">OtagoNet </t>
  </si>
  <si>
    <t xml:space="preserve">Powerco </t>
  </si>
  <si>
    <t>The Lines Company</t>
  </si>
  <si>
    <t xml:space="preserve">Top Energy </t>
  </si>
  <si>
    <t xml:space="preserve">Unison </t>
  </si>
  <si>
    <t xml:space="preserve">Vector </t>
  </si>
  <si>
    <t xml:space="preserve">Wellington Electricity </t>
  </si>
  <si>
    <t>Line Revenue through Prices</t>
  </si>
  <si>
    <t>Pass-through costs</t>
  </si>
  <si>
    <t>Recoverable costs</t>
  </si>
  <si>
    <t>Operating Expenditure</t>
  </si>
  <si>
    <t>Opening RAB</t>
  </si>
  <si>
    <t>RAB of disposed assets</t>
  </si>
  <si>
    <t>Discretionary discounts &amp;  rebates</t>
  </si>
  <si>
    <t>Tax Depreciation</t>
  </si>
  <si>
    <t>Base year</t>
  </si>
  <si>
    <t>Misc</t>
  </si>
  <si>
    <t>Tax rate</t>
  </si>
  <si>
    <t>Remaining asset life of existing assets</t>
  </si>
  <si>
    <t>Commissioned Assets</t>
  </si>
  <si>
    <t>Disposed assets</t>
  </si>
  <si>
    <t>Revaluation of existing assets</t>
  </si>
  <si>
    <t>Depreciation of existing assets</t>
  </si>
  <si>
    <t>Closing RAB value of existing assets</t>
  </si>
  <si>
    <t>Revaluation</t>
  </si>
  <si>
    <t>Adjusted depreciation</t>
  </si>
  <si>
    <t>Regulatory Tax Asset Value</t>
  </si>
  <si>
    <t>Deferred Tax Asset Value</t>
  </si>
  <si>
    <t>Amortisation of Initial Differences in Asset Values</t>
  </si>
  <si>
    <t>Deductions for regulatory tax purposes</t>
  </si>
  <si>
    <t>Notional Deductible Interest</t>
  </si>
  <si>
    <t>Amortisation of Revaluations</t>
  </si>
  <si>
    <t>Regulatory tax adjustments</t>
  </si>
  <si>
    <t>PV of total costs to recover</t>
  </si>
  <si>
    <t>Remaining life of newly commissioned assets</t>
  </si>
  <si>
    <t>years</t>
  </si>
  <si>
    <t>data</t>
  </si>
  <si>
    <t>Misc.</t>
  </si>
  <si>
    <t>Base yr</t>
  </si>
  <si>
    <t>Year number (base year number = 1)</t>
  </si>
  <si>
    <t>Year sequence number</t>
  </si>
  <si>
    <t>Closing RAB value of existing assets, adjusted deprec'n</t>
  </si>
  <si>
    <t>Total adjusted depreciation of commissioned assets</t>
  </si>
  <si>
    <t>Adjusted depreciation, existing assets</t>
  </si>
  <si>
    <t>Adjusted depn of existing assets</t>
  </si>
  <si>
    <t>Opening RAB value of existing assets, adjusted depn</t>
  </si>
  <si>
    <t>Totals of asset values, depreciation etc</t>
  </si>
  <si>
    <t>RAB, depreciation etc of assets commissioned</t>
  </si>
  <si>
    <t>Depreciation of commissioned assets</t>
  </si>
  <si>
    <t>Timing Factors</t>
  </si>
  <si>
    <r>
      <t>TF</t>
    </r>
    <r>
      <rPr>
        <vertAlign val="subscript"/>
        <sz val="11"/>
        <color theme="1"/>
        <rFont val="Calibri"/>
        <family val="2"/>
        <scheme val="minor"/>
      </rPr>
      <t>opex</t>
    </r>
  </si>
  <si>
    <r>
      <t>TF</t>
    </r>
    <r>
      <rPr>
        <vertAlign val="subscript"/>
        <sz val="11"/>
        <color theme="1"/>
        <rFont val="Calibri"/>
        <family val="2"/>
        <scheme val="minor"/>
      </rPr>
      <t>tax</t>
    </r>
  </si>
  <si>
    <r>
      <t>TF</t>
    </r>
    <r>
      <rPr>
        <vertAlign val="subscript"/>
        <sz val="11"/>
        <color theme="1"/>
        <rFont val="Calibri"/>
        <family val="2"/>
        <scheme val="minor"/>
      </rPr>
      <t>rev</t>
    </r>
  </si>
  <si>
    <t>Days from revenue date to year-end</t>
  </si>
  <si>
    <t>Days from mid-year to year-end</t>
  </si>
  <si>
    <t>i.e. mid-year</t>
  </si>
  <si>
    <t>Asset disposal date</t>
  </si>
  <si>
    <t>Interest date</t>
  </si>
  <si>
    <t>asset commissioning date</t>
  </si>
  <si>
    <t>tax date</t>
  </si>
  <si>
    <t>Opex date</t>
  </si>
  <si>
    <t>Revenue date</t>
  </si>
  <si>
    <t>Mid-year date</t>
  </si>
  <si>
    <t>Days in a year</t>
  </si>
  <si>
    <t>Year-end date</t>
  </si>
  <si>
    <t>All dates are entered as being for the year ending in the 12 month period 1 January 2013 to 31 December 2013.</t>
  </si>
  <si>
    <t>of revenues, opex, commissioning of assets, interest and tax payments.</t>
  </si>
  <si>
    <t>This sheet contains inputs and calculations relating to an analysis that allows general timings to be adopted, i.e. inputs for the timing</t>
  </si>
  <si>
    <t>Intra-year timing</t>
  </si>
  <si>
    <t>Existing assets RAB, revaluation and depreciation</t>
  </si>
  <si>
    <t>Term Credit Spread Differential Allowance</t>
  </si>
  <si>
    <t>Present value of indexed revenues</t>
  </si>
  <si>
    <t>Indexed amount of revenue</t>
  </si>
  <si>
    <t>Dec</t>
  </si>
  <si>
    <t>Mar</t>
  </si>
  <si>
    <t>Jun</t>
  </si>
  <si>
    <t>Sep</t>
  </si>
  <si>
    <t>Business-specific data</t>
  </si>
  <si>
    <t>Value of commissioned assets</t>
  </si>
  <si>
    <t>PV of the equivalent single amount</t>
  </si>
  <si>
    <t>Dates of receipt of revenues</t>
  </si>
  <si>
    <t>PV of BBAR before tax over the PV period</t>
  </si>
  <si>
    <t>Present value of indexed revenues for each year</t>
  </si>
  <si>
    <t>Timing flags</t>
  </si>
  <si>
    <t>CPI minus X revenues for industry-wide X</t>
  </si>
  <si>
    <t>Calculation of present value of total costs over the present value period</t>
  </si>
  <si>
    <t>Opening investment value</t>
  </si>
  <si>
    <t>Return of capital</t>
  </si>
  <si>
    <t>Spec 2.1.4</t>
  </si>
  <si>
    <t>Supplier Number</t>
  </si>
  <si>
    <t>Opening RAB value of existing assets</t>
  </si>
  <si>
    <t>TCSD Allowance</t>
  </si>
  <si>
    <t>This workbook performs many of the calculations required to determine the allowed prices and revenues</t>
  </si>
  <si>
    <t xml:space="preserve">CPI minus X revenues (using industry-wide or alternate X where applicable) </t>
  </si>
  <si>
    <t>Equivalent single cash flow</t>
  </si>
  <si>
    <t>Calculation that a 3 November receipt date for all revenues in a year ending 31 March is equivalent to</t>
  </si>
  <si>
    <t>receiving 12 equal revenue amounts on the 20th of the month following the provision of service.</t>
  </si>
  <si>
    <t>PV as at 31/3/12 of the series of unit amounts</t>
  </si>
  <si>
    <t>Intra-year timing factors</t>
  </si>
  <si>
    <t>Almost all inputs to this workbook are in the 'Inputs' sheet. The sheet 'IntraYr' contains the intra-year timing</t>
  </si>
  <si>
    <r>
      <t>i.e. equivalent to 12 monthly transactions at 20</t>
    </r>
    <r>
      <rPr>
        <vertAlign val="superscript"/>
        <sz val="11"/>
        <color theme="1"/>
        <rFont val="Calibri"/>
        <family val="2"/>
        <scheme val="minor"/>
      </rPr>
      <t>th</t>
    </r>
    <r>
      <rPr>
        <sz val="11"/>
        <color theme="1"/>
        <rFont val="Calibri"/>
        <family val="2"/>
        <scheme val="minor"/>
      </rPr>
      <t xml:space="preserve"> of following month, as demonstrated below</t>
    </r>
  </si>
  <si>
    <t>Adjusted RAB &amp; Depreciation of assets commissioned</t>
  </si>
  <si>
    <t>Other regulated income</t>
  </si>
  <si>
    <r>
      <t>TF</t>
    </r>
    <r>
      <rPr>
        <vertAlign val="subscript"/>
        <sz val="11"/>
        <color theme="1"/>
        <rFont val="Calibri"/>
        <family val="2"/>
        <scheme val="minor"/>
      </rPr>
      <t>ori</t>
    </r>
  </si>
  <si>
    <t>TF for mid-year cash flows</t>
  </si>
  <si>
    <r>
      <t>TF</t>
    </r>
    <r>
      <rPr>
        <vertAlign val="subscript"/>
        <sz val="11"/>
        <color theme="1"/>
        <rFont val="Calibri"/>
        <family val="2"/>
        <scheme val="minor"/>
      </rPr>
      <t>VCA</t>
    </r>
  </si>
  <si>
    <t>Depreciation temp diff for deferred tax</t>
  </si>
  <si>
    <t>Closing regulatory tax asset value</t>
  </si>
  <si>
    <t>Depreciation Temporary differences</t>
  </si>
  <si>
    <t>Revaluation rate</t>
  </si>
  <si>
    <t>Spec 2.3.2</t>
  </si>
  <si>
    <t>The allowed revenues set out in this line and the present</t>
  </si>
  <si>
    <t>Error check for PV equivalence (should = 0)</t>
  </si>
  <si>
    <t>value of these revenues as calculated in the next 3 lines</t>
  </si>
  <si>
    <t>the building blocks costs and the allowable revenues.</t>
  </si>
  <si>
    <t>DT</t>
  </si>
  <si>
    <t>BBAR before tax in year-end terms, i.e. Rev * TfFrev</t>
  </si>
  <si>
    <t>PV of BBAR before tax for each year</t>
  </si>
  <si>
    <t>AR before tax in year-end terms in each year</t>
  </si>
  <si>
    <t>AR before tax in revenue-date terms in each year</t>
  </si>
  <si>
    <t>PV of AR before tax for each year</t>
  </si>
  <si>
    <t>PV of AR before tax over PV period</t>
  </si>
  <si>
    <t>AR before tax in first year of the PV period</t>
  </si>
  <si>
    <t>Indexed allowed revenue before tax</t>
  </si>
  <si>
    <t>This model calculates the allowed revenues for regulated businesses under Part 4 of the Commerce Act 1986.</t>
  </si>
  <si>
    <t>Company tax rate</t>
  </si>
  <si>
    <t>Opening RAB of commissioned assets</t>
  </si>
  <si>
    <t>Revaluation of commissioned assets</t>
  </si>
  <si>
    <t>Closing RAB of commissioned assets</t>
  </si>
  <si>
    <t>IWX</t>
  </si>
  <si>
    <t>AltX</t>
  </si>
  <si>
    <t>Opening Deferred Tax</t>
  </si>
  <si>
    <t>Closing Deferred Tax</t>
  </si>
  <si>
    <t>Total depreciation</t>
  </si>
  <si>
    <t>Total revaluation</t>
  </si>
  <si>
    <t>Aggregagte opening RAB value</t>
  </si>
  <si>
    <t>Aggregate closing RAB value</t>
  </si>
  <si>
    <t>Average DV rate</t>
  </si>
  <si>
    <t>Aggregate value of commissioned assets</t>
  </si>
  <si>
    <t>Nominal growth rate in disposed assets</t>
  </si>
  <si>
    <t>Asset base scaling factor</t>
  </si>
  <si>
    <t>Total Depreciation</t>
  </si>
  <si>
    <t>Regulatory tax allowance</t>
  </si>
  <si>
    <t>Nominal growth rate in other income</t>
  </si>
  <si>
    <t>Spec 2.6.2</t>
  </si>
  <si>
    <t>not its scale. The calculations in this and the two adjacent lines achieve</t>
  </si>
  <si>
    <t>Weighted Average Remaining Life at year-end</t>
  </si>
  <si>
    <t>Opening regulatory tax asset value</t>
  </si>
  <si>
    <t>Industry-wide X factor</t>
  </si>
  <si>
    <r>
      <t xml:space="preserve">Increase in deferred tax asset, </t>
    </r>
    <r>
      <rPr>
        <sz val="11"/>
        <color theme="1"/>
        <rFont val="Calibri"/>
        <family val="2"/>
      </rPr>
      <t>Δ</t>
    </r>
    <r>
      <rPr>
        <sz val="9.35"/>
        <color theme="1"/>
        <rFont val="Calibri"/>
        <family val="2"/>
      </rPr>
      <t>DT</t>
    </r>
  </si>
  <si>
    <t>BBAR before tax in revenue date terms, calculaton not referencing tax</t>
  </si>
  <si>
    <t>BBAR before tax in year-end terms, direct simple calculaton</t>
  </si>
  <si>
    <t>BBAR before tax in revenue date terms</t>
  </si>
  <si>
    <t>Difference between the two BBAR calculations (should = 0)</t>
  </si>
  <si>
    <t>Present value of the Building Block Allowable Revenue before tax</t>
  </si>
  <si>
    <t>Number of years to discount the year-end  values to start of the present value period</t>
  </si>
  <si>
    <t>Monthly cash flows</t>
  </si>
  <si>
    <t>Regulatory tax allowance before considering possibility of tax losses</t>
  </si>
  <si>
    <t>Check value that closing value is as expected. Should = 0</t>
  </si>
  <si>
    <t>Operating expenditure</t>
  </si>
  <si>
    <t>Operating expenditure allowance</t>
  </si>
  <si>
    <t>are a check on the correctness of the PV equivalence between</t>
  </si>
  <si>
    <t>CPI data</t>
  </si>
  <si>
    <t>2009/10</t>
  </si>
  <si>
    <t>2010/11</t>
  </si>
  <si>
    <t>2011/12</t>
  </si>
  <si>
    <t>2012/13</t>
  </si>
  <si>
    <t>2013/14</t>
  </si>
  <si>
    <t>2014/15</t>
  </si>
  <si>
    <t>CPI and corporate tax rate</t>
  </si>
  <si>
    <t>Tax allowance based on price path revenue, deferred tax approach</t>
  </si>
  <si>
    <t>Spec 2.4.2.2.2.3</t>
  </si>
  <si>
    <t>Spec 2.4.2.2.2.4</t>
  </si>
  <si>
    <t xml:space="preserve">their own inputs. </t>
  </si>
  <si>
    <t>revaluation rate</t>
  </si>
  <si>
    <t>Commission Opex projections</t>
  </si>
  <si>
    <t>Return on capital</t>
  </si>
  <si>
    <t>AR before tax in revenue-date terms in each year prior to 2012/13</t>
  </si>
  <si>
    <t>ΔD</t>
  </si>
  <si>
    <t>2010/11 Allowed Revenue (back-calculated from 2012/13 reset allowed revenue)</t>
  </si>
  <si>
    <t>Constant price revenue growth</t>
  </si>
  <si>
    <t>Alternate X value to 2014/15</t>
  </si>
  <si>
    <t>PV of AR before tax for 2013/14 and 2014/15</t>
  </si>
  <si>
    <t>PV of AR in 2013/14 &amp; 2014/15 for alt X</t>
  </si>
  <si>
    <t>revenues are set PV equivalent to the correponding allowed revenues for the industry-wide X CPI - X revenues.</t>
  </si>
  <si>
    <t>Operating expenditure 2009/10</t>
  </si>
  <si>
    <t>of electricity distribution businesses controlled under a default price path under Part 4 of the Commerce</t>
  </si>
  <si>
    <t>References in this workbook to "Allowed revenue" are the same as references to "Maximum allowable</t>
  </si>
  <si>
    <t>References to the "PV period" are references to the years 2012/13 to 2014/15 inclusive.</t>
  </si>
  <si>
    <t>PV of AR before tax for each year, year-end terms</t>
  </si>
  <si>
    <t>Name of electricity distribution business</t>
  </si>
  <si>
    <t>Delta D</t>
  </si>
  <si>
    <r>
      <t>Δ</t>
    </r>
    <r>
      <rPr>
        <sz val="10.55"/>
        <color theme="1"/>
        <rFont val="Calibri"/>
        <family val="2"/>
      </rPr>
      <t>D, i.e. (1+CPRG</t>
    </r>
    <r>
      <rPr>
        <vertAlign val="subscript"/>
        <sz val="10.55"/>
        <color theme="1"/>
        <rFont val="Calibri"/>
        <family val="2"/>
      </rPr>
      <t>2012/13</t>
    </r>
    <r>
      <rPr>
        <sz val="10.55"/>
        <color theme="1"/>
        <rFont val="Calibri"/>
        <family val="2"/>
      </rPr>
      <t>)*(1+CPRG</t>
    </r>
    <r>
      <rPr>
        <vertAlign val="subscript"/>
        <sz val="10.55"/>
        <color theme="1"/>
        <rFont val="Calibri"/>
        <family val="2"/>
      </rPr>
      <t>2013/14</t>
    </r>
    <r>
      <rPr>
        <sz val="10.55"/>
        <color theme="1"/>
        <rFont val="Calibri"/>
        <family val="2"/>
      </rPr>
      <t>)</t>
    </r>
  </si>
  <si>
    <t>Opex, 2010/11</t>
  </si>
  <si>
    <t>Opex, 2011/12</t>
  </si>
  <si>
    <t>Opex, 2012/13</t>
  </si>
  <si>
    <t>Opex, 2013/14</t>
  </si>
  <si>
    <t>Opex, 2014/15</t>
  </si>
  <si>
    <t>Constant price revenue growth, 2010/11</t>
  </si>
  <si>
    <t>Constant price revenue growth, 2011/12</t>
  </si>
  <si>
    <t>Constant price revenue growth, 2012/13</t>
  </si>
  <si>
    <t>Constant price revenue growth, 2013/14</t>
  </si>
  <si>
    <t>Constant price revenue growth, 2014/15</t>
  </si>
  <si>
    <t>Value of commissioned assets , 2009/10</t>
  </si>
  <si>
    <t>Value of commissioned assets , 2010/11</t>
  </si>
  <si>
    <t>Value of commissioned assets , 2011/12</t>
  </si>
  <si>
    <t>Value of commissioned assets , 2012/13</t>
  </si>
  <si>
    <t>Value of commissioned assets , 2013/14</t>
  </si>
  <si>
    <t>Value of commissioned assets , 2014/15</t>
  </si>
  <si>
    <t>Building Block Allowable Revenue before tax (BBAR before tax)</t>
  </si>
  <si>
    <t>Opening RAB, adjusted depn, assets comm. in 2009/10</t>
  </si>
  <si>
    <t>Opening RAB, adjusted depn, assets comm. in 2010/11</t>
  </si>
  <si>
    <t>Opening RAB, adjusted depn, assets comm. in 2011/12</t>
  </si>
  <si>
    <t>Opening RAB, adjusted depn, assets comm. in 2012/13</t>
  </si>
  <si>
    <t>Opening RAB, adjusted depn, assets comm. in 2013/14</t>
  </si>
  <si>
    <t>Opening RAB, adjusted depn, assets comm. in 2014/15</t>
  </si>
  <si>
    <t>Years of remaing life, assets comm in 2009/10</t>
  </si>
  <si>
    <t>Years of remaing life, assets comm in 2010/11</t>
  </si>
  <si>
    <t>Years of remaing life, assets comm in 2011/12</t>
  </si>
  <si>
    <t>Years of remaing life, assets comm in 2012/13</t>
  </si>
  <si>
    <t>Years of remaing life, assets comm in 2013/14</t>
  </si>
  <si>
    <t>Years of remaing life, assets comm in 2014/15</t>
  </si>
  <si>
    <t>Adjusted depreciation, assets comm. in 2009/10</t>
  </si>
  <si>
    <t>Adjusted depreciation, assets comm. in 2010/11</t>
  </si>
  <si>
    <t>Adjusted depreciation, assets comm. in 2011/12</t>
  </si>
  <si>
    <t>Adjusted depreciation, assets comm. in 2012/13</t>
  </si>
  <si>
    <t>Adjusted depreciation, assets comm. in 2013/14</t>
  </si>
  <si>
    <t>Adjusted depreciation, assets comm. in 2014/15</t>
  </si>
  <si>
    <t>Closing RAB, adjusted depn, assets comm. in 2009/10</t>
  </si>
  <si>
    <t>Closing RAB, adjusted depn, assets comm. in 2010/11</t>
  </si>
  <si>
    <t>Closing RAB, adjusted depn, assets comm. in 2011/12</t>
  </si>
  <si>
    <t>Closing RAB, adjusted depn, assets comm. in 2012/13</t>
  </si>
  <si>
    <t>Closing RAB, adjusted depn, assets comm. in 2013/14</t>
  </si>
  <si>
    <t>Closing RAB, adjusted depn, assets comm. in 2014/15</t>
  </si>
  <si>
    <t>Opening RAB, assets commissioned in 2009/10</t>
  </si>
  <si>
    <t>Opening RAB, assets commissioned in 2010/11</t>
  </si>
  <si>
    <t>Opening RAB, assets commissioned in 2011/12</t>
  </si>
  <si>
    <t>Opening RAB, assets commissioned in 2012/13</t>
  </si>
  <si>
    <t>Opening RAB, assets commissioned in 2013/14</t>
  </si>
  <si>
    <t>Opening RAB, assets commissioned in 2014/15</t>
  </si>
  <si>
    <t>Revaluation of assets commissioned in 2009/10</t>
  </si>
  <si>
    <t>Revaluation of assets commissioned in 2010/11</t>
  </si>
  <si>
    <t>Revaluation of assets commissioned in 2011/12</t>
  </si>
  <si>
    <t>Revaluation of assets commissioned in 2012/13</t>
  </si>
  <si>
    <t>Revaluation of assets commissioned in 2013/14</t>
  </si>
  <si>
    <t>Revaluation of assets commissioned in 2014/15</t>
  </si>
  <si>
    <t>Depreciation of assets commissioned in 2009/10</t>
  </si>
  <si>
    <t>Depreciation of assets commissioned in 2010/11</t>
  </si>
  <si>
    <t>Depreciation of assets commissioned in 2011/12</t>
  </si>
  <si>
    <t>Depreciation of assets commissioned in 2012/13</t>
  </si>
  <si>
    <t>Depreciation of assets commissioned in 2013/14</t>
  </si>
  <si>
    <t>Depreciation of assets commissioned in 2014/15</t>
  </si>
  <si>
    <t>Closing RAB of assets commissioned in 2009/10</t>
  </si>
  <si>
    <t>Closing RAB of assets commissioned in 2010/11</t>
  </si>
  <si>
    <t>Closing RAB of assets commissioned in 2011/12</t>
  </si>
  <si>
    <t>Closing RAB of assets commissioned in 2012/13</t>
  </si>
  <si>
    <t>Closing RAB of assets commissioned in 2013/14</t>
  </si>
  <si>
    <t>Closing RAB of assets commissioned in 2014/15</t>
  </si>
  <si>
    <t>This line establishes the profile of the CPI minus X path, but</t>
  </si>
  <si>
    <t>the present value equivalence without goal-seeking.</t>
  </si>
  <si>
    <t>Note that a blue vertical border (like the one at the</t>
  </si>
  <si>
    <t>start of this note) indicates that the two horizontally</t>
  </si>
  <si>
    <t>adjacent cells on each side of the border have</t>
  </si>
  <si>
    <t>formulas which are different from each other.</t>
  </si>
  <si>
    <t>All calculations in the workbook are preformed automatically, without the use of macros or data tables.</t>
  </si>
  <si>
    <t>All references to years are references to years ending 31 March.</t>
  </si>
  <si>
    <t>assumptions, along with the calculation of the timing factors. There are two CPI sheets, and these have</t>
  </si>
  <si>
    <t>Results</t>
  </si>
  <si>
    <t>It does this for electricity distribution businesses.</t>
  </si>
  <si>
    <t>EDB DPP Reset Model</t>
  </si>
  <si>
    <t>This line establishes the profile of the CPI minus X path (refer Spec 3.2), but</t>
  </si>
  <si>
    <t>Alp</t>
  </si>
  <si>
    <t>Aur</t>
  </si>
  <si>
    <t>Ctl</t>
  </si>
  <si>
    <t>Est</t>
  </si>
  <si>
    <t>Ash</t>
  </si>
  <si>
    <t>Inv</t>
  </si>
  <si>
    <t>Hoz</t>
  </si>
  <si>
    <t>Nel</t>
  </si>
  <si>
    <t>Tas</t>
  </si>
  <si>
    <t>Ota</t>
  </si>
  <si>
    <t>Pco</t>
  </si>
  <si>
    <t>TLC</t>
  </si>
  <si>
    <t>Top</t>
  </si>
  <si>
    <t>Uni</t>
  </si>
  <si>
    <t>Vct</t>
  </si>
  <si>
    <t>Wel</t>
  </si>
  <si>
    <t>Allowable notional revenue 2012/13</t>
  </si>
  <si>
    <t>Pass-through costs 2012/13</t>
  </si>
  <si>
    <t>Pass through costs, 2012/13</t>
  </si>
  <si>
    <t>Lost assets</t>
  </si>
  <si>
    <t>Found Assets</t>
  </si>
  <si>
    <t>2009/10 lost assets</t>
  </si>
  <si>
    <t>2009/10 found assets</t>
  </si>
  <si>
    <t>Assumed pass through costs</t>
  </si>
  <si>
    <t>Revenues, all in revenue date terms</t>
  </si>
  <si>
    <t>Other reg income (avg of 2008 to 11, in 2009/10 $)</t>
  </si>
  <si>
    <t>Cap on growth of allowable notional revenue</t>
  </si>
  <si>
    <t>This data block calculates allowed revenues for 2013/14 and 2014/15 for the 2014/15 X value That has been applied.  These allowed</t>
  </si>
  <si>
    <t>X value applied</t>
  </si>
  <si>
    <t>real to nom conversion for disposals, other regulatory income and pass-through &amp; recoverable costs</t>
  </si>
  <si>
    <t>allowable revenue growth to 2013/14 to 2014/15, and for CPI growth up to 2012/13, back calculating the 2010/11 starting price</t>
  </si>
  <si>
    <t>What the various CPI measures are used for:</t>
  </si>
  <si>
    <t>CPI (historical and forecast)</t>
  </si>
  <si>
    <t>CPI adjustment</t>
  </si>
  <si>
    <t>Policy Targets Agreement CPI inflation outcomes midpoint</t>
  </si>
  <si>
    <t>CPI inflation outcome annual decrement</t>
  </si>
  <si>
    <t>RBNZ 2009 Forecast Change in CPI</t>
  </si>
  <si>
    <t>RBNZ 2012 Forecast Change in CPI</t>
  </si>
  <si>
    <t>Change in 2009 CPI, 2 index, no lag, no GST adjustment</t>
  </si>
  <si>
    <r>
      <t xml:space="preserve">2009 </t>
    </r>
    <r>
      <rPr>
        <sz val="11"/>
        <color theme="1"/>
        <rFont val="Calibri"/>
        <family val="2"/>
      </rPr>
      <t>Δ</t>
    </r>
    <r>
      <rPr>
        <sz val="11"/>
        <color theme="1"/>
        <rFont val="Calibri"/>
        <family val="2"/>
        <scheme val="minor"/>
      </rPr>
      <t>CPI, 2 index, no lag, no GST adjustment</t>
    </r>
  </si>
  <si>
    <r>
      <t xml:space="preserve">2012 </t>
    </r>
    <r>
      <rPr>
        <sz val="11"/>
        <color theme="1"/>
        <rFont val="Calibri"/>
        <family val="2"/>
      </rPr>
      <t>Δ</t>
    </r>
    <r>
      <rPr>
        <sz val="11"/>
        <color theme="1"/>
        <rFont val="Calibri"/>
        <family val="2"/>
        <scheme val="minor"/>
      </rPr>
      <t>CPI, 2 index, no lag, no GST adjustment</t>
    </r>
  </si>
  <si>
    <r>
      <t xml:space="preserve">2009 </t>
    </r>
    <r>
      <rPr>
        <sz val="11"/>
        <color theme="1"/>
        <rFont val="Calibri"/>
        <family val="2"/>
      </rPr>
      <t>Δ</t>
    </r>
    <r>
      <rPr>
        <sz val="11"/>
        <color theme="1"/>
        <rFont val="Calibri"/>
        <family val="2"/>
        <scheme val="minor"/>
      </rPr>
      <t>CPI, 8 index, lagged, no GST adjustment</t>
    </r>
  </si>
  <si>
    <r>
      <t xml:space="preserve">2012 </t>
    </r>
    <r>
      <rPr>
        <sz val="11"/>
        <color theme="1"/>
        <rFont val="Calibri"/>
        <family val="2"/>
      </rPr>
      <t>Δ</t>
    </r>
    <r>
      <rPr>
        <sz val="11"/>
        <color theme="1"/>
        <rFont val="Calibri"/>
        <family val="2"/>
        <scheme val="minor"/>
      </rPr>
      <t>CPI, 8 index, lagged, no GST adjustment</t>
    </r>
  </si>
  <si>
    <r>
      <t xml:space="preserve">2012 </t>
    </r>
    <r>
      <rPr>
        <sz val="11"/>
        <color theme="1"/>
        <rFont val="Calibri"/>
        <family val="2"/>
      </rPr>
      <t>Δ</t>
    </r>
    <r>
      <rPr>
        <sz val="11"/>
        <color theme="1"/>
        <rFont val="Calibri"/>
        <family val="2"/>
        <scheme val="minor"/>
      </rPr>
      <t>CPI, 8 index, lagged, with GST adjustment</t>
    </r>
  </si>
  <si>
    <t>Disclosed allowable notional rev 2012/13, no reset</t>
  </si>
  <si>
    <t>Allowable notional rev, no reset</t>
  </si>
  <si>
    <t>MAR, reset, ind-wide X</t>
  </si>
  <si>
    <t>MAR, reset, supplier-specific X</t>
  </si>
  <si>
    <r>
      <t>MAR, corresponding to  disclosed ANR</t>
    </r>
    <r>
      <rPr>
        <vertAlign val="subscript"/>
        <sz val="11"/>
        <color theme="1"/>
        <rFont val="Calibri"/>
        <family val="2"/>
        <scheme val="minor"/>
      </rPr>
      <t>2012/13</t>
    </r>
    <r>
      <rPr>
        <sz val="11"/>
        <color theme="1"/>
        <rFont val="Calibri"/>
        <family val="2"/>
        <scheme val="minor"/>
      </rPr>
      <t xml:space="preserve"> grown at cap rate</t>
    </r>
  </si>
  <si>
    <t>PV at 1.4.12 of MAR, reset, supplier-specific X</t>
  </si>
  <si>
    <t>Cap on growth of maximum allowable revenue</t>
  </si>
  <si>
    <t>All amounts are expressed in revenue date terms unless otherwise specified</t>
  </si>
  <si>
    <t>Price changes and impact of reset on PV of revenues</t>
  </si>
  <si>
    <t>MAR, reset, ind-wide X, with estimated adjustment for actual inflation</t>
  </si>
  <si>
    <t>MAR, reset, supplier-specific X, with estimated adjustment for actual inflation</t>
  </si>
  <si>
    <t>Allowable notional rev, reset, ind-wide X, with estimated adjustment for actual inflation</t>
  </si>
  <si>
    <t>Allowable notional rev, reset, supplier-specific X, with estimated adjustment for actual inflation</t>
  </si>
  <si>
    <t>PV, ind-wide X, with adjustment for actual inflation</t>
  </si>
  <si>
    <t>PV, supp-spec X, with adjustment for actual inflation</t>
  </si>
  <si>
    <t xml:space="preserve"> PV of CPI adjusted reset MAR less PV of capped MAR</t>
  </si>
  <si>
    <t>PV at 1.4.12 of capped MAR</t>
  </si>
  <si>
    <t>Notes:</t>
  </si>
  <si>
    <t>"2009 CPI" and "2012 CPI" refer to data available in September 2009 and November 2012 respectively.</t>
  </si>
  <si>
    <t>A horizontal line in a column of numbers indicates a change in formula.</t>
  </si>
  <si>
    <t>Input values have this blue background.</t>
  </si>
  <si>
    <t>Change in 2012 CPI, 8 index, lagged, with GST adjustment</t>
  </si>
  <si>
    <t>Change in 2012 CPI, 2 index, no lag, no GST adjustment</t>
  </si>
  <si>
    <t>Forecast 2009 CPI, no GST adjustment (used for revaluations)</t>
  </si>
  <si>
    <t>Forecast 2012 CPI, no GST adjustment (price path)</t>
  </si>
  <si>
    <t>Forecast 2012 CPI, with GST adjustment (price path)</t>
  </si>
  <si>
    <t>Change in 2012 CPI, 8 index, lagged, no GST adjustment</t>
  </si>
  <si>
    <t>Change in 2009 CPI, 8 index, lagged, no GST adjustment</t>
  </si>
  <si>
    <t>Actual CPI, SE9A, ex Statistics NZ, Sep 2012, released 16 Oct 2012</t>
  </si>
  <si>
    <t>This adjustment factor is ex Clause 1.1.4 of the Electricity Distribution Services Input Methodologies Determination 2012, definition of CPI.</t>
  </si>
  <si>
    <t>No-reset price growth</t>
  </si>
  <si>
    <t>2013/14 MAR for the determination</t>
  </si>
  <si>
    <t>MAR, price path with actual CPI adjustment and subject to cap</t>
  </si>
  <si>
    <t>Price increase cap binds in either 2013/14 or 2014/15</t>
  </si>
  <si>
    <t>X applied, i.e. industry wide X, or alternate X if set</t>
  </si>
  <si>
    <t>ANR price rise, 12/13 no-reset, 13/14 reset, supp-specific</t>
  </si>
  <si>
    <t>Allowable notional rev, reset, industry-wide X, no adjustment for actual inflation</t>
  </si>
  <si>
    <t>PV at 1.4.12 of no reset MAR, 2012/13 ANR basis</t>
  </si>
  <si>
    <t>PV at 1.4.12 of MAR, reset, i.e = building block costs</t>
  </si>
  <si>
    <t>2012/13 MAR</t>
  </si>
  <si>
    <t>2013/14 MAR</t>
  </si>
  <si>
    <t>Alt X</t>
  </si>
  <si>
    <t>Price increase cap</t>
  </si>
  <si>
    <t>2012/13 MAR for the determination</t>
  </si>
  <si>
    <t>2010/11 MAR (back-calculated from 2012/13 MAR)</t>
  </si>
  <si>
    <t>2010/11 MAR</t>
  </si>
  <si>
    <t>revenue" .</t>
  </si>
  <si>
    <t>PV difference - reset vs. no reset</t>
  </si>
  <si>
    <t>Net revenue, no reset, revenue date terms (from ANR disclosed by suppliers)</t>
  </si>
  <si>
    <t>Act 1986. It operateS in conjuction with separate workbooks that calculate projections of operating</t>
  </si>
  <si>
    <t>expenditure, capital expenditure (value of commissioned assets), and constant price revenue growth</t>
  </si>
  <si>
    <t>(effectively a measure of the growth in quantities of service supplied). The projections are inputs to this</t>
  </si>
  <si>
    <t>workbook.</t>
  </si>
  <si>
    <t>Amounts shown in this workbook are either percentages or in thousands of dollars, unless otherwise</t>
  </si>
  <si>
    <t>specified.</t>
  </si>
  <si>
    <t>PV of AR before tax over 2013/14 &amp; 2014/15</t>
  </si>
  <si>
    <t>These are not inputs to this workbook, but are links to the CPI sheet within this workbook.</t>
  </si>
  <si>
    <t>Table 3.1</t>
  </si>
  <si>
    <t>Figure 3.1</t>
  </si>
  <si>
    <t>Results for determination</t>
  </si>
  <si>
    <t>Figure 4.1</t>
  </si>
  <si>
    <t>Estimated price adjustment on 1 April 2013</t>
  </si>
  <si>
    <t>PV of revenue expected after reset vs. before reset</t>
  </si>
  <si>
    <t>Figure 4.2</t>
  </si>
  <si>
    <t>Maximum revenue expected in 2013/14</t>
  </si>
  <si>
    <t>Real rate of change in price prior to claw-back</t>
  </si>
  <si>
    <t>Estimated price adjustment without any smoothing</t>
  </si>
  <si>
    <t>Not shown in paper</t>
  </si>
  <si>
    <t>Limit on price adjustment</t>
  </si>
  <si>
    <t>MAR 2012/13 for calculating claw-back amount</t>
  </si>
  <si>
    <t>In determination only</t>
  </si>
  <si>
    <t>Copy-[paste-values-transpose of block of data above</t>
  </si>
  <si>
    <t>Key Outputs ($m)</t>
  </si>
  <si>
    <t>2013/14 expected revenue</t>
  </si>
  <si>
    <t>Calculation of MAR based on ANR, and reversing out the CPI increase in measures of price increase</t>
  </si>
</sst>
</file>

<file path=xl/styles.xml><?xml version="1.0" encoding="utf-8"?>
<styleSheet xmlns="http://schemas.openxmlformats.org/spreadsheetml/2006/main">
  <numFmts count="71">
    <numFmt numFmtId="164" formatCode="_(* #,##0_);_(* \(#,##0\);_(* &quot;-&quot;_);_(@_)"/>
    <numFmt numFmtId="165" formatCode="_(&quot;$&quot;* #,##0.00_);_(&quot;$&quot;* \(#,##0.00\);_(&quot;$&quot;* &quot;-&quot;??_);_(@_)"/>
    <numFmt numFmtId="166" formatCode="_(* #,##0.00_);_(* \(#,##0.00\);_(* &quot;-&quot;??_);_(@_)"/>
    <numFmt numFmtId="167" formatCode="0.000"/>
    <numFmt numFmtId="168" formatCode="0.0"/>
    <numFmt numFmtId="169" formatCode="0.0000%"/>
    <numFmt numFmtId="170" formatCode="_(* #,##0_);_(* \(#,##0\);_(* &quot;-&quot;??_);_(@_)"/>
    <numFmt numFmtId="171" formatCode="dd\ mmm\ yyyy"/>
    <numFmt numFmtId="172" formatCode="0.0000"/>
    <numFmt numFmtId="173" formatCode="_(* #,##0.000_);_(* \(#,##0.000\);_(* &quot;-&quot;??_);_(@_)"/>
    <numFmt numFmtId="174" formatCode="0.0%"/>
    <numFmt numFmtId="175" formatCode="#\ ##0"/>
    <numFmt numFmtId="176" formatCode="d\ mmm\ yyyy"/>
    <numFmt numFmtId="177" formatCode="mmm"/>
    <numFmt numFmtId="178" formatCode="[$-C09]d\ mmmm\ yyyy;@"/>
    <numFmt numFmtId="179" formatCode="0.000%"/>
    <numFmt numFmtId="180" formatCode="0.00000%"/>
    <numFmt numFmtId="181" formatCode="&quot;$&quot;#,##0.000_);[Red]\(&quot;$&quot;#,##0.000\)"/>
    <numFmt numFmtId="182" formatCode="_-* #,##0_-;\-* #,##0_-;_-* &quot;-&quot;??_-;_-@_-"/>
    <numFmt numFmtId="183" formatCode="#,##0.000"/>
    <numFmt numFmtId="184" formatCode="&quot;$&quot;#,##0\ ;\(&quot;$&quot;#,##0\)"/>
    <numFmt numFmtId="185" formatCode="&quot;$&quot;* #,##0.000_);&quot;$&quot;* \(#,##0.000\)"/>
    <numFmt numFmtId="186" formatCode="#,##0_);\(#,##0\);0_);* @_)"/>
    <numFmt numFmtId="187" formatCode="#,##0.0_);\(#,##0.0\);0.0_);* @_)"/>
    <numFmt numFmtId="188" formatCode="#,##0.00_);\(#,##0.00\);0.00_);* @_)"/>
    <numFmt numFmtId="189" formatCode="#,##0.000_);\(#,##0.000\);0.000_);* @_)"/>
    <numFmt numFmtId="190" formatCode="#,##0.0000_);\(#,##0.0000\);0.0000_);* @_)"/>
    <numFmt numFmtId="191" formatCode="0;\-0;0;* @"/>
    <numFmt numFmtId="192" formatCode="0%;\-0%;0%;* @_%"/>
    <numFmt numFmtId="193" formatCode="0.0%;\-0.0%;0.0%;* @_%"/>
    <numFmt numFmtId="194" formatCode="0.00%;\-0.00%;0.00%;* @_%"/>
    <numFmt numFmtId="195" formatCode="0.000%;\-0.000%;0.000%;* @_%"/>
    <numFmt numFmtId="196" formatCode="&quot;$&quot;* #,##0_);&quot;$&quot;* \(#,##0\);&quot;$&quot;* 0_);* @_)"/>
    <numFmt numFmtId="197" formatCode="&quot;$&quot;* #,##0.0_);&quot;$&quot;* \(#,##0.0\);&quot;$&quot;* 0.0_);* @_)"/>
    <numFmt numFmtId="198" formatCode="&quot;$&quot;* #,##0.00_);&quot;$&quot;* \(#,##0.00\);&quot;$&quot;* 0.00_);* @_)"/>
    <numFmt numFmtId="199" formatCode="&quot;$&quot;* #,##0.000_);&quot;$&quot;* \(#,##0.000\);&quot;$&quot;* 0.000_);* @_)"/>
    <numFmt numFmtId="200" formatCode="&quot;$&quot;* #,##0.0000_);&quot;$&quot;* \(#,##0.0000\);&quot;$&quot;* 0.0000_);* @_)"/>
    <numFmt numFmtId="201" formatCode="d\-mmm\-yyyy;[Red]&quot;Not date&quot;;&quot;-&quot;;[Red]* &quot;Not date&quot;"/>
    <numFmt numFmtId="202" formatCode="d\-mmm\-yyyy\ h:mm\ \a\.m\./\p\.m\.;[Red]* &quot;Not date&quot;;&quot;-&quot;;[Red]* &quot;Not date&quot;"/>
    <numFmt numFmtId="203" formatCode="d/mm/yyyy;[Red]* &quot;Not date&quot;;&quot;-&quot;;[Red]* &quot;Not date&quot;"/>
    <numFmt numFmtId="204" formatCode="mmm\-yy;[Red]* &quot;Not date&quot;;&quot;-&quot;;[Red]* &quot;Not date&quot;"/>
    <numFmt numFmtId="205" formatCode="h:mm\ \a\.m\./\p\.m\.;[Red]* &quot;Not time&quot;;\-;[Red]* &quot;Not time&quot;"/>
    <numFmt numFmtId="206" formatCode="[h]:mm;[Red]* &quot;Not time&quot;;[h]:mm;[Red]* &quot;Not time&quot;"/>
    <numFmt numFmtId="207" formatCode="d\-mmm\-yyyy;[Red]* &quot;Not date&quot;;&quot;-&quot;;[Red]* &quot;Not date&quot;"/>
    <numFmt numFmtId="208" formatCode="d\-mmm\-yyyy\ h:mm\ \a\.m\./\p\.m\.;[Red]* &quot;Not time&quot;;0;[Red]* &quot;Not time&quot;"/>
    <numFmt numFmtId="209" formatCode="mm/dd/yyyy;[Red]* &quot;Not date&quot;;&quot;-&quot;;[Red]* &quot;Not date&quot;"/>
    <numFmt numFmtId="210" formatCode="_(@_)"/>
    <numFmt numFmtId="211" formatCode="_([$-1409]h:mm\ AM/PM;@"/>
    <numFmt numFmtId="212" formatCode="_(* 0000_);_(* \(0000\);_(* &quot;–&quot;??_);_(@_)"/>
    <numFmt numFmtId="213" formatCode="_([$-1409]d\ mmmm\ yyyy;_(@"/>
    <numFmt numFmtId="214" formatCode="[$-1409]d\ mmm\ yy;@"/>
    <numFmt numFmtId="215" formatCode="_(* #,##0.00%_);_(* \(#,##0.00%\);_(* &quot;–&quot;???_);_(* @_)"/>
    <numFmt numFmtId="216" formatCode="_(* #,##0%_);_(* \(#,##0%\);_(* &quot;–&quot;???_);_(* @_)"/>
    <numFmt numFmtId="217" formatCode="_(* #,##0.0%_);_(* \(#,##0.0%\);_(* &quot;–&quot;???_);_(* @_)"/>
    <numFmt numFmtId="218" formatCode="_(* #,##0_);_(* \(#,##0\);_(* &quot;–&quot;??_);_(* @_)"/>
    <numFmt numFmtId="219" formatCode="_(* #,##0.0_);_(* \(#,##0.0\);_(* &quot;–&quot;???_);_(* @_)"/>
    <numFmt numFmtId="220" formatCode="_(* #,##0.00_);_(* \(#,##0.00\);_(* &quot;–&quot;???_);_(* @_)"/>
    <numFmt numFmtId="221" formatCode="_(* #,##0.0000_);_(* \(#,##0.0000\);_(* &quot;–&quot;??_);_(* @_)"/>
    <numFmt numFmtId="222" formatCode="_(* @_)"/>
    <numFmt numFmtId="223" formatCode="_(* [$-1409]d\ mmm\ yyyy\ h\ AM/PM_);_(* @"/>
    <numFmt numFmtId="224" formatCode="_(* #,##0_);_(* \(#,##0\);_(* &quot;–&quot;??_);\(@_)"/>
    <numFmt numFmtId="225" formatCode="_(* #,##0.000_);_(* \(#,##0.000\);_(* &quot;–&quot;??_);_(* @_)"/>
    <numFmt numFmtId="226" formatCode="#,##0.00;[Red]\(#,##0.00\)"/>
    <numFmt numFmtId="227" formatCode="#,##0;[Red]\(#,##0\)"/>
    <numFmt numFmtId="228" formatCode="_ * #,##0.00_ ;_ * \-#,##0.00_ ;_ * &quot;-&quot;??_ ;_ @_ "/>
    <numFmt numFmtId="229" formatCode="_ &quot;$&quot;* #,##0.00_ ;_ &quot;$&quot;* \-#,##0.00_ ;_ &quot;$&quot;* &quot;-&quot;??_ ;_ @_ "/>
    <numFmt numFmtId="230" formatCode="_-[$€-2]* #,##0.00_-;\-[$€-2]* #,##0.00_-;_-[$€-2]* &quot;-&quot;??_-"/>
    <numFmt numFmtId="231" formatCode="0.000000"/>
    <numFmt numFmtId="232" formatCode="#,##0_ ;\-#,##0\ "/>
    <numFmt numFmtId="233" formatCode="#,##0.0_ ;\-#,##0.0\ "/>
    <numFmt numFmtId="234" formatCode="_-* #,##0.0_-;\-* #,##0.0_-;_-* &quot;-&quot;??_-;_-@_-"/>
  </numFmts>
  <fonts count="223">
    <font>
      <sz val="11"/>
      <color theme="1"/>
      <name val="Calibri"/>
      <family val="2"/>
      <scheme val="minor"/>
    </font>
    <font>
      <sz val="11"/>
      <color theme="1"/>
      <name val="Calibri"/>
      <family val="2"/>
      <scheme val="minor"/>
    </font>
    <font>
      <sz val="11"/>
      <color rgb="FF3F3F76"/>
      <name val="Calibri"/>
      <family val="2"/>
      <scheme val="minor"/>
    </font>
    <font>
      <b/>
      <sz val="11"/>
      <color theme="1"/>
      <name val="Calibri"/>
      <family val="2"/>
      <scheme val="minor"/>
    </font>
    <font>
      <b/>
      <sz val="12"/>
      <color theme="1"/>
      <name val="Calibri"/>
      <family val="2"/>
      <scheme val="minor"/>
    </font>
    <font>
      <b/>
      <sz val="16"/>
      <color theme="1"/>
      <name val="Calibri"/>
      <family val="2"/>
      <scheme val="minor"/>
    </font>
    <font>
      <b/>
      <sz val="18"/>
      <color theme="1"/>
      <name val="Calibri"/>
      <family val="2"/>
      <scheme val="minor"/>
    </font>
    <font>
      <b/>
      <sz val="20"/>
      <color theme="0"/>
      <name val="Cambria"/>
      <family val="2"/>
      <scheme val="major"/>
    </font>
    <font>
      <sz val="9"/>
      <color theme="1"/>
      <name val="Calibri"/>
      <family val="2"/>
      <scheme val="minor"/>
    </font>
    <font>
      <sz val="8"/>
      <color theme="1"/>
      <name val="Calibri"/>
      <family val="2"/>
      <scheme val="minor"/>
    </font>
    <font>
      <sz val="11"/>
      <color theme="0" tint="-0.34998626667073579"/>
      <name val="Calibri"/>
      <family val="2"/>
      <scheme val="minor"/>
    </font>
    <font>
      <sz val="11"/>
      <color theme="1"/>
      <name val="Calibri"/>
      <family val="2"/>
    </font>
    <font>
      <sz val="12"/>
      <color theme="1"/>
      <name val="Calibri"/>
      <family val="2"/>
      <scheme val="minor"/>
    </font>
    <font>
      <b/>
      <sz val="28"/>
      <color theme="0"/>
      <name val="Calibri"/>
      <family val="2"/>
      <scheme val="minor"/>
    </font>
    <font>
      <b/>
      <sz val="18"/>
      <color theme="0"/>
      <name val="Calibri"/>
      <family val="2"/>
      <scheme val="minor"/>
    </font>
    <font>
      <b/>
      <sz val="14"/>
      <color theme="1"/>
      <name val="Calibri"/>
      <family val="2"/>
      <scheme val="minor"/>
    </font>
    <font>
      <vertAlign val="subscript"/>
      <sz val="11"/>
      <color theme="1"/>
      <name val="Calibri"/>
      <family val="2"/>
      <scheme val="minor"/>
    </font>
    <font>
      <vertAlign val="superscript"/>
      <sz val="11"/>
      <color theme="1"/>
      <name val="Calibri"/>
      <family val="2"/>
      <scheme val="minor"/>
    </font>
    <font>
      <i/>
      <sz val="11"/>
      <color theme="1"/>
      <name val="Calibri"/>
      <family val="2"/>
      <scheme val="minor"/>
    </font>
    <font>
      <b/>
      <sz val="22"/>
      <color theme="1"/>
      <name val="Calibri"/>
      <family val="2"/>
      <scheme val="minor"/>
    </font>
    <font>
      <sz val="10"/>
      <color theme="1"/>
      <name val="Arial Mäori"/>
      <family val="2"/>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1"/>
      <color indexed="56"/>
      <name val="Arial"/>
      <family val="2"/>
    </font>
    <font>
      <sz val="10"/>
      <color indexed="52"/>
      <name val="Arial"/>
      <family val="2"/>
    </font>
    <font>
      <sz val="10"/>
      <color indexed="60"/>
      <name val="Arial"/>
      <family val="2"/>
    </font>
    <font>
      <sz val="11"/>
      <color theme="1"/>
      <name val="Arial Mäori"/>
      <family val="2"/>
    </font>
    <font>
      <b/>
      <sz val="10"/>
      <color indexed="63"/>
      <name val="Arial"/>
      <family val="2"/>
    </font>
    <font>
      <b/>
      <sz val="18"/>
      <color indexed="56"/>
      <name val="Cambria"/>
      <family val="2"/>
    </font>
    <font>
      <b/>
      <sz val="10"/>
      <color indexed="8"/>
      <name val="Arial"/>
      <family val="2"/>
    </font>
    <font>
      <sz val="10"/>
      <color indexed="10"/>
      <name val="Arial"/>
      <family val="2"/>
    </font>
    <font>
      <u/>
      <sz val="11"/>
      <color theme="10"/>
      <name val="Calibri"/>
      <family val="2"/>
    </font>
    <font>
      <sz val="11"/>
      <color indexed="8"/>
      <name val="Calibri"/>
      <family val="2"/>
    </font>
    <font>
      <b/>
      <sz val="11"/>
      <color indexed="8"/>
      <name val="Calibri"/>
      <family val="2"/>
    </font>
    <font>
      <sz val="10"/>
      <name val="MS Sans Serif"/>
      <family val="2"/>
    </font>
    <font>
      <sz val="10"/>
      <name val="Times New Roman"/>
      <family val="1"/>
    </font>
    <font>
      <sz val="10"/>
      <name val="Helv"/>
    </font>
    <font>
      <sz val="10"/>
      <name val="CG Times (W1)"/>
    </font>
    <font>
      <sz val="9"/>
      <name val="Times New Roman"/>
      <family val="1"/>
    </font>
    <font>
      <i/>
      <sz val="8"/>
      <name val="Times"/>
    </font>
    <font>
      <b/>
      <sz val="8"/>
      <name val="times"/>
    </font>
    <font>
      <u/>
      <sz val="11"/>
      <color indexed="12"/>
      <name val="Calibri"/>
      <family val="2"/>
    </font>
    <font>
      <u/>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color indexed="8"/>
      <name val="Arial Mäori"/>
      <family val="2"/>
    </font>
    <font>
      <sz val="11"/>
      <color indexed="8"/>
      <name val="Arial Mäori"/>
      <family val="2"/>
    </font>
    <font>
      <sz val="11"/>
      <color indexed="9"/>
      <name val="Arial Mäori"/>
      <family val="2"/>
    </font>
    <font>
      <sz val="11"/>
      <color indexed="20"/>
      <name val="Arial Mäori"/>
      <family val="2"/>
    </font>
    <font>
      <b/>
      <sz val="11"/>
      <color indexed="52"/>
      <name val="Arial Mäori"/>
      <family val="2"/>
    </font>
    <font>
      <b/>
      <sz val="11"/>
      <color indexed="9"/>
      <name val="Arial Mäori"/>
      <family val="2"/>
    </font>
    <font>
      <i/>
      <sz val="11"/>
      <color indexed="23"/>
      <name val="Arial Mäori"/>
      <family val="2"/>
    </font>
    <font>
      <sz val="11"/>
      <color indexed="17"/>
      <name val="Arial Mäori"/>
      <family val="2"/>
    </font>
    <font>
      <b/>
      <sz val="15"/>
      <color indexed="56"/>
      <name val="Arial Mäori"/>
      <family val="2"/>
    </font>
    <font>
      <b/>
      <sz val="13"/>
      <color indexed="56"/>
      <name val="Arial Mäori"/>
      <family val="2"/>
    </font>
    <font>
      <b/>
      <sz val="11"/>
      <color indexed="56"/>
      <name val="Arial Mäori"/>
      <family val="2"/>
    </font>
    <font>
      <sz val="11"/>
      <color indexed="62"/>
      <name val="Arial Mäori"/>
      <family val="2"/>
    </font>
    <font>
      <sz val="11"/>
      <color indexed="52"/>
      <name val="Arial Mäori"/>
      <family val="2"/>
    </font>
    <font>
      <sz val="11"/>
      <color indexed="60"/>
      <name val="Arial Mäori"/>
      <family val="2"/>
    </font>
    <font>
      <b/>
      <sz val="11"/>
      <color indexed="63"/>
      <name val="Arial Mäori"/>
      <family val="2"/>
    </font>
    <font>
      <b/>
      <sz val="11"/>
      <color indexed="8"/>
      <name val="Arial Mäori"/>
      <family val="2"/>
    </font>
    <font>
      <sz val="11"/>
      <color indexed="10"/>
      <name val="Arial Mäori"/>
      <family val="2"/>
    </font>
    <font>
      <sz val="12"/>
      <color theme="1"/>
      <name val="Arial"/>
      <family val="2"/>
    </font>
    <font>
      <b/>
      <sz val="12"/>
      <color indexed="10"/>
      <name val="Arial"/>
      <family val="2"/>
    </font>
    <font>
      <sz val="8"/>
      <color indexed="10"/>
      <name val="Arial"/>
      <family val="2"/>
    </font>
    <font>
      <sz val="8"/>
      <color theme="1"/>
      <name val="Arial"/>
      <family val="2"/>
    </font>
    <font>
      <b/>
      <sz val="15"/>
      <color indexed="56"/>
      <name val="Arial"/>
      <family val="2"/>
    </font>
    <font>
      <b/>
      <sz val="13"/>
      <color indexed="56"/>
      <name val="Arial"/>
      <family val="2"/>
    </font>
    <font>
      <sz val="10"/>
      <color indexed="62"/>
      <name val="Arial"/>
      <family val="2"/>
    </font>
    <font>
      <sz val="8"/>
      <name val="Arial Mäori"/>
    </font>
    <font>
      <sz val="8"/>
      <name val="Arial"/>
      <family val="2"/>
    </font>
    <font>
      <b/>
      <sz val="8"/>
      <color indexed="12"/>
      <name val="8"/>
    </font>
    <font>
      <sz val="8"/>
      <color indexed="12"/>
      <name val="8"/>
    </font>
    <font>
      <sz val="11"/>
      <name val="Calibri"/>
      <family val="2"/>
      <scheme val="minor"/>
    </font>
    <font>
      <sz val="8"/>
      <color indexed="81"/>
      <name val="Tahoma"/>
      <family val="2"/>
    </font>
    <font>
      <b/>
      <sz val="8"/>
      <color indexed="81"/>
      <name val="Tahoma"/>
      <family val="2"/>
    </font>
    <font>
      <sz val="9.35"/>
      <color theme="1"/>
      <name val="Calibri"/>
      <family val="2"/>
    </font>
    <font>
      <u/>
      <sz val="9.35"/>
      <color theme="10"/>
      <name val="Calibri"/>
      <family val="2"/>
    </font>
    <font>
      <sz val="8"/>
      <color indexed="12"/>
      <name val="Arial"/>
      <family val="2"/>
    </font>
    <font>
      <sz val="10.55"/>
      <color theme="1"/>
      <name val="Calibri"/>
      <family val="2"/>
    </font>
    <font>
      <vertAlign val="subscript"/>
      <sz val="10.55"/>
      <color theme="1"/>
      <name val="Calibri"/>
      <family val="2"/>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0"/>
      <name val="Arial"/>
      <family val="2"/>
    </font>
    <font>
      <sz val="12"/>
      <color indexed="24"/>
      <name val="Arial"/>
      <family val="2"/>
    </font>
    <font>
      <sz val="18"/>
      <color indexed="24"/>
      <name val="Arial"/>
      <family val="2"/>
    </font>
    <font>
      <sz val="8"/>
      <color indexed="24"/>
      <name val="Arial"/>
      <family val="2"/>
    </font>
    <font>
      <b/>
      <sz val="14"/>
      <name val="Arial"/>
      <family val="2"/>
    </font>
    <font>
      <b/>
      <sz val="12"/>
      <name val="Arial"/>
      <family val="2"/>
    </font>
    <font>
      <b/>
      <sz val="8"/>
      <name val="Arial"/>
      <family val="2"/>
    </font>
    <font>
      <sz val="8"/>
      <color indexed="8"/>
      <name val="Arial"/>
      <family val="2"/>
    </font>
    <font>
      <u/>
      <sz val="8"/>
      <color indexed="12"/>
      <name val="Arial"/>
      <family val="2"/>
    </font>
    <font>
      <b/>
      <sz val="8"/>
      <color indexed="12"/>
      <name val="Arial"/>
      <family val="2"/>
    </font>
    <font>
      <sz val="8"/>
      <color theme="0"/>
      <name val="Arial"/>
      <family val="2"/>
    </font>
    <font>
      <sz val="8"/>
      <color rgb="FF9C0006"/>
      <name val="Arial"/>
      <family val="2"/>
    </font>
    <font>
      <b/>
      <sz val="11"/>
      <color indexed="52"/>
      <name val="Calibri"/>
      <family val="2"/>
      <scheme val="minor"/>
    </font>
    <font>
      <b/>
      <sz val="8"/>
      <color rgb="FFFA7D00"/>
      <name val="Arial"/>
      <family val="2"/>
    </font>
    <font>
      <b/>
      <sz val="8"/>
      <color theme="0"/>
      <name val="Arial"/>
      <family val="2"/>
    </font>
    <font>
      <i/>
      <sz val="8"/>
      <color rgb="FF7F7F7F"/>
      <name val="Arial"/>
      <family val="2"/>
    </font>
    <font>
      <sz val="8"/>
      <color rgb="FF006100"/>
      <name val="Arial"/>
      <family val="2"/>
    </font>
    <font>
      <b/>
      <sz val="15"/>
      <color theme="3"/>
      <name val="Arial"/>
      <family val="2"/>
    </font>
    <font>
      <b/>
      <sz val="13"/>
      <color theme="3"/>
      <name val="Arial"/>
      <family val="2"/>
    </font>
    <font>
      <b/>
      <sz val="11"/>
      <color theme="3"/>
      <name val="Arial"/>
      <family val="2"/>
    </font>
    <font>
      <sz val="8"/>
      <color rgb="FF3F3F76"/>
      <name val="Arial"/>
      <family val="2"/>
    </font>
    <font>
      <sz val="8"/>
      <color rgb="FFFA7D00"/>
      <name val="Arial"/>
      <family val="2"/>
    </font>
    <font>
      <sz val="11"/>
      <color indexed="60"/>
      <name val="Calibri"/>
      <family val="2"/>
      <scheme val="minor"/>
    </font>
    <font>
      <sz val="8"/>
      <color rgb="FF9C6500"/>
      <name val="Arial"/>
      <family val="2"/>
    </font>
    <font>
      <b/>
      <sz val="8"/>
      <color rgb="FF3F3F3F"/>
      <name val="Arial"/>
      <family val="2"/>
    </font>
    <font>
      <b/>
      <sz val="8"/>
      <color theme="1"/>
      <name val="Arial"/>
      <family val="2"/>
    </font>
    <font>
      <sz val="8"/>
      <color rgb="FFFF0000"/>
      <name val="Arial"/>
      <family val="2"/>
    </font>
    <font>
      <u/>
      <sz val="10"/>
      <color theme="10"/>
      <name val="Arial"/>
      <family val="2"/>
    </font>
    <font>
      <sz val="10"/>
      <color theme="1"/>
      <name val="Calibri"/>
      <family val="4"/>
      <scheme val="minor"/>
    </font>
    <font>
      <sz val="10"/>
      <color theme="1"/>
      <name val="Cambria"/>
      <family val="1"/>
      <scheme val="major"/>
    </font>
    <font>
      <sz val="10"/>
      <color theme="8"/>
      <name val="Calibri"/>
      <family val="4"/>
      <scheme val="minor"/>
    </font>
    <font>
      <b/>
      <sz val="13"/>
      <color theme="4"/>
      <name val="Calibri"/>
      <family val="4"/>
      <scheme val="minor"/>
    </font>
    <font>
      <i/>
      <sz val="8"/>
      <color theme="1"/>
      <name val="Calibri"/>
      <family val="4"/>
      <scheme val="minor"/>
    </font>
    <font>
      <u/>
      <sz val="10"/>
      <color theme="11"/>
      <name val="Cambria"/>
      <family val="1"/>
      <scheme val="major"/>
    </font>
    <font>
      <b/>
      <sz val="12"/>
      <color theme="1"/>
      <name val="Cambria"/>
      <family val="1"/>
      <scheme val="major"/>
    </font>
    <font>
      <b/>
      <sz val="11"/>
      <color theme="1"/>
      <name val="Cambria"/>
      <family val="1"/>
      <scheme val="major"/>
    </font>
    <font>
      <b/>
      <sz val="10"/>
      <color theme="1"/>
      <name val="Cambria"/>
      <family val="1"/>
      <scheme val="major"/>
    </font>
    <font>
      <u/>
      <sz val="10"/>
      <color theme="4"/>
      <name val="Cambria"/>
      <family val="1"/>
      <scheme val="major"/>
    </font>
    <font>
      <b/>
      <sz val="13"/>
      <color theme="1"/>
      <name val="Cambria"/>
      <family val="1"/>
      <scheme val="major"/>
    </font>
    <font>
      <b/>
      <sz val="10"/>
      <color theme="1"/>
      <name val="Calibri"/>
      <family val="4"/>
      <scheme val="minor"/>
    </font>
    <font>
      <sz val="8"/>
      <color theme="1"/>
      <name val="Cambria"/>
      <family val="1"/>
      <scheme val="major"/>
    </font>
    <font>
      <i/>
      <sz val="8"/>
      <name val="Arial"/>
      <family val="2"/>
    </font>
    <font>
      <b/>
      <sz val="13"/>
      <name val="Arial"/>
      <family val="2"/>
    </font>
    <font>
      <b/>
      <sz val="13"/>
      <color indexed="12"/>
      <name val="Arial"/>
      <family val="2"/>
    </font>
    <font>
      <sz val="10"/>
      <color indexed="30"/>
      <name val="Arial"/>
      <family val="2"/>
    </font>
    <font>
      <sz val="16"/>
      <color theme="4"/>
      <name val="Arial"/>
      <family val="2"/>
    </font>
    <font>
      <u/>
      <sz val="7"/>
      <color indexed="12"/>
      <name val="Arial"/>
      <family val="2"/>
    </font>
    <font>
      <sz val="10"/>
      <color indexed="9"/>
      <name val="Arial Mäori"/>
      <family val="2"/>
    </font>
    <font>
      <sz val="10"/>
      <color indexed="20"/>
      <name val="Arial Mäori"/>
      <family val="2"/>
    </font>
    <font>
      <b/>
      <sz val="10"/>
      <color indexed="52"/>
      <name val="Arial Mäori"/>
      <family val="2"/>
    </font>
    <font>
      <b/>
      <sz val="10"/>
      <color indexed="9"/>
      <name val="Arial Mäori"/>
      <family val="2"/>
    </font>
    <font>
      <i/>
      <sz val="10"/>
      <color indexed="23"/>
      <name val="Arial Mäori"/>
      <family val="2"/>
    </font>
    <font>
      <sz val="10"/>
      <color indexed="17"/>
      <name val="Arial Mäori"/>
      <family val="2"/>
    </font>
    <font>
      <sz val="10"/>
      <color indexed="62"/>
      <name val="Arial Mäori"/>
      <family val="2"/>
    </font>
    <font>
      <sz val="10"/>
      <color indexed="52"/>
      <name val="Arial Mäori"/>
      <family val="2"/>
    </font>
    <font>
      <sz val="10"/>
      <color indexed="60"/>
      <name val="Arial Mäori"/>
      <family val="2"/>
    </font>
    <font>
      <b/>
      <sz val="10"/>
      <color indexed="63"/>
      <name val="Arial Mäori"/>
      <family val="2"/>
    </font>
    <font>
      <b/>
      <sz val="10"/>
      <color indexed="8"/>
      <name val="Arial Mäori"/>
      <family val="2"/>
    </font>
    <font>
      <sz val="10"/>
      <color indexed="10"/>
      <name val="Arial Mäori"/>
      <family val="2"/>
    </font>
    <font>
      <sz val="12"/>
      <name val="Arial"/>
      <family val="2"/>
    </font>
    <font>
      <sz val="9"/>
      <name val="Century Gothic"/>
      <family val="2"/>
    </font>
    <font>
      <sz val="10"/>
      <name val="Palatino"/>
    </font>
    <font>
      <sz val="10"/>
      <color theme="1"/>
      <name val="Arial"/>
      <family val="2"/>
    </font>
    <font>
      <sz val="10"/>
      <color theme="0"/>
      <name val="Arial"/>
      <family val="2"/>
    </font>
    <font>
      <sz val="10"/>
      <color rgb="FF9C0006"/>
      <name val="Arial"/>
      <family val="2"/>
    </font>
    <font>
      <b/>
      <sz val="11"/>
      <color indexed="10"/>
      <name val="Calibri"/>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indexed="62"/>
      <name val="Calibri"/>
      <family val="2"/>
    </font>
    <font>
      <b/>
      <sz val="13"/>
      <color indexed="62"/>
      <name val="Calibri"/>
      <family val="2"/>
    </font>
    <font>
      <b/>
      <sz val="11"/>
      <color indexed="62"/>
      <name val="Calibri"/>
      <family val="2"/>
    </font>
    <font>
      <sz val="10"/>
      <color rgb="FF3F3F76"/>
      <name val="Arial"/>
      <family val="2"/>
    </font>
    <font>
      <sz val="10"/>
      <color rgb="FFFA7D00"/>
      <name val="Arial"/>
      <family val="2"/>
    </font>
    <font>
      <sz val="11"/>
      <color indexed="19"/>
      <name val="Calibri"/>
      <family val="2"/>
    </font>
    <font>
      <sz val="10"/>
      <color rgb="FF9C6500"/>
      <name val="Arial"/>
      <family val="2"/>
    </font>
    <font>
      <sz val="9"/>
      <color theme="1"/>
      <name val="Arial"/>
      <family val="2"/>
    </font>
    <font>
      <b/>
      <sz val="10"/>
      <color rgb="FF3F3F3F"/>
      <name val="Arial"/>
      <family val="2"/>
    </font>
    <font>
      <b/>
      <sz val="10"/>
      <name val="MS Sans Serif"/>
      <family val="2"/>
    </font>
    <font>
      <b/>
      <sz val="18"/>
      <color indexed="62"/>
      <name val="Cambria"/>
      <family val="2"/>
    </font>
    <font>
      <b/>
      <sz val="10"/>
      <color theme="1"/>
      <name val="Arial"/>
      <family val="2"/>
    </font>
    <font>
      <sz val="10"/>
      <color rgb="FFFF0000"/>
      <name val="Arial"/>
      <family val="2"/>
    </font>
    <font>
      <u/>
      <sz val="9"/>
      <color indexed="12"/>
      <name val="Palatino"/>
    </font>
    <font>
      <b/>
      <sz val="20"/>
      <color theme="1"/>
      <name val="Calibri"/>
      <family val="2"/>
      <scheme val="minor"/>
    </font>
    <font>
      <b/>
      <sz val="11"/>
      <color rgb="FFFF0000"/>
      <name val="Calibri"/>
      <family val="2"/>
      <scheme val="minor"/>
    </font>
    <font>
      <sz val="11"/>
      <color theme="0" tint="-0.499984740745262"/>
      <name val="Calibri"/>
      <family val="2"/>
      <scheme val="minor"/>
    </font>
    <font>
      <sz val="11"/>
      <name val="Calibri"/>
      <family val="2"/>
    </font>
    <font>
      <sz val="9"/>
      <color indexed="81"/>
      <name val="Tahoma"/>
      <family val="2"/>
    </font>
    <font>
      <b/>
      <sz val="9"/>
      <color indexed="81"/>
      <name val="Tahoma"/>
      <family val="2"/>
    </font>
    <font>
      <sz val="8"/>
      <color indexed="9"/>
      <name val="Arial"/>
      <family val="2"/>
    </font>
    <font>
      <sz val="8"/>
      <color indexed="20"/>
      <name val="Arial"/>
      <family val="2"/>
    </font>
    <font>
      <b/>
      <sz val="8"/>
      <color indexed="52"/>
      <name val="Arial"/>
      <family val="2"/>
    </font>
    <font>
      <b/>
      <sz val="8"/>
      <color indexed="9"/>
      <name val="Arial"/>
      <family val="2"/>
    </font>
    <font>
      <sz val="10"/>
      <color indexed="8"/>
      <name val="Cambria"/>
      <family val="1"/>
    </font>
    <font>
      <sz val="10"/>
      <color indexed="8"/>
      <name val="Calibri"/>
      <family val="4"/>
    </font>
    <font>
      <sz val="10"/>
      <color indexed="49"/>
      <name val="Calibri"/>
      <family val="4"/>
    </font>
    <font>
      <b/>
      <sz val="13"/>
      <color indexed="62"/>
      <name val="Calibri"/>
      <family val="4"/>
    </font>
    <font>
      <i/>
      <sz val="8"/>
      <color indexed="23"/>
      <name val="Arial"/>
      <family val="2"/>
    </font>
    <font>
      <u/>
      <sz val="10"/>
      <color indexed="20"/>
      <name val="Cambria"/>
      <family val="1"/>
    </font>
    <font>
      <sz val="8"/>
      <color indexed="17"/>
      <name val="Arial"/>
      <family val="2"/>
    </font>
    <font>
      <b/>
      <sz val="12"/>
      <color indexed="8"/>
      <name val="Cambria"/>
      <family val="1"/>
    </font>
    <font>
      <u/>
      <sz val="10"/>
      <color indexed="62"/>
      <name val="Cambria"/>
      <family val="1"/>
    </font>
    <font>
      <u/>
      <sz val="9.35"/>
      <color indexed="12"/>
      <name val="Calibri"/>
      <family val="2"/>
    </font>
    <font>
      <sz val="8"/>
      <color indexed="62"/>
      <name val="Arial"/>
      <family val="2"/>
    </font>
    <font>
      <b/>
      <sz val="13"/>
      <color indexed="8"/>
      <name val="Cambria"/>
      <family val="1"/>
    </font>
    <font>
      <b/>
      <sz val="10"/>
      <color indexed="8"/>
      <name val="Calibri"/>
      <family val="4"/>
    </font>
    <font>
      <sz val="8"/>
      <color indexed="52"/>
      <name val="Arial"/>
      <family val="2"/>
    </font>
    <font>
      <sz val="8"/>
      <color indexed="60"/>
      <name val="Arial"/>
      <family val="2"/>
    </font>
    <font>
      <b/>
      <sz val="24"/>
      <color theme="1"/>
      <name val="Calibri"/>
      <family val="2"/>
      <scheme val="minor"/>
    </font>
  </fonts>
  <fills count="78">
    <fill>
      <patternFill patternType="none"/>
    </fill>
    <fill>
      <patternFill patternType="gray125"/>
    </fill>
    <fill>
      <patternFill patternType="solid">
        <fgColor theme="8" tint="0.39994506668294322"/>
        <bgColor indexed="64"/>
      </patternFill>
    </fill>
    <fill>
      <patternFill patternType="solid">
        <fgColor theme="8"/>
        <bgColor indexed="64"/>
      </patternFill>
    </fill>
    <fill>
      <patternFill patternType="solid">
        <fgColor rgb="FFFFFFCC"/>
        <bgColor indexed="64"/>
      </patternFill>
    </fill>
    <fill>
      <patternFill patternType="solid">
        <fgColor theme="8" tint="0.79998168889431442"/>
        <bgColor indexed="64"/>
      </patternFill>
    </fill>
    <fill>
      <patternFill patternType="solid">
        <fgColor theme="4" tint="0.399945066682943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59999389629810485"/>
        <bgColor indexed="64"/>
      </patternFill>
    </fill>
    <fill>
      <patternFill patternType="solid">
        <fgColor theme="0"/>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C99"/>
      </patternFill>
    </fill>
    <fill>
      <patternFill patternType="solid">
        <fgColor theme="3"/>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56"/>
      </patternFill>
    </fill>
    <fill>
      <patternFill patternType="solid">
        <fgColor indexed="54"/>
      </patternFill>
    </fill>
    <fill>
      <patternFill patternType="solid">
        <fgColor indexed="27"/>
        <bgColor indexed="64"/>
      </patternFill>
    </fill>
    <fill>
      <patternFill patternType="solid">
        <fgColor indexed="9"/>
      </patternFill>
    </fill>
    <fill>
      <patternFill patternType="solid">
        <fgColor indexed="26"/>
        <bgColor indexed="64"/>
      </patternFill>
    </fill>
    <fill>
      <patternFill patternType="mediumGray">
        <fgColor indexed="22"/>
      </patternFill>
    </fill>
    <fill>
      <patternFill patternType="solid">
        <fgColor theme="9" tint="0.59999389629810485"/>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indexed="9"/>
        <bgColor indexed="64"/>
      </patternFill>
    </fill>
    <fill>
      <patternFill patternType="darkUp">
        <fgColor theme="0"/>
        <bgColor rgb="FFFFFF99"/>
      </patternFill>
    </fill>
  </fills>
  <borders count="56">
    <border>
      <left/>
      <right/>
      <top/>
      <bottom/>
      <diagonal/>
    </border>
    <border>
      <left/>
      <right style="thick">
        <color theme="8"/>
      </right>
      <top/>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right/>
      <top/>
      <bottom style="thick">
        <color indexed="62"/>
      </bottom>
      <diagonal/>
    </border>
    <border>
      <left/>
      <right/>
      <top/>
      <bottom style="thick">
        <color indexed="22"/>
      </bottom>
      <diagonal/>
    </border>
    <border>
      <left style="medium">
        <color indexed="64"/>
      </left>
      <right style="thin">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indexed="62"/>
      </bottom>
      <diagonal/>
    </border>
    <border>
      <left/>
      <right/>
      <top/>
      <bottom style="thick">
        <color indexed="2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thin">
        <color theme="5"/>
      </left>
      <right style="thin">
        <color theme="5"/>
      </right>
      <top style="thin">
        <color theme="5"/>
      </top>
      <bottom style="thin">
        <color theme="5"/>
      </bottom>
      <diagonal/>
    </border>
    <border>
      <left style="medium">
        <color theme="5"/>
      </left>
      <right style="medium">
        <color theme="5"/>
      </right>
      <top style="medium">
        <color theme="5"/>
      </top>
      <bottom style="medium">
        <color theme="5"/>
      </bottom>
      <diagonal/>
    </border>
    <border>
      <left/>
      <right style="thin">
        <color theme="5"/>
      </right>
      <top/>
      <bottom style="thin">
        <color theme="5"/>
      </bottom>
      <diagonal/>
    </border>
    <border>
      <left style="thin">
        <color theme="5"/>
      </left>
      <right style="thin">
        <color theme="5"/>
      </right>
      <top style="medium">
        <color theme="5"/>
      </top>
      <bottom style="medium">
        <color theme="5"/>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thin">
        <color indexed="56"/>
      </top>
      <bottom style="double">
        <color indexed="56"/>
      </bottom>
      <diagonal/>
    </border>
    <border>
      <left style="thin">
        <color indexed="10"/>
      </left>
      <right style="thin">
        <color indexed="10"/>
      </right>
      <top style="thin">
        <color indexed="10"/>
      </top>
      <bottom style="thin">
        <color indexed="10"/>
      </bottom>
      <diagonal/>
    </border>
    <border>
      <left style="medium">
        <color indexed="10"/>
      </left>
      <right style="medium">
        <color indexed="10"/>
      </right>
      <top style="medium">
        <color indexed="10"/>
      </top>
      <bottom style="medium">
        <color indexed="1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ck">
        <color theme="8" tint="0.39991454817346722"/>
      </right>
      <top/>
      <bottom/>
      <diagonal/>
    </border>
    <border>
      <left/>
      <right/>
      <top/>
      <bottom style="medium">
        <color auto="1"/>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s>
  <cellStyleXfs count="6235">
    <xf numFmtId="0" fontId="0" fillId="0" borderId="0"/>
    <xf numFmtId="0" fontId="7" fillId="3" borderId="0" applyNumberFormat="0" applyAlignment="0" applyProtection="0"/>
    <xf numFmtId="0" fontId="6" fillId="2" borderId="0" applyNumberFormat="0" applyAlignment="0" applyProtection="0"/>
    <xf numFmtId="0" fontId="5" fillId="5" borderId="0" applyNumberFormat="0" applyAlignment="0" applyProtection="0"/>
    <xf numFmtId="0" fontId="4" fillId="0" borderId="0" applyNumberFormat="0" applyAlignment="0" applyProtection="0"/>
    <xf numFmtId="0" fontId="2" fillId="4" borderId="0" applyNumberFormat="0" applyFont="0" applyAlignment="0" applyProtection="0"/>
    <xf numFmtId="3" fontId="1" fillId="0" borderId="0" applyFont="0" applyFill="0" applyAlignment="0" applyProtection="0"/>
    <xf numFmtId="3" fontId="1" fillId="0" borderId="1" applyFont="0" applyFill="0" applyAlignment="0" applyProtection="0"/>
    <xf numFmtId="10" fontId="1" fillId="0" borderId="1" applyFont="0" applyFill="0" applyAlignment="0" applyProtection="0"/>
    <xf numFmtId="10" fontId="1" fillId="0" borderId="0" applyFont="0" applyFill="0" applyAlignment="0" applyProtection="0"/>
    <xf numFmtId="9" fontId="1" fillId="0" borderId="0" applyFont="0" applyFill="0" applyBorder="0" applyAlignment="0" applyProtection="0"/>
    <xf numFmtId="166" fontId="1" fillId="0" borderId="0" applyFont="0" applyFill="0" applyBorder="0" applyAlignment="0" applyProtection="0"/>
    <xf numFmtId="0" fontId="14" fillId="6" borderId="0" applyNumberFormat="0" applyAlignment="0" applyProtection="0"/>
    <xf numFmtId="0" fontId="2" fillId="4" borderId="2" applyNumberFormat="0" applyAlignment="0" applyProtection="0"/>
    <xf numFmtId="0" fontId="13" fillId="6" borderId="0" applyNumberFormat="0" applyAlignment="0"/>
    <xf numFmtId="0" fontId="20" fillId="0" borderId="0"/>
    <xf numFmtId="0" fontId="21" fillId="0" borderId="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3" fillId="17"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4" borderId="0" applyNumberFormat="0" applyBorder="0" applyAlignment="0" applyProtection="0"/>
    <xf numFmtId="0" fontId="24" fillId="8" borderId="0" applyNumberFormat="0" applyBorder="0" applyAlignment="0" applyProtection="0"/>
    <xf numFmtId="0" fontId="25" fillId="25" borderId="7" applyNumberFormat="0" applyAlignment="0" applyProtection="0"/>
    <xf numFmtId="0" fontId="26" fillId="26" borderId="8" applyNumberFormat="0" applyAlignment="0" applyProtection="0"/>
    <xf numFmtId="166" fontId="21" fillId="0" borderId="0" applyFont="0" applyFill="0" applyBorder="0" applyAlignment="0" applyProtection="0"/>
    <xf numFmtId="0" fontId="27" fillId="0" borderId="0" applyNumberFormat="0" applyFill="0" applyBorder="0" applyAlignment="0" applyProtection="0"/>
    <xf numFmtId="0" fontId="28" fillId="9" borderId="0" applyNumberFormat="0" applyBorder="0" applyAlignment="0" applyProtection="0"/>
    <xf numFmtId="0" fontId="29" fillId="0" borderId="9" applyNumberFormat="0" applyFill="0" applyAlignment="0" applyProtection="0"/>
    <xf numFmtId="0" fontId="29" fillId="0" borderId="0" applyNumberFormat="0" applyFill="0" applyBorder="0" applyAlignment="0" applyProtection="0"/>
    <xf numFmtId="0" fontId="30" fillId="0" borderId="10" applyNumberFormat="0" applyFill="0" applyAlignment="0" applyProtection="0"/>
    <xf numFmtId="0" fontId="31" fillId="27" borderId="0" applyNumberFormat="0" applyBorder="0" applyAlignment="0" applyProtection="0"/>
    <xf numFmtId="0" fontId="20" fillId="0" borderId="0"/>
    <xf numFmtId="0" fontId="21" fillId="0" borderId="0"/>
    <xf numFmtId="0" fontId="32"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28" borderId="11" applyNumberFormat="0" applyFont="0" applyAlignment="0" applyProtection="0"/>
    <xf numFmtId="0" fontId="33" fillId="25" borderId="12" applyNumberFormat="0" applyAlignment="0" applyProtection="0"/>
    <xf numFmtId="0" fontId="34" fillId="0" borderId="0" applyNumberFormat="0" applyFill="0" applyBorder="0" applyAlignment="0" applyProtection="0"/>
    <xf numFmtId="0" fontId="35" fillId="0" borderId="13" applyNumberFormat="0" applyFill="0" applyAlignment="0" applyProtection="0"/>
    <xf numFmtId="0" fontId="36" fillId="0" borderId="0" applyNumberFormat="0" applyFill="0" applyBorder="0" applyAlignment="0" applyProtection="0"/>
    <xf numFmtId="178" fontId="21" fillId="0" borderId="0"/>
    <xf numFmtId="0" fontId="21" fillId="0" borderId="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64" fillId="7"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64" fillId="8"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64" fillId="9"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64"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64" fillId="11"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64" fillId="12"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64" fillId="13"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64" fillId="14"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64" fillId="15"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64"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64" fillId="13" borderId="0" applyNumberFormat="0" applyBorder="0" applyAlignment="0" applyProtection="0"/>
    <xf numFmtId="0" fontId="38" fillId="13"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64" fillId="16" borderId="0" applyNumberFormat="0" applyBorder="0" applyAlignment="0" applyProtection="0"/>
    <xf numFmtId="0" fontId="38" fillId="16" borderId="0" applyNumberFormat="0" applyBorder="0" applyAlignment="0" applyProtection="0"/>
    <xf numFmtId="0" fontId="49" fillId="17" borderId="0" applyNumberFormat="0" applyBorder="0" applyAlignment="0" applyProtection="0"/>
    <xf numFmtId="0" fontId="65" fillId="17" borderId="0" applyNumberFormat="0" applyBorder="0" applyAlignment="0" applyProtection="0"/>
    <xf numFmtId="0" fontId="49" fillId="14" borderId="0" applyNumberFormat="0" applyBorder="0" applyAlignment="0" applyProtection="0"/>
    <xf numFmtId="0" fontId="65" fillId="14" borderId="0" applyNumberFormat="0" applyBorder="0" applyAlignment="0" applyProtection="0"/>
    <xf numFmtId="0" fontId="49" fillId="15" borderId="0" applyNumberFormat="0" applyBorder="0" applyAlignment="0" applyProtection="0"/>
    <xf numFmtId="0" fontId="65" fillId="15" borderId="0" applyNumberFormat="0" applyBorder="0" applyAlignment="0" applyProtection="0"/>
    <xf numFmtId="0" fontId="49" fillId="18" borderId="0" applyNumberFormat="0" applyBorder="0" applyAlignment="0" applyProtection="0"/>
    <xf numFmtId="0" fontId="65" fillId="18" borderId="0" applyNumberFormat="0" applyBorder="0" applyAlignment="0" applyProtection="0"/>
    <xf numFmtId="0" fontId="49" fillId="19" borderId="0" applyNumberFormat="0" applyBorder="0" applyAlignment="0" applyProtection="0"/>
    <xf numFmtId="0" fontId="65" fillId="19" borderId="0" applyNumberFormat="0" applyBorder="0" applyAlignment="0" applyProtection="0"/>
    <xf numFmtId="0" fontId="49" fillId="20" borderId="0" applyNumberFormat="0" applyBorder="0" applyAlignment="0" applyProtection="0"/>
    <xf numFmtId="0" fontId="65" fillId="20" borderId="0" applyNumberFormat="0" applyBorder="0" applyAlignment="0" applyProtection="0"/>
    <xf numFmtId="0" fontId="49" fillId="21" borderId="0" applyNumberFormat="0" applyBorder="0" applyAlignment="0" applyProtection="0"/>
    <xf numFmtId="0" fontId="65" fillId="21" borderId="0" applyNumberFormat="0" applyBorder="0" applyAlignment="0" applyProtection="0"/>
    <xf numFmtId="0" fontId="49" fillId="22" borderId="0" applyNumberFormat="0" applyBorder="0" applyAlignment="0" applyProtection="0"/>
    <xf numFmtId="0" fontId="65" fillId="22" borderId="0" applyNumberFormat="0" applyBorder="0" applyAlignment="0" applyProtection="0"/>
    <xf numFmtId="0" fontId="49" fillId="23" borderId="0" applyNumberFormat="0" applyBorder="0" applyAlignment="0" applyProtection="0"/>
    <xf numFmtId="0" fontId="65" fillId="23" borderId="0" applyNumberFormat="0" applyBorder="0" applyAlignment="0" applyProtection="0"/>
    <xf numFmtId="0" fontId="49" fillId="18" borderId="0" applyNumberFormat="0" applyBorder="0" applyAlignment="0" applyProtection="0"/>
    <xf numFmtId="0" fontId="65" fillId="18" borderId="0" applyNumberFormat="0" applyBorder="0" applyAlignment="0" applyProtection="0"/>
    <xf numFmtId="0" fontId="49" fillId="19" borderId="0" applyNumberFormat="0" applyBorder="0" applyAlignment="0" applyProtection="0"/>
    <xf numFmtId="0" fontId="65" fillId="19" borderId="0" applyNumberFormat="0" applyBorder="0" applyAlignment="0" applyProtection="0"/>
    <xf numFmtId="0" fontId="49" fillId="24" borderId="0" applyNumberFormat="0" applyBorder="0" applyAlignment="0" applyProtection="0"/>
    <xf numFmtId="0" fontId="65" fillId="24" borderId="0" applyNumberFormat="0" applyBorder="0" applyAlignment="0" applyProtection="0"/>
    <xf numFmtId="0" fontId="41" fillId="0" borderId="4">
      <alignment horizontal="center" vertical="center"/>
    </xf>
    <xf numFmtId="0" fontId="50" fillId="8" borderId="0" applyNumberFormat="0" applyBorder="0" applyAlignment="0" applyProtection="0"/>
    <xf numFmtId="0" fontId="66" fillId="8" borderId="0" applyNumberFormat="0" applyBorder="0" applyAlignment="0" applyProtection="0"/>
    <xf numFmtId="175" fontId="42" fillId="0" borderId="0"/>
    <xf numFmtId="0" fontId="51" fillId="25" borderId="7" applyNumberFormat="0" applyAlignment="0" applyProtection="0"/>
    <xf numFmtId="0" fontId="67" fillId="25" borderId="7" applyNumberFormat="0" applyAlignment="0" applyProtection="0"/>
    <xf numFmtId="0" fontId="52" fillId="26" borderId="8" applyNumberFormat="0" applyAlignment="0" applyProtection="0"/>
    <xf numFmtId="0" fontId="68" fillId="26" borderId="8" applyNumberFormat="0" applyAlignment="0" applyProtection="0"/>
    <xf numFmtId="0"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63"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76" fontId="43" fillId="0" borderId="0">
      <alignment horizontal="left"/>
    </xf>
    <xf numFmtId="168" fontId="41" fillId="0" borderId="0" applyBorder="0"/>
    <xf numFmtId="168" fontId="41" fillId="0" borderId="14"/>
    <xf numFmtId="0" fontId="21" fillId="0" borderId="0" applyFont="0" applyFill="0" applyBorder="0" applyAlignment="0" applyProtection="0"/>
    <xf numFmtId="0" fontId="53" fillId="0" borderId="0" applyNumberFormat="0" applyFill="0" applyBorder="0" applyAlignment="0" applyProtection="0"/>
    <xf numFmtId="0" fontId="69" fillId="0" borderId="0" applyNumberFormat="0" applyFill="0" applyBorder="0" applyAlignment="0" applyProtection="0"/>
    <xf numFmtId="0" fontId="54" fillId="9" borderId="0" applyNumberFormat="0" applyBorder="0" applyAlignment="0" applyProtection="0"/>
    <xf numFmtId="0" fontId="70" fillId="9" borderId="0" applyNumberFormat="0" applyBorder="0" applyAlignment="0" applyProtection="0"/>
    <xf numFmtId="0" fontId="55" fillId="0" borderId="15" applyNumberFormat="0" applyFill="0" applyAlignment="0" applyProtection="0"/>
    <xf numFmtId="0" fontId="71" fillId="0" borderId="15" applyNumberFormat="0" applyFill="0" applyAlignment="0" applyProtection="0"/>
    <xf numFmtId="0" fontId="56" fillId="0" borderId="16" applyNumberFormat="0" applyFill="0" applyAlignment="0" applyProtection="0"/>
    <xf numFmtId="0" fontId="72" fillId="0" borderId="16" applyNumberFormat="0" applyFill="0" applyAlignment="0" applyProtection="0"/>
    <xf numFmtId="0" fontId="57" fillId="0" borderId="9" applyNumberFormat="0" applyFill="0" applyAlignment="0" applyProtection="0"/>
    <xf numFmtId="0" fontId="73" fillId="0" borderId="9" applyNumberFormat="0" applyFill="0" applyAlignment="0" applyProtection="0"/>
    <xf numFmtId="0" fontId="57" fillId="0" borderId="0" applyNumberFormat="0" applyFill="0" applyBorder="0" applyAlignment="0" applyProtection="0"/>
    <xf numFmtId="0" fontId="73" fillId="0" borderId="0" applyNumberFormat="0" applyFill="0" applyBorder="0" applyAlignment="0" applyProtection="0"/>
    <xf numFmtId="174" fontId="47"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58" fillId="12" borderId="7" applyNumberFormat="0" applyAlignment="0" applyProtection="0"/>
    <xf numFmtId="0" fontId="74" fillId="12" borderId="7" applyNumberFormat="0" applyAlignment="0" applyProtection="0"/>
    <xf numFmtId="0" fontId="59" fillId="0" borderId="10" applyNumberFormat="0" applyFill="0" applyAlignment="0" applyProtection="0"/>
    <xf numFmtId="0" fontId="75" fillId="0" borderId="10" applyNumberFormat="0" applyFill="0" applyAlignment="0" applyProtection="0"/>
    <xf numFmtId="177" fontId="40" fillId="0" borderId="0"/>
    <xf numFmtId="0" fontId="60" fillId="27" borderId="0" applyNumberFormat="0" applyBorder="0" applyAlignment="0" applyProtection="0"/>
    <xf numFmtId="0" fontId="76" fillId="27" borderId="0" applyNumberFormat="0" applyBorder="0" applyAlignment="0" applyProtection="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174" fontId="38" fillId="0" borderId="0"/>
    <xf numFmtId="174" fontId="38" fillId="0" borderId="0"/>
    <xf numFmtId="174" fontId="38" fillId="0" borderId="0"/>
    <xf numFmtId="174" fontId="38" fillId="0" borderId="0"/>
    <xf numFmtId="174" fontId="38" fillId="0" borderId="0"/>
    <xf numFmtId="174" fontId="38" fillId="0" borderId="0"/>
    <xf numFmtId="174" fontId="38" fillId="0" borderId="0"/>
    <xf numFmtId="174" fontId="38" fillId="0" borderId="0"/>
    <xf numFmtId="174" fontId="38" fillId="0" borderId="0"/>
    <xf numFmtId="174" fontId="38" fillId="0" borderId="0"/>
    <xf numFmtId="174" fontId="38" fillId="0" borderId="0"/>
    <xf numFmtId="174" fontId="38" fillId="0" borderId="0"/>
    <xf numFmtId="0" fontId="21" fillId="0" borderId="0" applyBorder="0"/>
    <xf numFmtId="174" fontId="38" fillId="0" borderId="0"/>
    <xf numFmtId="174" fontId="38" fillId="0" borderId="0"/>
    <xf numFmtId="174" fontId="38" fillId="0" borderId="0"/>
    <xf numFmtId="174" fontId="38" fillId="0" borderId="0"/>
    <xf numFmtId="0" fontId="21" fillId="0" borderId="0"/>
    <xf numFmtId="0" fontId="21" fillId="0" borderId="0"/>
    <xf numFmtId="0" fontId="21" fillId="0" borderId="0"/>
    <xf numFmtId="0" fontId="64" fillId="0" borderId="0"/>
    <xf numFmtId="0" fontId="64" fillId="0" borderId="0"/>
    <xf numFmtId="0" fontId="64" fillId="0" borderId="0"/>
    <xf numFmtId="0" fontId="21" fillId="0" borderId="0"/>
    <xf numFmtId="0" fontId="20" fillId="0" borderId="0"/>
    <xf numFmtId="178" fontId="38" fillId="0" borderId="0"/>
    <xf numFmtId="178" fontId="38" fillId="0" borderId="0"/>
    <xf numFmtId="0" fontId="41" fillId="0" borderId="0"/>
    <xf numFmtId="0" fontId="41" fillId="0" borderId="0"/>
    <xf numFmtId="0" fontId="21" fillId="0" borderId="0"/>
    <xf numFmtId="0" fontId="21" fillId="0" borderId="0"/>
    <xf numFmtId="0" fontId="21" fillId="0" borderId="0"/>
    <xf numFmtId="0" fontId="21" fillId="0" borderId="0"/>
    <xf numFmtId="0" fontId="38" fillId="0" borderId="0"/>
    <xf numFmtId="0" fontId="38" fillId="0" borderId="0"/>
    <xf numFmtId="0" fontId="21" fillId="0" borderId="0"/>
    <xf numFmtId="0" fontId="21" fillId="0" borderId="0"/>
    <xf numFmtId="178" fontId="22" fillId="0" borderId="0"/>
    <xf numFmtId="0" fontId="22" fillId="0" borderId="0"/>
    <xf numFmtId="0" fontId="1" fillId="0" borderId="0"/>
    <xf numFmtId="174" fontId="38" fillId="0" borderId="0"/>
    <xf numFmtId="174" fontId="38" fillId="0" borderId="0"/>
    <xf numFmtId="0" fontId="80" fillId="0" borderId="0"/>
    <xf numFmtId="174" fontId="38" fillId="0" borderId="0"/>
    <xf numFmtId="174" fontId="38" fillId="0" borderId="0"/>
    <xf numFmtId="178" fontId="21" fillId="0" borderId="0" applyBorder="0"/>
    <xf numFmtId="0" fontId="21" fillId="0" borderId="0" applyBorder="0"/>
    <xf numFmtId="178" fontId="21" fillId="0" borderId="0"/>
    <xf numFmtId="0" fontId="40" fillId="0" borderId="0"/>
    <xf numFmtId="0" fontId="40" fillId="0" borderId="0"/>
    <xf numFmtId="0" fontId="21" fillId="0" borderId="0"/>
    <xf numFmtId="0" fontId="22" fillId="0" borderId="0"/>
    <xf numFmtId="0" fontId="21" fillId="0" borderId="0"/>
    <xf numFmtId="0" fontId="21" fillId="28" borderId="11" applyNumberFormat="0" applyFont="0" applyAlignment="0" applyProtection="0"/>
    <xf numFmtId="0" fontId="21" fillId="28" borderId="11" applyNumberFormat="0" applyFont="0" applyAlignment="0" applyProtection="0"/>
    <xf numFmtId="0" fontId="21" fillId="28" borderId="11" applyNumberFormat="0" applyFont="0" applyAlignment="0" applyProtection="0"/>
    <xf numFmtId="0" fontId="64" fillId="28" borderId="11" applyNumberFormat="0" applyFont="0" applyAlignment="0" applyProtection="0"/>
    <xf numFmtId="0" fontId="21" fillId="28" borderId="11" applyNumberFormat="0" applyFont="0" applyAlignment="0" applyProtection="0"/>
    <xf numFmtId="0" fontId="21" fillId="28" borderId="11" applyNumberFormat="0" applyFont="0" applyAlignment="0" applyProtection="0"/>
    <xf numFmtId="0" fontId="44" fillId="0" borderId="0">
      <alignment horizontal="left"/>
    </xf>
    <xf numFmtId="0" fontId="61" fillId="25" borderId="12" applyNumberFormat="0" applyAlignment="0" applyProtection="0"/>
    <xf numFmtId="0" fontId="77" fillId="25" borderId="12" applyNumberFormat="0" applyAlignment="0" applyProtection="0"/>
    <xf numFmtId="9" fontId="21"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41" fillId="0" borderId="5">
      <alignment horizontal="center" vertical="center"/>
    </xf>
    <xf numFmtId="0" fontId="21" fillId="0" borderId="0" applyNumberFormat="0" applyFill="0" applyBorder="0" applyAlignment="0" applyProtection="0"/>
    <xf numFmtId="166" fontId="22" fillId="0" borderId="17" applyFont="0" applyAlignment="0">
      <alignment vertical="top" wrapText="1"/>
    </xf>
    <xf numFmtId="0" fontId="45" fillId="0" borderId="0"/>
    <xf numFmtId="0" fontId="46" fillId="0" borderId="0"/>
    <xf numFmtId="0" fontId="39" fillId="0" borderId="13" applyNumberFormat="0" applyFill="0" applyAlignment="0" applyProtection="0"/>
    <xf numFmtId="0" fontId="39" fillId="0" borderId="13" applyNumberFormat="0" applyFill="0" applyAlignment="0" applyProtection="0"/>
    <xf numFmtId="0" fontId="78" fillId="0" borderId="13" applyNumberFormat="0" applyFill="0" applyAlignment="0" applyProtection="0"/>
    <xf numFmtId="0" fontId="62" fillId="0" borderId="0" applyNumberFormat="0" applyFill="0" applyBorder="0" applyAlignment="0" applyProtection="0"/>
    <xf numFmtId="0" fontId="79" fillId="0" borderId="0" applyNumberFormat="0" applyFill="0" applyBorder="0" applyAlignment="0" applyProtection="0"/>
    <xf numFmtId="0" fontId="41" fillId="0" borderId="0"/>
    <xf numFmtId="166" fontId="21" fillId="0" borderId="0" applyFont="0" applyFill="0" applyBorder="0" applyAlignment="0" applyProtection="0"/>
    <xf numFmtId="0" fontId="84" fillId="0" borderId="15" applyNumberFormat="0" applyFill="0" applyAlignment="0" applyProtection="0"/>
    <xf numFmtId="0" fontId="85" fillId="0" borderId="16" applyNumberFormat="0" applyFill="0" applyAlignment="0" applyProtection="0"/>
    <xf numFmtId="0" fontId="86" fillId="12" borderId="7" applyNumberFormat="0" applyAlignment="0" applyProtection="0"/>
    <xf numFmtId="0" fontId="20" fillId="0" borderId="0"/>
    <xf numFmtId="0" fontId="20" fillId="0" borderId="0"/>
    <xf numFmtId="0" fontId="1" fillId="0" borderId="0"/>
    <xf numFmtId="0" fontId="1" fillId="0" borderId="0"/>
    <xf numFmtId="0" fontId="21" fillId="0" borderId="0"/>
    <xf numFmtId="0" fontId="1" fillId="0" borderId="0"/>
    <xf numFmtId="0" fontId="41" fillId="0" borderId="0"/>
    <xf numFmtId="0" fontId="41" fillId="0" borderId="0"/>
    <xf numFmtId="0" fontId="41" fillId="0" borderId="0"/>
    <xf numFmtId="0" fontId="41" fillId="0" borderId="0"/>
    <xf numFmtId="0" fontId="95" fillId="0" borderId="0" applyNumberFormat="0" applyFill="0" applyBorder="0" applyAlignment="0" applyProtection="0">
      <alignment vertical="top"/>
      <protection locked="0"/>
    </xf>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71" fillId="0" borderId="23" applyNumberFormat="0" applyFill="0" applyAlignment="0" applyProtection="0"/>
    <xf numFmtId="0" fontId="55" fillId="0" borderId="23" applyNumberFormat="0" applyFill="0" applyAlignment="0" applyProtection="0"/>
    <xf numFmtId="0" fontId="72" fillId="0" borderId="24" applyNumberFormat="0" applyFill="0" applyAlignment="0" applyProtection="0"/>
    <xf numFmtId="0" fontId="56" fillId="0" borderId="24" applyNumberFormat="0" applyFill="0" applyAlignment="0" applyProtection="0"/>
    <xf numFmtId="0" fontId="99" fillId="0" borderId="0" applyNumberFormat="0" applyFill="0" applyBorder="0" applyAlignment="0" applyProtection="0"/>
    <xf numFmtId="0" fontId="100" fillId="32" borderId="0" applyNumberFormat="0" applyBorder="0" applyAlignment="0" applyProtection="0"/>
    <xf numFmtId="0" fontId="101" fillId="33" borderId="0" applyNumberFormat="0" applyBorder="0" applyAlignment="0" applyProtection="0"/>
    <xf numFmtId="0" fontId="102" fillId="34" borderId="0" applyNumberFormat="0" applyBorder="0" applyAlignment="0" applyProtection="0"/>
    <xf numFmtId="0" fontId="103" fillId="35" borderId="25" applyNumberFormat="0" applyAlignment="0" applyProtection="0"/>
    <xf numFmtId="0" fontId="104" fillId="35" borderId="2" applyNumberFormat="0" applyAlignment="0" applyProtection="0"/>
    <xf numFmtId="0" fontId="105" fillId="0" borderId="26" applyNumberFormat="0" applyFill="0" applyAlignment="0" applyProtection="0"/>
    <xf numFmtId="0" fontId="106" fillId="36" borderId="27" applyNumberFormat="0" applyAlignment="0" applyProtection="0"/>
    <xf numFmtId="0" fontId="107" fillId="0" borderId="0" applyNumberFormat="0" applyFill="0" applyBorder="0" applyAlignment="0" applyProtection="0"/>
    <xf numFmtId="0" fontId="1" fillId="37" borderId="28" applyNumberFormat="0" applyFont="0" applyAlignment="0" applyProtection="0"/>
    <xf numFmtId="0" fontId="108" fillId="0" borderId="0" applyNumberFormat="0" applyFill="0" applyBorder="0" applyAlignment="0" applyProtection="0"/>
    <xf numFmtId="0" fontId="3" fillId="0" borderId="29" applyNumberFormat="0" applyFill="0" applyAlignment="0" applyProtection="0"/>
    <xf numFmtId="0" fontId="109"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09" fillId="41" borderId="0" applyNumberFormat="0" applyBorder="0" applyAlignment="0" applyProtection="0"/>
    <xf numFmtId="0" fontId="109"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09" fillId="45" borderId="0" applyNumberFormat="0" applyBorder="0" applyAlignment="0" applyProtection="0"/>
    <xf numFmtId="0" fontId="109" fillId="46"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09" fillId="49" borderId="0" applyNumberFormat="0" applyBorder="0" applyAlignment="0" applyProtection="0"/>
    <xf numFmtId="0" fontId="109" fillId="50"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09" fillId="53" borderId="0" applyNumberFormat="0" applyBorder="0" applyAlignment="0" applyProtection="0"/>
    <xf numFmtId="0" fontId="109" fillId="54"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109" fillId="57" borderId="0" applyNumberFormat="0" applyBorder="0" applyAlignment="0" applyProtection="0"/>
    <xf numFmtId="0" fontId="109"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09" fillId="61" borderId="0" applyNumberFormat="0" applyBorder="0" applyAlignment="0" applyProtection="0"/>
    <xf numFmtId="0" fontId="110" fillId="0" borderId="0" applyNumberFormat="0" applyFill="0" applyBorder="0" applyAlignment="0" applyProtection="0"/>
    <xf numFmtId="0" fontId="111" fillId="0" borderId="30" applyNumberFormat="0" applyFill="0" applyAlignment="0" applyProtection="0"/>
    <xf numFmtId="0" fontId="112" fillId="0" borderId="31" applyNumberFormat="0" applyFill="0" applyAlignment="0" applyProtection="0"/>
    <xf numFmtId="0" fontId="99" fillId="0" borderId="32" applyNumberFormat="0" applyFill="0" applyAlignment="0" applyProtection="0"/>
    <xf numFmtId="0" fontId="2" fillId="62" borderId="2" applyNumberFormat="0" applyAlignment="0" applyProtection="0"/>
    <xf numFmtId="0" fontId="21" fillId="0" borderId="0" applyFont="0" applyFill="0" applyBorder="0" applyAlignment="0" applyProtection="0"/>
    <xf numFmtId="0" fontId="20" fillId="0" borderId="0"/>
    <xf numFmtId="9" fontId="2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0" fontId="114" fillId="0" borderId="34" applyNumberFormat="0" applyFont="0" applyFill="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2" fontId="114" fillId="0" borderId="0" applyFont="0" applyFill="0" applyBorder="0" applyAlignment="0" applyProtection="0"/>
    <xf numFmtId="0" fontId="114" fillId="0" borderId="0" applyFont="0" applyFill="0" applyBorder="0" applyAlignment="0" applyProtection="0"/>
    <xf numFmtId="184" fontId="114" fillId="0" borderId="0" applyFont="0" applyFill="0" applyBorder="0" applyAlignment="0" applyProtection="0"/>
    <xf numFmtId="3" fontId="114" fillId="0" borderId="0" applyFont="0" applyFill="0" applyBorder="0" applyAlignment="0" applyProtection="0"/>
    <xf numFmtId="0" fontId="22" fillId="0" borderId="0">
      <alignment vertical="top"/>
    </xf>
    <xf numFmtId="0" fontId="21" fillId="0" borderId="0"/>
    <xf numFmtId="165" fontId="1" fillId="0" borderId="0" applyFont="0" applyFill="0" applyBorder="0" applyAlignment="0" applyProtection="0"/>
    <xf numFmtId="0" fontId="21" fillId="0" borderId="0"/>
    <xf numFmtId="0" fontId="21" fillId="0" borderId="0"/>
    <xf numFmtId="0" fontId="21" fillId="0" borderId="0"/>
    <xf numFmtId="0" fontId="41" fillId="0" borderId="0"/>
    <xf numFmtId="166"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41"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41" fillId="0" borderId="0"/>
    <xf numFmtId="0" fontId="41" fillId="0" borderId="0"/>
    <xf numFmtId="0" fontId="20" fillId="0" borderId="0"/>
    <xf numFmtId="0" fontId="20" fillId="0" borderId="0"/>
    <xf numFmtId="0" fontId="41" fillId="0" borderId="0"/>
    <xf numFmtId="0" fontId="41" fillId="0" borderId="0"/>
    <xf numFmtId="166" fontId="41" fillId="0" borderId="0" applyFont="0" applyFill="0" applyBorder="0" applyAlignment="0" applyProtection="0"/>
    <xf numFmtId="0" fontId="41" fillId="0" borderId="0"/>
    <xf numFmtId="0" fontId="20" fillId="0" borderId="0"/>
    <xf numFmtId="0" fontId="20" fillId="0" borderId="0"/>
    <xf numFmtId="0" fontId="20" fillId="0" borderId="0"/>
    <xf numFmtId="0" fontId="20" fillId="0" borderId="0"/>
    <xf numFmtId="0" fontId="20" fillId="0" borderId="0"/>
    <xf numFmtId="0" fontId="88" fillId="0" borderId="0"/>
    <xf numFmtId="0" fontId="88"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 fontId="42" fillId="0" borderId="0" applyFont="0" applyFill="0" applyBorder="0" applyAlignment="0" applyProtection="0"/>
    <xf numFmtId="0" fontId="42" fillId="0" borderId="0"/>
    <xf numFmtId="166" fontId="38" fillId="0" borderId="0" applyFont="0" applyFill="0" applyBorder="0" applyAlignment="0" applyProtection="0"/>
    <xf numFmtId="0" fontId="21" fillId="0" borderId="0" applyBorder="0"/>
    <xf numFmtId="0" fontId="38" fillId="0" borderId="0"/>
    <xf numFmtId="174" fontId="38" fillId="0" borderId="0"/>
    <xf numFmtId="166" fontId="21" fillId="0" borderId="0" applyFont="0" applyFill="0" applyBorder="0" applyAlignment="0" applyProtection="0"/>
    <xf numFmtId="166" fontId="21" fillId="0" borderId="0" applyFont="0" applyFill="0" applyBorder="0" applyAlignment="0" applyProtection="0"/>
    <xf numFmtId="166" fontId="38"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5" fontId="21" fillId="0" borderId="0" applyFont="0" applyFill="0" applyBorder="0" applyAlignment="0" applyProtection="0"/>
    <xf numFmtId="0" fontId="37" fillId="0" borderId="0" applyNumberFormat="0" applyFill="0" applyBorder="0" applyAlignment="0" applyProtection="0">
      <alignment vertical="top"/>
      <protection locked="0"/>
    </xf>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166" fontId="1" fillId="0" borderId="0" applyFont="0" applyFill="0" applyBorder="0" applyAlignment="0" applyProtection="0"/>
    <xf numFmtId="9" fontId="21" fillId="0" borderId="0" applyFont="0" applyFill="0" applyBorder="0" applyAlignment="0" applyProtection="0"/>
    <xf numFmtId="0" fontId="21" fillId="0" borderId="0" applyNumberFormat="0" applyFill="0" applyBorder="0" applyAlignment="0" applyProtection="0"/>
    <xf numFmtId="166" fontId="1" fillId="0" borderId="0" applyFont="0" applyFill="0" applyBorder="0" applyAlignment="0" applyProtection="0"/>
    <xf numFmtId="0" fontId="21" fillId="0" borderId="0" applyFont="0" applyFill="0" applyBorder="0" applyAlignment="0" applyProtection="0"/>
    <xf numFmtId="166" fontId="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1" fillId="0" borderId="0"/>
    <xf numFmtId="0" fontId="38" fillId="7" borderId="0" applyNumberFormat="0" applyBorder="0" applyAlignment="0" applyProtection="0"/>
    <xf numFmtId="0" fontId="1" fillId="7" borderId="0" applyNumberFormat="0" applyBorder="0" applyAlignment="0" applyProtection="0"/>
    <xf numFmtId="0" fontId="83" fillId="39" borderId="0" applyNumberFormat="0" applyBorder="0" applyAlignment="0" applyProtection="0"/>
    <xf numFmtId="0" fontId="38" fillId="8" borderId="0" applyNumberFormat="0" applyBorder="0" applyAlignment="0" applyProtection="0"/>
    <xf numFmtId="0" fontId="1" fillId="8" borderId="0" applyNumberFormat="0" applyBorder="0" applyAlignment="0" applyProtection="0"/>
    <xf numFmtId="0" fontId="83" fillId="43" borderId="0" applyNumberFormat="0" applyBorder="0" applyAlignment="0" applyProtection="0"/>
    <xf numFmtId="0" fontId="38" fillId="9" borderId="0" applyNumberFormat="0" applyBorder="0" applyAlignment="0" applyProtection="0"/>
    <xf numFmtId="0" fontId="1" fillId="9" borderId="0" applyNumberFormat="0" applyBorder="0" applyAlignment="0" applyProtection="0"/>
    <xf numFmtId="0" fontId="83" fillId="47" borderId="0" applyNumberFormat="0" applyBorder="0" applyAlignment="0" applyProtection="0"/>
    <xf numFmtId="0" fontId="38" fillId="10" borderId="0" applyNumberFormat="0" applyBorder="0" applyAlignment="0" applyProtection="0"/>
    <xf numFmtId="0" fontId="1" fillId="10" borderId="0" applyNumberFormat="0" applyBorder="0" applyAlignment="0" applyProtection="0"/>
    <xf numFmtId="0" fontId="83" fillId="51" borderId="0" applyNumberFormat="0" applyBorder="0" applyAlignment="0" applyProtection="0"/>
    <xf numFmtId="0" fontId="38" fillId="11" borderId="0" applyNumberFormat="0" applyBorder="0" applyAlignment="0" applyProtection="0"/>
    <xf numFmtId="0" fontId="83" fillId="55" borderId="0" applyNumberFormat="0" applyBorder="0" applyAlignment="0" applyProtection="0"/>
    <xf numFmtId="0" fontId="38" fillId="12" borderId="0" applyNumberFormat="0" applyBorder="0" applyAlignment="0" applyProtection="0"/>
    <xf numFmtId="0" fontId="1" fillId="25" borderId="0" applyNumberFormat="0" applyBorder="0" applyAlignment="0" applyProtection="0"/>
    <xf numFmtId="0" fontId="83" fillId="59" borderId="0" applyNumberFormat="0" applyBorder="0" applyAlignment="0" applyProtection="0"/>
    <xf numFmtId="0" fontId="38" fillId="13" borderId="0" applyNumberFormat="0" applyBorder="0" applyAlignment="0" applyProtection="0"/>
    <xf numFmtId="0" fontId="1" fillId="13" borderId="0" applyNumberFormat="0" applyBorder="0" applyAlignment="0" applyProtection="0"/>
    <xf numFmtId="0" fontId="83" fillId="40" borderId="0" applyNumberFormat="0" applyBorder="0" applyAlignment="0" applyProtection="0"/>
    <xf numFmtId="0" fontId="38" fillId="14" borderId="0" applyNumberFormat="0" applyBorder="0" applyAlignment="0" applyProtection="0"/>
    <xf numFmtId="0" fontId="83" fillId="44" borderId="0" applyNumberFormat="0" applyBorder="0" applyAlignment="0" applyProtection="0"/>
    <xf numFmtId="0" fontId="38" fillId="15" borderId="0" applyNumberFormat="0" applyBorder="0" applyAlignment="0" applyProtection="0"/>
    <xf numFmtId="0" fontId="1" fillId="15" borderId="0" applyNumberFormat="0" applyBorder="0" applyAlignment="0" applyProtection="0"/>
    <xf numFmtId="0" fontId="83" fillId="48" borderId="0" applyNumberFormat="0" applyBorder="0" applyAlignment="0" applyProtection="0"/>
    <xf numFmtId="0" fontId="38" fillId="10" borderId="0" applyNumberFormat="0" applyBorder="0" applyAlignment="0" applyProtection="0"/>
    <xf numFmtId="0" fontId="1" fillId="10" borderId="0" applyNumberFormat="0" applyBorder="0" applyAlignment="0" applyProtection="0"/>
    <xf numFmtId="0" fontId="83" fillId="52" borderId="0" applyNumberFormat="0" applyBorder="0" applyAlignment="0" applyProtection="0"/>
    <xf numFmtId="0" fontId="38" fillId="13" borderId="0" applyNumberFormat="0" applyBorder="0" applyAlignment="0" applyProtection="0"/>
    <xf numFmtId="0" fontId="1" fillId="13" borderId="0" applyNumberFormat="0" applyBorder="0" applyAlignment="0" applyProtection="0"/>
    <xf numFmtId="0" fontId="83" fillId="56" borderId="0" applyNumberFormat="0" applyBorder="0" applyAlignment="0" applyProtection="0"/>
    <xf numFmtId="0" fontId="38" fillId="16" borderId="0" applyNumberFormat="0" applyBorder="0" applyAlignment="0" applyProtection="0"/>
    <xf numFmtId="0" fontId="1" fillId="16" borderId="0" applyNumberFormat="0" applyBorder="0" applyAlignment="0" applyProtection="0"/>
    <xf numFmtId="0" fontId="83" fillId="60" borderId="0" applyNumberFormat="0" applyBorder="0" applyAlignment="0" applyProtection="0"/>
    <xf numFmtId="0" fontId="49" fillId="17" borderId="0" applyNumberFormat="0" applyBorder="0" applyAlignment="0" applyProtection="0"/>
    <xf numFmtId="0" fontId="109" fillId="17" borderId="0" applyNumberFormat="0" applyBorder="0" applyAlignment="0" applyProtection="0"/>
    <xf numFmtId="0" fontId="123" fillId="41" borderId="0" applyNumberFormat="0" applyBorder="0" applyAlignment="0" applyProtection="0"/>
    <xf numFmtId="0" fontId="49" fillId="14" borderId="0" applyNumberFormat="0" applyBorder="0" applyAlignment="0" applyProtection="0"/>
    <xf numFmtId="0" fontId="109" fillId="14" borderId="0" applyNumberFormat="0" applyBorder="0" applyAlignment="0" applyProtection="0"/>
    <xf numFmtId="0" fontId="123" fillId="45" borderId="0" applyNumberFormat="0" applyBorder="0" applyAlignment="0" applyProtection="0"/>
    <xf numFmtId="0" fontId="49" fillId="15" borderId="0" applyNumberFormat="0" applyBorder="0" applyAlignment="0" applyProtection="0"/>
    <xf numFmtId="0" fontId="109" fillId="15" borderId="0" applyNumberFormat="0" applyBorder="0" applyAlignment="0" applyProtection="0"/>
    <xf numFmtId="0" fontId="123" fillId="49" borderId="0" applyNumberFormat="0" applyBorder="0" applyAlignment="0" applyProtection="0"/>
    <xf numFmtId="0" fontId="49" fillId="18" borderId="0" applyNumberFormat="0" applyBorder="0" applyAlignment="0" applyProtection="0"/>
    <xf numFmtId="0" fontId="109" fillId="18" borderId="0" applyNumberFormat="0" applyBorder="0" applyAlignment="0" applyProtection="0"/>
    <xf numFmtId="0" fontId="123" fillId="53" borderId="0" applyNumberFormat="0" applyBorder="0" applyAlignment="0" applyProtection="0"/>
    <xf numFmtId="0" fontId="49" fillId="19" borderId="0" applyNumberFormat="0" applyBorder="0" applyAlignment="0" applyProtection="0"/>
    <xf numFmtId="0" fontId="109" fillId="19" borderId="0" applyNumberFormat="0" applyBorder="0" applyAlignment="0" applyProtection="0"/>
    <xf numFmtId="0" fontId="123" fillId="57" borderId="0" applyNumberFormat="0" applyBorder="0" applyAlignment="0" applyProtection="0"/>
    <xf numFmtId="0" fontId="49" fillId="20" borderId="0" applyNumberFormat="0" applyBorder="0" applyAlignment="0" applyProtection="0"/>
    <xf numFmtId="0" fontId="109" fillId="20" borderId="0" applyNumberFormat="0" applyBorder="0" applyAlignment="0" applyProtection="0"/>
    <xf numFmtId="0" fontId="123" fillId="61" borderId="0" applyNumberFormat="0" applyBorder="0" applyAlignment="0" applyProtection="0"/>
    <xf numFmtId="0" fontId="49" fillId="21" borderId="0" applyNumberFormat="0" applyBorder="0" applyAlignment="0" applyProtection="0"/>
    <xf numFmtId="0" fontId="109" fillId="21" borderId="0" applyNumberFormat="0" applyBorder="0" applyAlignment="0" applyProtection="0"/>
    <xf numFmtId="0" fontId="123" fillId="38" borderId="0" applyNumberFormat="0" applyBorder="0" applyAlignment="0" applyProtection="0"/>
    <xf numFmtId="0" fontId="49" fillId="22" borderId="0" applyNumberFormat="0" applyBorder="0" applyAlignment="0" applyProtection="0"/>
    <xf numFmtId="0" fontId="109" fillId="22" borderId="0" applyNumberFormat="0" applyBorder="0" applyAlignment="0" applyProtection="0"/>
    <xf numFmtId="0" fontId="123" fillId="42" borderId="0" applyNumberFormat="0" applyBorder="0" applyAlignment="0" applyProtection="0"/>
    <xf numFmtId="0" fontId="49" fillId="23" borderId="0" applyNumberFormat="0" applyBorder="0" applyAlignment="0" applyProtection="0"/>
    <xf numFmtId="0" fontId="109" fillId="23" borderId="0" applyNumberFormat="0" applyBorder="0" applyAlignment="0" applyProtection="0"/>
    <xf numFmtId="0" fontId="123" fillId="46" borderId="0" applyNumberFormat="0" applyBorder="0" applyAlignment="0" applyProtection="0"/>
    <xf numFmtId="0" fontId="49" fillId="18" borderId="0" applyNumberFormat="0" applyBorder="0" applyAlignment="0" applyProtection="0"/>
    <xf numFmtId="0" fontId="109" fillId="18" borderId="0" applyNumberFormat="0" applyBorder="0" applyAlignment="0" applyProtection="0"/>
    <xf numFmtId="0" fontId="123" fillId="50" borderId="0" applyNumberFormat="0" applyBorder="0" applyAlignment="0" applyProtection="0"/>
    <xf numFmtId="0" fontId="49" fillId="19" borderId="0" applyNumberFormat="0" applyBorder="0" applyAlignment="0" applyProtection="0"/>
    <xf numFmtId="0" fontId="123" fillId="54" borderId="0" applyNumberFormat="0" applyBorder="0" applyAlignment="0" applyProtection="0"/>
    <xf numFmtId="0" fontId="49" fillId="24" borderId="0" applyNumberFormat="0" applyBorder="0" applyAlignment="0" applyProtection="0"/>
    <xf numFmtId="0" fontId="109" fillId="24" borderId="0" applyNumberFormat="0" applyBorder="0" applyAlignment="0" applyProtection="0"/>
    <xf numFmtId="0" fontId="123" fillId="58" borderId="0" applyNumberFormat="0" applyBorder="0" applyAlignment="0" applyProtection="0"/>
    <xf numFmtId="0" fontId="50" fillId="8" borderId="0" applyNumberFormat="0" applyBorder="0" applyAlignment="0" applyProtection="0"/>
    <xf numFmtId="0" fontId="101" fillId="8" borderId="0" applyNumberFormat="0" applyBorder="0" applyAlignment="0" applyProtection="0"/>
    <xf numFmtId="0" fontId="124" fillId="33" borderId="0" applyNumberFormat="0" applyBorder="0" applyAlignment="0" applyProtection="0"/>
    <xf numFmtId="0" fontId="51" fillId="25" borderId="7" applyNumberFormat="0" applyAlignment="0" applyProtection="0"/>
    <xf numFmtId="0" fontId="125" fillId="25" borderId="2" applyNumberFormat="0" applyAlignment="0" applyProtection="0"/>
    <xf numFmtId="0" fontId="126" fillId="35" borderId="2" applyNumberFormat="0" applyAlignment="0" applyProtection="0"/>
    <xf numFmtId="186" fontId="88" fillId="0" borderId="0" applyFill="0" applyBorder="0"/>
    <xf numFmtId="186" fontId="88" fillId="0" borderId="0" applyFill="0" applyBorder="0"/>
    <xf numFmtId="187" fontId="88" fillId="0" borderId="0" applyFill="0" applyBorder="0"/>
    <xf numFmtId="187" fontId="88" fillId="0" borderId="0" applyFill="0" applyBorder="0"/>
    <xf numFmtId="188" fontId="88" fillId="0" borderId="0" applyFill="0" applyBorder="0"/>
    <xf numFmtId="188" fontId="88" fillId="0" borderId="0" applyFill="0" applyBorder="0"/>
    <xf numFmtId="189" fontId="88" fillId="0" borderId="0" applyFill="0" applyBorder="0"/>
    <xf numFmtId="189" fontId="88" fillId="0" borderId="0" applyFill="0" applyBorder="0"/>
    <xf numFmtId="190" fontId="88" fillId="0" borderId="0" applyFill="0" applyBorder="0"/>
    <xf numFmtId="190" fontId="88" fillId="0" borderId="0" applyFill="0" applyBorder="0"/>
    <xf numFmtId="201" fontId="88" fillId="0" borderId="0" applyFill="0" applyBorder="0"/>
    <xf numFmtId="201" fontId="88" fillId="0" borderId="0" applyFill="0" applyBorder="0"/>
    <xf numFmtId="202" fontId="88" fillId="0" borderId="0" applyFill="0" applyBorder="0"/>
    <xf numFmtId="202" fontId="88" fillId="0" borderId="0" applyFill="0" applyBorder="0"/>
    <xf numFmtId="203" fontId="88" fillId="0" borderId="0" applyFill="0" applyBorder="0"/>
    <xf numFmtId="203" fontId="88" fillId="0" borderId="0" applyFill="0" applyBorder="0"/>
    <xf numFmtId="209" fontId="88" fillId="0" borderId="0" applyFill="0" applyBorder="0"/>
    <xf numFmtId="209" fontId="88" fillId="0" borderId="0" applyFill="0" applyBorder="0"/>
    <xf numFmtId="204" fontId="88" fillId="0" borderId="0" applyFill="0" applyBorder="0"/>
    <xf numFmtId="204" fontId="88" fillId="0" borderId="0" applyFill="0" applyBorder="0"/>
    <xf numFmtId="204" fontId="88" fillId="0" borderId="0" applyFill="0" applyBorder="0">
      <alignment horizontal="center"/>
    </xf>
    <xf numFmtId="204" fontId="88" fillId="0" borderId="0" applyFill="0" applyBorder="0">
      <alignment horizontal="center"/>
    </xf>
    <xf numFmtId="191" fontId="88" fillId="0" borderId="0" applyFill="0" applyBorder="0"/>
    <xf numFmtId="191" fontId="88" fillId="0" borderId="0" applyFill="0" applyBorder="0"/>
    <xf numFmtId="0" fontId="52" fillId="26" borderId="8" applyNumberFormat="0" applyAlignment="0" applyProtection="0"/>
    <xf numFmtId="0" fontId="127" fillId="36" borderId="27" applyNumberFormat="0" applyAlignment="0" applyProtection="0"/>
    <xf numFmtId="205" fontId="88" fillId="0" borderId="0" applyFill="0" applyBorder="0"/>
    <xf numFmtId="205" fontId="88" fillId="0" borderId="0" applyFill="0" applyBorder="0"/>
    <xf numFmtId="206" fontId="88" fillId="0" borderId="0" applyFill="0" applyBorder="0"/>
    <xf numFmtId="206" fontId="88" fillId="0" borderId="0" applyFill="0" applyBorder="0"/>
    <xf numFmtId="166" fontId="21" fillId="0" borderId="0" applyFont="0" applyFill="0" applyBorder="0" applyAlignment="0" applyProtection="0"/>
    <xf numFmtId="166" fontId="21"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21" fillId="0" borderId="0" applyFont="0" applyFill="0" applyBorder="0" applyAlignment="0" applyProtection="0"/>
    <xf numFmtId="166" fontId="38" fillId="0" borderId="0" applyFont="0" applyFill="0" applyBorder="0" applyAlignment="0" applyProtection="0"/>
    <xf numFmtId="166" fontId="120" fillId="0" borderId="0" applyFont="0" applyFill="0" applyBorder="0" applyAlignment="0" applyProtection="0"/>
    <xf numFmtId="192" fontId="88" fillId="0" borderId="0" applyFill="0" applyBorder="0"/>
    <xf numFmtId="192" fontId="88" fillId="0" borderId="0" applyFill="0" applyBorder="0"/>
    <xf numFmtId="193" fontId="120" fillId="0" borderId="0" applyFill="0" applyBorder="0"/>
    <xf numFmtId="194" fontId="88" fillId="0" borderId="0" applyFill="0" applyBorder="0"/>
    <xf numFmtId="194" fontId="88" fillId="0" borderId="0" applyFill="0" applyBorder="0"/>
    <xf numFmtId="195" fontId="88" fillId="0" borderId="0" applyFill="0" applyBorder="0"/>
    <xf numFmtId="195" fontId="88" fillId="0" borderId="0" applyFill="0" applyBorder="0"/>
    <xf numFmtId="196" fontId="88" fillId="0" borderId="0" applyFill="0" applyBorder="0"/>
    <xf numFmtId="196" fontId="88" fillId="0" borderId="0" applyFill="0" applyBorder="0"/>
    <xf numFmtId="197" fontId="88" fillId="0" borderId="0" applyFill="0" applyBorder="0"/>
    <xf numFmtId="197" fontId="88" fillId="0" borderId="0" applyFill="0" applyBorder="0"/>
    <xf numFmtId="198" fontId="88" fillId="0" borderId="0" applyFill="0" applyBorder="0"/>
    <xf numFmtId="198" fontId="88" fillId="0" borderId="0" applyFill="0" applyBorder="0"/>
    <xf numFmtId="199" fontId="88" fillId="0" borderId="0" applyFill="0" applyBorder="0"/>
    <xf numFmtId="199" fontId="88" fillId="0" borderId="0" applyFill="0" applyBorder="0"/>
    <xf numFmtId="200" fontId="88" fillId="0" borderId="0" applyFill="0" applyBorder="0"/>
    <xf numFmtId="200" fontId="88" fillId="0" borderId="0" applyFill="0" applyBorder="0"/>
    <xf numFmtId="165" fontId="21" fillId="0" borderId="0" applyFont="0" applyFill="0" applyBorder="0" applyAlignment="0" applyProtection="0"/>
    <xf numFmtId="165" fontId="21" fillId="0" borderId="0" applyFont="0" applyFill="0" applyBorder="0" applyAlignment="0" applyProtection="0"/>
    <xf numFmtId="0" fontId="53" fillId="0" borderId="0" applyNumberFormat="0" applyFill="0" applyBorder="0" applyAlignment="0" applyProtection="0"/>
    <xf numFmtId="0" fontId="128" fillId="0" borderId="0" applyNumberFormat="0" applyFill="0" applyBorder="0" applyAlignment="0" applyProtection="0"/>
    <xf numFmtId="0" fontId="54" fillId="9" borderId="0" applyNumberFormat="0" applyBorder="0" applyAlignment="0" applyProtection="0"/>
    <xf numFmtId="0" fontId="100" fillId="9" borderId="0" applyNumberFormat="0" applyBorder="0" applyAlignment="0" applyProtection="0"/>
    <xf numFmtId="0" fontId="129" fillId="32" borderId="0" applyNumberFormat="0" applyBorder="0" applyAlignment="0" applyProtection="0"/>
    <xf numFmtId="0" fontId="117" fillId="0" borderId="0" applyFill="0" applyBorder="0"/>
    <xf numFmtId="0" fontId="117" fillId="0" borderId="0" applyFill="0" applyBorder="0"/>
    <xf numFmtId="0" fontId="118" fillId="0" borderId="0" applyFill="0" applyBorder="0"/>
    <xf numFmtId="0" fontId="118" fillId="0" borderId="0" applyFill="0" applyBorder="0"/>
    <xf numFmtId="0" fontId="113" fillId="0" borderId="0" applyFill="0" applyBorder="0"/>
    <xf numFmtId="0" fontId="113" fillId="0" borderId="0" applyFill="0" applyBorder="0"/>
    <xf numFmtId="0" fontId="119" fillId="0" borderId="0" applyFill="0" applyBorder="0"/>
    <xf numFmtId="0" fontId="119" fillId="0" borderId="0" applyFill="0" applyBorder="0"/>
    <xf numFmtId="0" fontId="55" fillId="0" borderId="23" applyNumberFormat="0" applyFill="0" applyAlignment="0" applyProtection="0"/>
    <xf numFmtId="0" fontId="130" fillId="0" borderId="30" applyNumberFormat="0" applyFill="0" applyAlignment="0" applyProtection="0"/>
    <xf numFmtId="0" fontId="56" fillId="0" borderId="24" applyNumberFormat="0" applyFill="0" applyAlignment="0" applyProtection="0"/>
    <xf numFmtId="0" fontId="131" fillId="0" borderId="31" applyNumberFormat="0" applyFill="0" applyAlignment="0" applyProtection="0"/>
    <xf numFmtId="0" fontId="57" fillId="0" borderId="9" applyNumberFormat="0" applyFill="0" applyAlignment="0" applyProtection="0"/>
    <xf numFmtId="0" fontId="132" fillId="0" borderId="32" applyNumberFormat="0" applyFill="0" applyAlignment="0" applyProtection="0"/>
    <xf numFmtId="0" fontId="57" fillId="0" borderId="0" applyNumberFormat="0" applyFill="0" applyBorder="0" applyAlignment="0" applyProtection="0"/>
    <xf numFmtId="0" fontId="132" fillId="0" borderId="0" applyNumberFormat="0" applyFill="0" applyBorder="0" applyAlignment="0" applyProtection="0"/>
    <xf numFmtId="0" fontId="121" fillId="0" borderId="0" applyFill="0" applyBorder="0">
      <alignment horizontal="left"/>
      <protection hidden="1"/>
    </xf>
    <xf numFmtId="0" fontId="121" fillId="0" borderId="0" applyFill="0" applyBorder="0">
      <alignment horizontal="left" indent="1"/>
      <protection hidden="1"/>
    </xf>
    <xf numFmtId="0" fontId="121" fillId="0" borderId="0" applyFill="0" applyBorder="0">
      <alignment horizontal="left" indent="2"/>
      <protection hidden="1"/>
    </xf>
    <xf numFmtId="0" fontId="121" fillId="0" borderId="0" applyFill="0" applyBorder="0">
      <alignment horizontal="left" indent="3"/>
      <protection hidden="1"/>
    </xf>
    <xf numFmtId="174" fontId="37" fillId="0" borderId="0" applyNumberFormat="0" applyFill="0" applyBorder="0" applyAlignment="0" applyProtection="0">
      <alignment vertical="top"/>
      <protection locked="0"/>
    </xf>
    <xf numFmtId="185" fontId="121" fillId="0" borderId="0" applyNumberFormat="0" applyFill="0" applyBorder="0" applyAlignment="0" applyProtection="0">
      <protection locked="0"/>
    </xf>
    <xf numFmtId="186" fontId="96" fillId="0" borderId="0" applyFill="0" applyBorder="0">
      <protection locked="0"/>
    </xf>
    <xf numFmtId="187" fontId="96" fillId="0" borderId="0" applyFill="0" applyBorder="0">
      <protection locked="0"/>
    </xf>
    <xf numFmtId="188" fontId="96" fillId="0" borderId="0" applyFill="0" applyBorder="0">
      <protection locked="0"/>
    </xf>
    <xf numFmtId="189" fontId="96" fillId="0" borderId="0" applyFill="0" applyBorder="0">
      <protection locked="0"/>
    </xf>
    <xf numFmtId="190" fontId="96" fillId="0" borderId="0" applyFill="0" applyBorder="0">
      <protection locked="0"/>
    </xf>
    <xf numFmtId="207" fontId="96" fillId="0" borderId="0" applyFill="0" applyBorder="0">
      <protection locked="0"/>
    </xf>
    <xf numFmtId="208" fontId="96" fillId="0" borderId="0" applyFill="0" applyBorder="0">
      <protection locked="0"/>
    </xf>
    <xf numFmtId="203" fontId="96" fillId="0" borderId="0" applyFill="0" applyBorder="0">
      <protection locked="0"/>
    </xf>
    <xf numFmtId="209" fontId="96" fillId="0" borderId="0" applyFill="0" applyBorder="0">
      <protection locked="0"/>
    </xf>
    <xf numFmtId="204" fontId="96" fillId="0" borderId="0" applyFill="0" applyBorder="0">
      <protection locked="0"/>
    </xf>
    <xf numFmtId="191" fontId="96" fillId="0" borderId="0" applyFill="0" applyBorder="0">
      <protection locked="0"/>
    </xf>
    <xf numFmtId="191" fontId="122" fillId="0" borderId="0" applyFill="0" applyBorder="0">
      <protection locked="0"/>
    </xf>
    <xf numFmtId="191" fontId="96" fillId="0" borderId="0" applyFill="0" applyBorder="0">
      <protection locked="0"/>
    </xf>
    <xf numFmtId="49" fontId="96" fillId="0" borderId="0" applyFill="0" applyBorder="0">
      <alignment vertical="top"/>
      <protection locked="0"/>
    </xf>
    <xf numFmtId="49" fontId="122" fillId="0" borderId="0" applyFill="0" applyBorder="0">
      <alignment vertical="top"/>
      <protection locked="0"/>
    </xf>
    <xf numFmtId="0" fontId="96" fillId="0" borderId="0" applyFill="0" applyBorder="0">
      <alignment vertical="top" wrapText="1"/>
      <protection locked="0"/>
    </xf>
    <xf numFmtId="205" fontId="96" fillId="0" borderId="0" applyFill="0" applyBorder="0">
      <protection locked="0"/>
    </xf>
    <xf numFmtId="206" fontId="96" fillId="0" borderId="0" applyFill="0" applyBorder="0">
      <protection locked="0"/>
    </xf>
    <xf numFmtId="0" fontId="58" fillId="12" borderId="7" applyNumberFormat="0" applyAlignment="0" applyProtection="0"/>
    <xf numFmtId="0" fontId="2" fillId="25" borderId="2" applyNumberFormat="0" applyAlignment="0" applyProtection="0"/>
    <xf numFmtId="0" fontId="133" fillId="62" borderId="2" applyNumberFormat="0" applyAlignment="0" applyProtection="0"/>
    <xf numFmtId="192" fontId="96" fillId="0" borderId="0" applyFill="0" applyBorder="0">
      <protection locked="0"/>
    </xf>
    <xf numFmtId="193" fontId="96" fillId="0" borderId="0" applyFill="0" applyBorder="0">
      <protection locked="0"/>
    </xf>
    <xf numFmtId="194" fontId="96" fillId="0" borderId="0" applyFill="0" applyBorder="0">
      <protection locked="0"/>
    </xf>
    <xf numFmtId="195" fontId="96" fillId="0" borderId="0" applyFill="0" applyBorder="0">
      <protection locked="0"/>
    </xf>
    <xf numFmtId="196" fontId="96" fillId="0" borderId="0" applyFill="0" applyBorder="0">
      <protection locked="0"/>
    </xf>
    <xf numFmtId="197" fontId="96" fillId="0" borderId="0" applyFill="0" applyBorder="0">
      <protection locked="0"/>
    </xf>
    <xf numFmtId="198" fontId="96" fillId="0" borderId="0" applyFill="0" applyBorder="0">
      <protection locked="0"/>
    </xf>
    <xf numFmtId="199" fontId="96" fillId="0" borderId="0" applyFill="0" applyBorder="0">
      <protection locked="0"/>
    </xf>
    <xf numFmtId="200" fontId="96" fillId="0" borderId="0" applyFill="0" applyBorder="0">
      <protection locked="0"/>
    </xf>
    <xf numFmtId="49" fontId="96" fillId="0" borderId="0" applyFill="0" applyBorder="0">
      <alignment horizontal="left" vertical="top"/>
      <protection locked="0"/>
    </xf>
    <xf numFmtId="49" fontId="96" fillId="0" borderId="0" applyFill="0" applyBorder="0">
      <alignment horizontal="left" vertical="top" indent="1"/>
      <protection locked="0"/>
    </xf>
    <xf numFmtId="49" fontId="96" fillId="0" borderId="0" applyFill="0" applyBorder="0">
      <alignment horizontal="left" vertical="top" indent="2"/>
      <protection locked="0"/>
    </xf>
    <xf numFmtId="49" fontId="96" fillId="0" borderId="0" applyFill="0" applyBorder="0">
      <alignment horizontal="left" vertical="top" indent="3"/>
      <protection locked="0"/>
    </xf>
    <xf numFmtId="49" fontId="96" fillId="0" borderId="0" applyFill="0" applyBorder="0">
      <alignment horizontal="left" vertical="top" indent="4"/>
      <protection locked="0"/>
    </xf>
    <xf numFmtId="49" fontId="96" fillId="0" borderId="0" applyFill="0" applyBorder="0">
      <alignment horizontal="center"/>
      <protection locked="0"/>
    </xf>
    <xf numFmtId="49" fontId="96" fillId="0" borderId="0" applyFill="0" applyBorder="0">
      <alignment horizontal="center" wrapText="1"/>
      <protection locked="0"/>
    </xf>
    <xf numFmtId="0" fontId="59" fillId="0" borderId="10" applyNumberFormat="0" applyFill="0" applyAlignment="0" applyProtection="0"/>
    <xf numFmtId="0" fontId="134" fillId="0" borderId="26" applyNumberFormat="0" applyFill="0" applyAlignment="0" applyProtection="0"/>
    <xf numFmtId="49" fontId="88" fillId="0" borderId="0" applyFill="0" applyBorder="0">
      <alignment vertical="top"/>
    </xf>
    <xf numFmtId="49" fontId="88" fillId="0" borderId="0" applyFill="0" applyBorder="0">
      <alignment vertical="top"/>
    </xf>
    <xf numFmtId="0" fontId="88" fillId="0" borderId="0" applyFill="0" applyBorder="0">
      <alignment vertical="top" wrapText="1"/>
    </xf>
    <xf numFmtId="0" fontId="88" fillId="0" borderId="0" applyFill="0" applyBorder="0">
      <alignment vertical="top" wrapText="1"/>
    </xf>
    <xf numFmtId="0" fontId="60" fillId="27" borderId="0" applyNumberFormat="0" applyBorder="0" applyAlignment="0" applyProtection="0"/>
    <xf numFmtId="0" fontId="135" fillId="34" borderId="0" applyNumberFormat="0" applyBorder="0" applyAlignment="0" applyProtection="0"/>
    <xf numFmtId="0" fontId="136" fillId="34" borderId="0" applyNumberFormat="0" applyBorder="0" applyAlignment="0" applyProtection="0"/>
    <xf numFmtId="0" fontId="21" fillId="0" borderId="0" applyBorder="0"/>
    <xf numFmtId="0" fontId="21" fillId="0" borderId="0" applyBorder="0"/>
    <xf numFmtId="0" fontId="21" fillId="0" borderId="0" applyBorder="0"/>
    <xf numFmtId="0" fontId="21" fillId="0" borderId="0" applyBorder="0"/>
    <xf numFmtId="0" fontId="21" fillId="0" borderId="0" applyBorder="0"/>
    <xf numFmtId="174" fontId="1" fillId="0" borderId="0"/>
    <xf numFmtId="0" fontId="83" fillId="0" borderId="0"/>
    <xf numFmtId="0" fontId="21" fillId="0" borderId="0"/>
    <xf numFmtId="174" fontId="1" fillId="0" borderId="0"/>
    <xf numFmtId="174" fontId="1" fillId="0" borderId="0"/>
    <xf numFmtId="0" fontId="1" fillId="0" borderId="0"/>
    <xf numFmtId="0" fontId="21" fillId="0" borderId="0"/>
    <xf numFmtId="0" fontId="1" fillId="0" borderId="0"/>
    <xf numFmtId="174" fontId="1" fillId="0" borderId="0"/>
    <xf numFmtId="0" fontId="21" fillId="0" borderId="0"/>
    <xf numFmtId="174" fontId="1" fillId="0" borderId="0"/>
    <xf numFmtId="174" fontId="1" fillId="0" borderId="0"/>
    <xf numFmtId="0" fontId="21" fillId="0" borderId="0"/>
    <xf numFmtId="0" fontId="21" fillId="0" borderId="0" applyBorder="0"/>
    <xf numFmtId="0" fontId="1" fillId="0" borderId="0"/>
    <xf numFmtId="0" fontId="21" fillId="0" borderId="0" applyBorder="0"/>
    <xf numFmtId="0" fontId="21" fillId="28" borderId="11" applyNumberFormat="0" applyFont="0" applyAlignment="0" applyProtection="0"/>
    <xf numFmtId="0" fontId="38" fillId="37" borderId="28" applyNumberFormat="0" applyFont="0" applyAlignment="0" applyProtection="0"/>
    <xf numFmtId="0" fontId="120" fillId="37" borderId="28" applyNumberFormat="0" applyFont="0" applyAlignment="0" applyProtection="0"/>
    <xf numFmtId="0" fontId="61" fillId="25" borderId="12" applyNumberFormat="0" applyAlignment="0" applyProtection="0"/>
    <xf numFmtId="0" fontId="103" fillId="25" borderId="25" applyNumberFormat="0" applyAlignment="0" applyProtection="0"/>
    <xf numFmtId="0" fontId="137" fillId="35" borderId="25" applyNumberFormat="0" applyAlignment="0" applyProtection="0"/>
    <xf numFmtId="9" fontId="21" fillId="0" borderId="0" applyFont="0" applyFill="0" applyBorder="0" applyAlignment="0" applyProtection="0"/>
    <xf numFmtId="9" fontId="21"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120" fillId="0" borderId="0" applyFont="0" applyFill="0" applyBorder="0" applyAlignment="0" applyProtection="0"/>
    <xf numFmtId="0" fontId="119" fillId="0" borderId="0" applyFill="0" applyBorder="0">
      <alignment vertical="top"/>
    </xf>
    <xf numFmtId="0" fontId="119" fillId="0" borderId="0" applyFill="0" applyBorder="0">
      <alignment vertical="top"/>
    </xf>
    <xf numFmtId="0" fontId="119" fillId="0" borderId="0" applyFill="0" applyBorder="0">
      <alignment horizontal="left" vertical="top" indent="1"/>
    </xf>
    <xf numFmtId="0" fontId="119" fillId="0" borderId="0" applyFill="0" applyBorder="0">
      <alignment horizontal="left" vertical="top" indent="1"/>
    </xf>
    <xf numFmtId="0" fontId="119" fillId="0" borderId="0" applyFill="0" applyBorder="0">
      <alignment horizontal="left" vertical="top" indent="2"/>
    </xf>
    <xf numFmtId="0" fontId="119" fillId="0" borderId="0" applyFill="0" applyBorder="0">
      <alignment horizontal="left" vertical="top" indent="2"/>
    </xf>
    <xf numFmtId="0" fontId="119" fillId="0" borderId="0" applyFill="0" applyBorder="0">
      <alignment horizontal="left" vertical="top" indent="3"/>
    </xf>
    <xf numFmtId="0" fontId="119" fillId="0" borderId="0" applyFill="0" applyBorder="0">
      <alignment horizontal="left" vertical="top" indent="3"/>
    </xf>
    <xf numFmtId="0" fontId="88" fillId="0" borderId="0" applyFill="0" applyBorder="0">
      <alignment vertical="top"/>
    </xf>
    <xf numFmtId="0" fontId="88" fillId="0" borderId="0" applyFill="0" applyBorder="0">
      <alignment vertical="top"/>
    </xf>
    <xf numFmtId="0" fontId="88" fillId="0" borderId="0" applyFill="0" applyBorder="0">
      <alignment horizontal="left" vertical="top" indent="1"/>
    </xf>
    <xf numFmtId="0" fontId="88" fillId="0" borderId="0" applyFill="0" applyBorder="0">
      <alignment horizontal="left" vertical="top" indent="1"/>
    </xf>
    <xf numFmtId="0" fontId="88" fillId="0" borderId="0" applyFill="0" applyBorder="0">
      <alignment horizontal="left" vertical="top" indent="2"/>
    </xf>
    <xf numFmtId="0" fontId="88" fillId="0" borderId="0" applyFill="0" applyBorder="0">
      <alignment horizontal="left" vertical="top" indent="2"/>
    </xf>
    <xf numFmtId="0" fontId="88" fillId="0" borderId="0" applyFill="0" applyBorder="0">
      <alignment horizontal="left" vertical="top" indent="3"/>
    </xf>
    <xf numFmtId="0" fontId="88" fillId="0" borderId="0" applyFill="0" applyBorder="0">
      <alignment horizontal="left" vertical="top" indent="3"/>
    </xf>
    <xf numFmtId="0" fontId="88" fillId="0" borderId="0" applyFill="0" applyBorder="0">
      <alignment horizontal="left" vertical="top" indent="4"/>
    </xf>
    <xf numFmtId="0" fontId="88" fillId="0" borderId="0" applyFill="0" applyBorder="0">
      <alignment horizontal="left" vertical="top" indent="4"/>
    </xf>
    <xf numFmtId="0" fontId="34" fillId="0" borderId="0" applyNumberFormat="0" applyFill="0" applyBorder="0" applyAlignment="0" applyProtection="0"/>
    <xf numFmtId="0" fontId="110" fillId="0" borderId="0" applyNumberFormat="0" applyFill="0" applyBorder="0" applyAlignment="0" applyProtection="0"/>
    <xf numFmtId="0" fontId="39" fillId="0" borderId="13" applyNumberFormat="0" applyFill="0" applyAlignment="0" applyProtection="0"/>
    <xf numFmtId="0" fontId="3" fillId="0" borderId="13" applyNumberFormat="0" applyFill="0" applyAlignment="0" applyProtection="0"/>
    <xf numFmtId="0" fontId="138" fillId="0" borderId="29" applyNumberFormat="0" applyFill="0" applyAlignment="0" applyProtection="0"/>
    <xf numFmtId="0" fontId="88" fillId="0" borderId="0" applyFill="0" applyBorder="0">
      <alignment horizontal="center"/>
    </xf>
    <xf numFmtId="0" fontId="88" fillId="0" borderId="0" applyFill="0" applyBorder="0">
      <alignment horizontal="center"/>
    </xf>
    <xf numFmtId="0" fontId="88" fillId="0" borderId="0" applyFill="0" applyBorder="0">
      <alignment horizontal="center" wrapText="1"/>
    </xf>
    <xf numFmtId="0" fontId="88" fillId="0" borderId="0" applyFill="0" applyBorder="0">
      <alignment horizontal="center" wrapText="1"/>
    </xf>
    <xf numFmtId="0" fontId="62" fillId="0" borderId="0" applyNumberFormat="0" applyFill="0" applyBorder="0" applyAlignment="0" applyProtection="0"/>
    <xf numFmtId="0" fontId="139" fillId="0" borderId="0" applyNumberForma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9"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0" fontId="48" fillId="0" borderId="0" applyNumberFormat="0" applyFill="0" applyBorder="0" applyAlignment="0" applyProtection="0">
      <alignment vertical="top"/>
      <protection locked="0"/>
    </xf>
    <xf numFmtId="166" fontId="21" fillId="0" borderId="0" applyFont="0" applyFill="0" applyBorder="0" applyAlignment="0" applyProtection="0"/>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166" fontId="21" fillId="0" borderId="0" applyFont="0" applyFill="0" applyBorder="0" applyAlignment="0" applyProtection="0"/>
    <xf numFmtId="9" fontId="21" fillId="0" borderId="0" applyFont="0" applyFill="0" applyBorder="0" applyAlignment="0" applyProtection="0"/>
    <xf numFmtId="0" fontId="21" fillId="0" borderId="0"/>
    <xf numFmtId="0" fontId="22" fillId="0" borderId="0">
      <alignment vertical="top"/>
    </xf>
    <xf numFmtId="0" fontId="115" fillId="0" borderId="0" applyNumberFormat="0" applyFill="0" applyBorder="0" applyAlignment="0" applyProtection="0"/>
    <xf numFmtId="0" fontId="116" fillId="0" borderId="0" applyNumberFormat="0" applyFill="0" applyBorder="0" applyAlignment="0" applyProtection="0"/>
    <xf numFmtId="0" fontId="114" fillId="0" borderId="34" applyNumberFormat="0" applyFont="0" applyFill="0" applyAlignment="0" applyProtection="0"/>
    <xf numFmtId="0" fontId="64" fillId="0" borderId="0"/>
    <xf numFmtId="0" fontId="21" fillId="28" borderId="11" applyNumberFormat="0" applyFont="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3" fillId="17"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4" borderId="0" applyNumberFormat="0" applyBorder="0" applyAlignment="0" applyProtection="0"/>
    <xf numFmtId="0" fontId="24" fillId="8" borderId="0" applyNumberFormat="0" applyBorder="0" applyAlignment="0" applyProtection="0"/>
    <xf numFmtId="0" fontId="25" fillId="25" borderId="7" applyNumberFormat="0" applyAlignment="0" applyProtection="0"/>
    <xf numFmtId="0" fontId="26" fillId="26" borderId="8" applyNumberFormat="0" applyAlignment="0" applyProtection="0"/>
    <xf numFmtId="166" fontId="20" fillId="0" borderId="0" applyFont="0" applyFill="0" applyBorder="0" applyAlignment="0" applyProtection="0"/>
    <xf numFmtId="0" fontId="27" fillId="0" borderId="0" applyNumberFormat="0" applyFill="0" applyBorder="0" applyAlignment="0" applyProtection="0"/>
    <xf numFmtId="0" fontId="28" fillId="9" borderId="0" applyNumberFormat="0" applyBorder="0" applyAlignment="0" applyProtection="0"/>
    <xf numFmtId="0" fontId="84" fillId="0" borderId="23" applyNumberFormat="0" applyFill="0" applyAlignment="0" applyProtection="0"/>
    <xf numFmtId="0" fontId="85" fillId="0" borderId="24" applyNumberFormat="0" applyFill="0" applyAlignment="0" applyProtection="0"/>
    <xf numFmtId="0" fontId="29" fillId="0" borderId="9" applyNumberFormat="0" applyFill="0" applyAlignment="0" applyProtection="0"/>
    <xf numFmtId="0" fontId="29" fillId="0" borderId="0" applyNumberFormat="0" applyFill="0" applyBorder="0" applyAlignment="0" applyProtection="0"/>
    <xf numFmtId="0" fontId="140" fillId="0" borderId="0" applyNumberFormat="0" applyFill="0" applyBorder="0" applyAlignment="0" applyProtection="0">
      <alignment vertical="top"/>
      <protection locked="0"/>
    </xf>
    <xf numFmtId="0" fontId="86" fillId="12" borderId="7" applyNumberFormat="0" applyAlignment="0" applyProtection="0"/>
    <xf numFmtId="0" fontId="30" fillId="0" borderId="10" applyNumberFormat="0" applyFill="0" applyAlignment="0" applyProtection="0"/>
    <xf numFmtId="0" fontId="31" fillId="27" borderId="0" applyNumberFormat="0" applyBorder="0" applyAlignment="0" applyProtection="0"/>
    <xf numFmtId="0" fontId="20" fillId="0" borderId="0"/>
    <xf numFmtId="0" fontId="3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28" borderId="11" applyNumberFormat="0" applyFont="0" applyAlignment="0" applyProtection="0"/>
    <xf numFmtId="0" fontId="33" fillId="25" borderId="12" applyNumberFormat="0" applyAlignment="0" applyProtection="0"/>
    <xf numFmtId="0" fontId="35" fillId="0" borderId="13" applyNumberFormat="0" applyFill="0" applyAlignment="0" applyProtection="0"/>
    <xf numFmtId="0" fontId="36" fillId="0" borderId="0" applyNumberFormat="0" applyFill="0" applyBorder="0" applyAlignment="0" applyProtection="0"/>
    <xf numFmtId="0" fontId="141" fillId="0" borderId="0"/>
    <xf numFmtId="218" fontId="142" fillId="0" borderId="0" applyFont="0" applyFill="0" applyBorder="0" applyAlignment="0" applyProtection="0">
      <alignment horizontal="left"/>
      <protection locked="0"/>
    </xf>
    <xf numFmtId="219" fontId="142" fillId="0" borderId="0" applyFont="0" applyFill="0" applyBorder="0" applyAlignment="0" applyProtection="0">
      <protection locked="0"/>
    </xf>
    <xf numFmtId="220" fontId="142" fillId="0" borderId="0" applyFont="0" applyFill="0" applyBorder="0" applyAlignment="0" applyProtection="0">
      <protection locked="0"/>
    </xf>
    <xf numFmtId="221" fontId="142" fillId="0" borderId="0" applyFont="0" applyFill="0" applyBorder="0" applyAlignment="0" applyProtection="0"/>
    <xf numFmtId="0" fontId="141" fillId="30" borderId="35">
      <alignment vertical="top" wrapText="1"/>
      <protection locked="0"/>
    </xf>
    <xf numFmtId="0" fontId="143" fillId="30" borderId="35" applyNumberFormat="0">
      <protection locked="0"/>
    </xf>
    <xf numFmtId="0" fontId="141" fillId="31" borderId="0"/>
    <xf numFmtId="213" fontId="142" fillId="0" borderId="0" applyFont="0" applyFill="0" applyBorder="0" applyProtection="0">
      <protection locked="0"/>
    </xf>
    <xf numFmtId="214" fontId="142" fillId="0" borderId="0" applyFont="0" applyFill="0" applyBorder="0" applyAlignment="0" applyProtection="0">
      <alignment wrapText="1"/>
    </xf>
    <xf numFmtId="223" fontId="142" fillId="0" borderId="0" applyFont="0" applyFill="0" applyBorder="0" applyAlignment="0" applyProtection="0">
      <protection locked="0"/>
    </xf>
    <xf numFmtId="0" fontId="144" fillId="0" borderId="35" applyFill="0">
      <alignment horizontal="center"/>
    </xf>
    <xf numFmtId="213" fontId="144" fillId="0" borderId="35" applyFill="0">
      <alignment horizontal="center" vertical="center"/>
    </xf>
    <xf numFmtId="49" fontId="145" fillId="0" borderId="0" applyFill="0" applyProtection="0">
      <alignment horizontal="left" indent="1"/>
    </xf>
    <xf numFmtId="0" fontId="146" fillId="0" borderId="0" applyNumberFormat="0" applyFill="0" applyBorder="0" applyAlignment="0" applyProtection="0">
      <alignment vertical="top"/>
      <protection locked="0"/>
    </xf>
    <xf numFmtId="0" fontId="147" fillId="0" borderId="0" applyNumberFormat="0" applyFill="0" applyAlignment="0"/>
    <xf numFmtId="0" fontId="147" fillId="0" borderId="0" applyNumberFormat="0" applyFill="0" applyAlignment="0" applyProtection="0"/>
    <xf numFmtId="0" fontId="148" fillId="0" borderId="0" applyNumberFormat="0" applyFill="0" applyAlignment="0"/>
    <xf numFmtId="49" fontId="149" fillId="64" borderId="0" applyFill="0" applyBorder="0">
      <alignment horizontal="left"/>
    </xf>
    <xf numFmtId="0" fontId="142" fillId="64" borderId="0" applyFill="0" applyBorder="0"/>
    <xf numFmtId="0" fontId="141" fillId="31" borderId="36" applyNumberFormat="0">
      <alignment horizontal="left"/>
    </xf>
    <xf numFmtId="0" fontId="150" fillId="0" borderId="0" applyNumberFormat="0" applyFill="0" applyBorder="0" applyAlignment="0" applyProtection="0">
      <alignment vertical="top"/>
      <protection locked="0"/>
    </xf>
    <xf numFmtId="49" fontId="151" fillId="0" borderId="0" applyFill="0" applyBorder="0">
      <alignment horizontal="right" indent="1"/>
    </xf>
    <xf numFmtId="49" fontId="152" fillId="0" borderId="0" applyFill="0" applyBorder="0">
      <alignment horizontal="center" wrapText="1"/>
    </xf>
    <xf numFmtId="0" fontId="152" fillId="0" borderId="0" applyFill="0" applyBorder="0">
      <alignment horizontal="centerContinuous" wrapText="1"/>
    </xf>
    <xf numFmtId="0" fontId="152" fillId="0" borderId="0" applyFill="0" applyBorder="0">
      <alignment horizontal="center" wrapText="1"/>
    </xf>
    <xf numFmtId="49" fontId="141" fillId="0" borderId="0" applyFill="0" applyBorder="0">
      <alignment horizontal="left" indent="1"/>
    </xf>
    <xf numFmtId="49" fontId="141" fillId="0" borderId="0" applyFill="0" applyBorder="0">
      <alignment horizontal="left" wrapText="1" indent="2"/>
    </xf>
    <xf numFmtId="0" fontId="141" fillId="31" borderId="35" applyNumberFormat="0">
      <alignment horizontal="left"/>
    </xf>
    <xf numFmtId="49" fontId="153" fillId="31" borderId="37">
      <alignment horizontal="right" indent="2"/>
    </xf>
    <xf numFmtId="9" fontId="142" fillId="0" borderId="0" applyFont="0" applyFill="0" applyBorder="0" applyAlignment="0" applyProtection="0"/>
    <xf numFmtId="216" fontId="142" fillId="0" borderId="0" applyFont="0" applyFill="0" applyBorder="0" applyAlignment="0" applyProtection="0">
      <protection locked="0"/>
    </xf>
    <xf numFmtId="217" fontId="142" fillId="0" borderId="0" applyFont="0" applyFill="0" applyBorder="0" applyAlignment="0" applyProtection="0">
      <protection locked="0"/>
    </xf>
    <xf numFmtId="215" fontId="142" fillId="0" borderId="0" applyFont="0" applyFill="0" applyBorder="0" applyAlignment="0" applyProtection="0">
      <protection locked="0"/>
    </xf>
    <xf numFmtId="0" fontId="141" fillId="31" borderId="38" applyNumberFormat="0">
      <alignment horizontal="left"/>
    </xf>
    <xf numFmtId="210" fontId="142" fillId="0" borderId="0" applyFont="0" applyFill="0" applyBorder="0" applyAlignment="0" applyProtection="0">
      <alignment horizontal="left"/>
      <protection locked="0"/>
    </xf>
    <xf numFmtId="222" fontId="142" fillId="0" borderId="0" applyFont="0" applyFill="0" applyBorder="0">
      <alignment horizontal="left"/>
      <protection locked="0"/>
    </xf>
    <xf numFmtId="211" fontId="142" fillId="0" borderId="0" applyFont="0" applyFill="0" applyBorder="0" applyAlignment="0" applyProtection="0">
      <alignment horizontal="left"/>
      <protection locked="0"/>
    </xf>
    <xf numFmtId="0" fontId="142" fillId="63" borderId="0"/>
    <xf numFmtId="212" fontId="142" fillId="0" borderId="0" applyFont="0" applyFill="0" applyBorder="0" applyAlignment="0" applyProtection="0">
      <alignment horizontal="left"/>
      <protection locked="0"/>
    </xf>
    <xf numFmtId="9" fontId="142" fillId="0" borderId="0" applyFont="0" applyFill="0" applyBorder="0" applyAlignment="0" applyProtection="0"/>
    <xf numFmtId="9" fontId="142" fillId="0" borderId="0" applyFont="0" applyFill="0" applyBorder="0" applyAlignment="0" applyProtection="0"/>
    <xf numFmtId="218" fontId="21" fillId="0" borderId="33" applyFont="0" applyFill="0" applyBorder="0" applyAlignment="0" applyProtection="0">
      <alignment horizontal="left"/>
      <protection locked="0"/>
    </xf>
    <xf numFmtId="225" fontId="21" fillId="31" borderId="33"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0" fontId="141" fillId="30" borderId="35">
      <alignment horizontal="left" vertical="top" wrapText="1" indent="1"/>
      <protection locked="0"/>
    </xf>
    <xf numFmtId="0" fontId="21" fillId="64" borderId="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223" fontId="142" fillId="0" borderId="0" applyFont="0" applyFill="0" applyBorder="0" applyAlignment="0" applyProtection="0">
      <protection locked="0"/>
    </xf>
    <xf numFmtId="9" fontId="142" fillId="0" borderId="0" applyFont="0" applyFill="0" applyBorder="0" applyAlignment="0" applyProtection="0"/>
    <xf numFmtId="0" fontId="156" fillId="65" borderId="33" applyFill="0">
      <alignment horizontal="center"/>
    </xf>
    <xf numFmtId="213" fontId="156" fillId="65" borderId="33" applyFill="0">
      <alignment horizontal="center" vertical="center"/>
    </xf>
    <xf numFmtId="9" fontId="142" fillId="0" borderId="0" applyFont="0" applyFill="0" applyBorder="0" applyAlignment="0" applyProtection="0"/>
    <xf numFmtId="49" fontId="154" fillId="64" borderId="0" applyFill="0">
      <alignment horizontal="left" indent="1"/>
    </xf>
    <xf numFmtId="0" fontId="146" fillId="0" borderId="0" applyNumberFormat="0" applyFill="0" applyBorder="0" applyAlignment="0" applyProtection="0">
      <alignment vertical="top"/>
      <protection locked="0"/>
    </xf>
    <xf numFmtId="0" fontId="118" fillId="0" borderId="0" applyNumberFormat="0" applyFill="0" applyAlignment="0"/>
    <xf numFmtId="0" fontId="118" fillId="65" borderId="0" applyNumberFormat="0" applyFill="0" applyAlignment="0"/>
    <xf numFmtId="0" fontId="142" fillId="64" borderId="0" applyFill="0" applyBorder="0">
      <alignment wrapText="1"/>
    </xf>
    <xf numFmtId="224" fontId="141" fillId="31" borderId="36" applyNumberFormat="0">
      <alignment horizontal="left"/>
    </xf>
    <xf numFmtId="0" fontId="141" fillId="31" borderId="36" applyNumberFormat="0" applyFill="0">
      <alignment horizontal="left"/>
    </xf>
    <xf numFmtId="0" fontId="150"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9" fontId="142" fillId="0" borderId="0" applyFont="0" applyFill="0" applyBorder="0" applyAlignment="0" applyProtection="0"/>
    <xf numFmtId="49" fontId="155" fillId="65" borderId="0" applyFill="0" applyBorder="0">
      <alignment horizontal="right" indent="1"/>
    </xf>
    <xf numFmtId="9" fontId="142" fillId="0" borderId="0" applyFont="0" applyFill="0" applyBorder="0" applyAlignment="0" applyProtection="0"/>
    <xf numFmtId="49" fontId="113" fillId="64" borderId="0" applyFill="0" applyBorder="0">
      <alignment horizontal="center" wrapText="1"/>
    </xf>
    <xf numFmtId="9" fontId="142" fillId="0" borderId="0" applyFont="0" applyFill="0" applyBorder="0" applyAlignment="0" applyProtection="0"/>
    <xf numFmtId="0" fontId="113" fillId="64" borderId="0" applyFill="0" applyBorder="0">
      <alignment horizontal="centerContinuous" wrapText="1"/>
    </xf>
    <xf numFmtId="224" fontId="141" fillId="31" borderId="35" applyNumberFormat="0">
      <alignment horizontal="left"/>
    </xf>
    <xf numFmtId="0" fontId="141" fillId="31" borderId="35" applyNumberFormat="0">
      <alignment horizontal="left"/>
    </xf>
    <xf numFmtId="0" fontId="21" fillId="0" borderId="0"/>
    <xf numFmtId="49" fontId="88" fillId="64" borderId="6">
      <alignment horizontal="right" indent="2"/>
    </xf>
    <xf numFmtId="49" fontId="153" fillId="31" borderId="37" applyFill="0">
      <alignment horizontal="right" indent="2"/>
    </xf>
    <xf numFmtId="9" fontId="142" fillId="0" borderId="0" applyFont="0" applyFill="0" applyBorder="0" applyAlignment="0" applyProtection="0"/>
    <xf numFmtId="0" fontId="141" fillId="31" borderId="38" applyNumberFormat="0" applyFill="0">
      <alignment horizontal="left"/>
    </xf>
    <xf numFmtId="210" fontId="157" fillId="0" borderId="33" applyFont="0" applyFill="0" applyBorder="0" applyAlignment="0" applyProtection="0">
      <alignment horizontal="left"/>
      <protection locked="0"/>
    </xf>
    <xf numFmtId="222" fontId="157" fillId="0" borderId="33">
      <alignment horizontal="left"/>
      <protection locked="0"/>
    </xf>
    <xf numFmtId="211" fontId="142" fillId="0" borderId="0" applyFont="0" applyFill="0" applyBorder="0" applyAlignment="0" applyProtection="0">
      <alignment horizontal="left"/>
      <protection locked="0"/>
    </xf>
    <xf numFmtId="0" fontId="158" fillId="0" borderId="0" applyNumberFormat="0" applyFill="0" applyBorder="0" applyAlignment="0" applyProtection="0"/>
    <xf numFmtId="0" fontId="21" fillId="65" borderId="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166" fontId="21"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21" fillId="0" borderId="0" applyFont="0" applyFill="0" applyBorder="0" applyAlignment="0" applyProtection="0"/>
    <xf numFmtId="0" fontId="53" fillId="0" borderId="0" applyNumberFormat="0" applyFill="0" applyBorder="0" applyAlignment="0" applyProtection="0"/>
    <xf numFmtId="174" fontId="47" fillId="0" borderId="0" applyNumberFormat="0" applyFill="0" applyBorder="0" applyAlignment="0" applyProtection="0">
      <alignment vertical="top"/>
      <protection locked="0"/>
    </xf>
    <xf numFmtId="9" fontId="21" fillId="0" borderId="0" applyFont="0" applyFill="0" applyBorder="0" applyAlignment="0" applyProtection="0"/>
    <xf numFmtId="166" fontId="22" fillId="0" borderId="17" applyFont="0" applyAlignment="0">
      <alignment vertical="top" wrapText="1"/>
    </xf>
    <xf numFmtId="9" fontId="21" fillId="0" borderId="0" applyFont="0" applyFill="0" applyBorder="0" applyAlignment="0" applyProtection="0"/>
    <xf numFmtId="166" fontId="21" fillId="0" borderId="0" applyFon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166" fontId="21" fillId="0" borderId="0" applyFont="0" applyFill="0" applyBorder="0" applyAlignment="0" applyProtection="0"/>
    <xf numFmtId="9" fontId="21" fillId="0" borderId="0" applyFont="0" applyFill="0" applyBorder="0" applyAlignment="0" applyProtection="0"/>
    <xf numFmtId="0" fontId="20" fillId="0" borderId="0"/>
    <xf numFmtId="0" fontId="21" fillId="0" borderId="0" applyFont="0" applyFill="0" applyBorder="0" applyAlignment="0" applyProtection="0"/>
    <xf numFmtId="0" fontId="1" fillId="0" borderId="0"/>
    <xf numFmtId="0" fontId="80" fillId="0" borderId="0"/>
    <xf numFmtId="0" fontId="41" fillId="0" borderId="0"/>
    <xf numFmtId="0" fontId="1" fillId="0" borderId="0"/>
    <xf numFmtId="0" fontId="21" fillId="0" borderId="0" applyNumberFormat="0" applyFill="0" applyBorder="0" applyAlignment="0" applyProtection="0"/>
    <xf numFmtId="174" fontId="47" fillId="0" borderId="0" applyNumberFormat="0" applyFill="0" applyBorder="0" applyAlignment="0" applyProtection="0">
      <alignment vertical="top"/>
      <protection locked="0"/>
    </xf>
    <xf numFmtId="0" fontId="41" fillId="0" borderId="4">
      <alignment horizontal="center" vertical="center"/>
    </xf>
    <xf numFmtId="0" fontId="48" fillId="0" borderId="0" applyNumberFormat="0" applyFill="0" applyBorder="0" applyAlignment="0" applyProtection="0">
      <alignment vertical="top"/>
      <protection locked="0"/>
    </xf>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6" borderId="0" applyNumberFormat="0" applyBorder="0" applyAlignment="0" applyProtection="0"/>
    <xf numFmtId="0" fontId="53" fillId="0" borderId="0" applyNumberFormat="0" applyFill="0" applyBorder="0" applyAlignment="0" applyProtection="0"/>
    <xf numFmtId="0" fontId="21" fillId="28" borderId="11" applyNumberFormat="0" applyFont="0" applyAlignment="0" applyProtection="0"/>
    <xf numFmtId="0" fontId="39" fillId="0" borderId="13" applyNumberFormat="0" applyFill="0" applyAlignment="0" applyProtection="0"/>
    <xf numFmtId="0" fontId="53" fillId="0" borderId="0" applyNumberFormat="0" applyFill="0" applyBorder="0" applyAlignment="0" applyProtection="0"/>
    <xf numFmtId="0" fontId="51" fillId="25" borderId="7" applyNumberFormat="0" applyAlignment="0" applyProtection="0"/>
    <xf numFmtId="0" fontId="53" fillId="0" borderId="0" applyNumberFormat="0" applyFill="0" applyBorder="0" applyAlignment="0" applyProtection="0"/>
    <xf numFmtId="0" fontId="58" fillId="12" borderId="7" applyNumberFormat="0" applyAlignment="0" applyProtection="0"/>
    <xf numFmtId="0" fontId="61" fillId="25" borderId="12" applyNumberFormat="0" applyAlignment="0" applyProtection="0"/>
    <xf numFmtId="166" fontId="21" fillId="0" borderId="0" applyFont="0" applyFill="0" applyBorder="0" applyAlignment="0" applyProtection="0"/>
    <xf numFmtId="165" fontId="21" fillId="0" borderId="0" applyFont="0" applyFill="0" applyBorder="0" applyAlignment="0" applyProtection="0"/>
    <xf numFmtId="9"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9"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213" fontId="142" fillId="0" borderId="0" applyFont="0" applyFill="0" applyBorder="0" applyProtection="0">
      <protection locked="0"/>
    </xf>
    <xf numFmtId="49" fontId="145" fillId="0" borderId="0" applyFill="0" applyProtection="0">
      <alignment horizontal="left" indent="1"/>
    </xf>
    <xf numFmtId="218" fontId="21" fillId="0" borderId="33" applyFont="0" applyFill="0" applyBorder="0" applyAlignment="0" applyProtection="0">
      <alignment horizontal="left"/>
      <protection locked="0"/>
    </xf>
    <xf numFmtId="225" fontId="21" fillId="31" borderId="33" applyFont="0" applyFill="0" applyBorder="0" applyAlignment="0" applyProtection="0"/>
    <xf numFmtId="225" fontId="21" fillId="31" borderId="33" applyFont="0" applyFill="0" applyBorder="0" applyAlignment="0" applyProtection="0"/>
    <xf numFmtId="0" fontId="156" fillId="65" borderId="33" applyFill="0">
      <alignment horizontal="center"/>
    </xf>
    <xf numFmtId="213" fontId="156" fillId="65" borderId="33" applyFill="0">
      <alignment horizontal="center" vertical="center"/>
    </xf>
    <xf numFmtId="49" fontId="145" fillId="0" borderId="0" applyFill="0" applyProtection="0">
      <alignment horizontal="left" indent="1"/>
    </xf>
    <xf numFmtId="210" fontId="157" fillId="0" borderId="33" applyFont="0" applyFill="0" applyBorder="0" applyAlignment="0" applyProtection="0">
      <alignment horizontal="left"/>
      <protection locked="0"/>
    </xf>
    <xf numFmtId="222" fontId="157" fillId="0" borderId="33">
      <alignment horizontal="left"/>
      <protection locked="0"/>
    </xf>
    <xf numFmtId="213" fontId="142" fillId="0" borderId="0" applyFont="0" applyFill="0" applyBorder="0" applyProtection="0">
      <protection locked="0"/>
    </xf>
    <xf numFmtId="218" fontId="21" fillId="0" borderId="33" applyFont="0" applyFill="0" applyBorder="0" applyAlignment="0" applyProtection="0">
      <alignment horizontal="left"/>
      <protection locked="0"/>
    </xf>
    <xf numFmtId="213" fontId="156" fillId="65" borderId="33" applyFill="0">
      <alignment horizontal="center" vertical="center"/>
    </xf>
    <xf numFmtId="0" fontId="156" fillId="65" borderId="33" applyFill="0">
      <alignment horizontal="center"/>
    </xf>
    <xf numFmtId="0" fontId="51" fillId="25" borderId="7" applyNumberFormat="0" applyAlignment="0" applyProtection="0"/>
    <xf numFmtId="166" fontId="21"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0" fontId="128" fillId="0" borderId="0" applyNumberFormat="0" applyFill="0" applyBorder="0" applyAlignment="0" applyProtection="0"/>
    <xf numFmtId="0" fontId="56" fillId="0" borderId="24" applyNumberFormat="0" applyFill="0" applyAlignment="0" applyProtection="0"/>
    <xf numFmtId="0" fontId="57" fillId="0" borderId="9" applyNumberFormat="0" applyFill="0" applyAlignment="0" applyProtection="0"/>
    <xf numFmtId="0" fontId="57" fillId="0" borderId="0" applyNumberFormat="0" applyFill="0" applyBorder="0" applyAlignment="0" applyProtection="0"/>
    <xf numFmtId="0" fontId="132" fillId="0" borderId="0" applyNumberFormat="0" applyFill="0" applyBorder="0" applyAlignment="0" applyProtection="0"/>
    <xf numFmtId="174" fontId="47" fillId="0" borderId="0" applyNumberFormat="0" applyFill="0" applyBorder="0" applyAlignment="0" applyProtection="0">
      <alignment vertical="top"/>
      <protection locked="0"/>
    </xf>
    <xf numFmtId="174" fontId="37" fillId="0" borderId="0" applyNumberFormat="0" applyFill="0" applyBorder="0" applyAlignment="0" applyProtection="0">
      <alignment vertical="top"/>
      <protection locked="0"/>
    </xf>
    <xf numFmtId="185" fontId="121" fillId="0" borderId="0" applyNumberFormat="0" applyFill="0" applyBorder="0" applyAlignment="0" applyProtection="0">
      <protection locked="0"/>
    </xf>
    <xf numFmtId="0" fontId="58" fillId="12" borderId="7" applyNumberFormat="0" applyAlignment="0" applyProtection="0"/>
    <xf numFmtId="174" fontId="38" fillId="0" borderId="0"/>
    <xf numFmtId="0" fontId="21" fillId="0" borderId="0" applyBorder="0"/>
    <xf numFmtId="174" fontId="38" fillId="0" borderId="0"/>
    <xf numFmtId="0" fontId="22" fillId="0" borderId="0"/>
    <xf numFmtId="222" fontId="157" fillId="0" borderId="33">
      <alignment horizontal="left"/>
      <protection locked="0"/>
    </xf>
    <xf numFmtId="0" fontId="21" fillId="28" borderId="11" applyNumberFormat="0" applyFont="0" applyAlignment="0" applyProtection="0"/>
    <xf numFmtId="0" fontId="61" fillId="25" borderId="12" applyNumberFormat="0" applyAlignment="0" applyProtection="0"/>
    <xf numFmtId="9" fontId="38" fillId="0" borderId="0" applyFont="0" applyFill="0" applyBorder="0" applyAlignment="0" applyProtection="0"/>
    <xf numFmtId="9" fontId="120" fillId="0" borderId="0" applyFont="0" applyFill="0" applyBorder="0" applyAlignment="0" applyProtection="0"/>
    <xf numFmtId="166" fontId="22" fillId="0" borderId="17" applyFont="0" applyAlignment="0">
      <alignment vertical="top" wrapText="1"/>
    </xf>
    <xf numFmtId="0" fontId="34" fillId="0" borderId="0" applyNumberFormat="0" applyFill="0" applyBorder="0" applyAlignment="0" applyProtection="0"/>
    <xf numFmtId="0" fontId="39" fillId="0" borderId="13" applyNumberFormat="0" applyFill="0" applyAlignment="0" applyProtection="0"/>
    <xf numFmtId="0" fontId="3" fillId="0" borderId="13" applyNumberFormat="0" applyFill="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applyBorder="0"/>
    <xf numFmtId="0" fontId="21" fillId="0" borderId="0" applyBorder="0"/>
    <xf numFmtId="0" fontId="21" fillId="0" borderId="0" applyBorder="0"/>
    <xf numFmtId="0" fontId="21" fillId="0" borderId="0" applyBorder="0"/>
    <xf numFmtId="0" fontId="21" fillId="0" borderId="0" applyBorder="0"/>
    <xf numFmtId="0" fontId="21" fillId="0" borderId="0" applyBorder="0"/>
    <xf numFmtId="9" fontId="21" fillId="0" borderId="0" applyFont="0" applyFill="0" applyBorder="0" applyAlignment="0" applyProtection="0"/>
    <xf numFmtId="166" fontId="21" fillId="0" borderId="0" applyFon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20"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6"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166"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9" fontId="21" fillId="0" borderId="0" applyFont="0" applyFill="0" applyBorder="0" applyAlignment="0" applyProtection="0"/>
    <xf numFmtId="166"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20"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166" fontId="22" fillId="0" borderId="17" applyFont="0" applyAlignment="0">
      <alignment vertical="top" wrapText="1"/>
    </xf>
    <xf numFmtId="166" fontId="21" fillId="0" borderId="0" applyFont="0" applyFill="0" applyBorder="0" applyAlignment="0" applyProtection="0"/>
    <xf numFmtId="166"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0" fontId="1" fillId="0" borderId="0"/>
    <xf numFmtId="0" fontId="141" fillId="0" borderId="0"/>
    <xf numFmtId="166" fontId="21" fillId="0" borderId="0" applyFont="0" applyFill="0" applyBorder="0" applyAlignment="0" applyProtection="0"/>
    <xf numFmtId="49" fontId="145" fillId="0" borderId="0" applyFill="0" applyProtection="0">
      <alignment horizontal="left" indent="1"/>
    </xf>
    <xf numFmtId="0" fontId="147" fillId="0" borderId="0" applyNumberFormat="0" applyFill="0" applyAlignment="0"/>
    <xf numFmtId="0" fontId="150" fillId="0" borderId="0" applyNumberFormat="0" applyFill="0" applyBorder="0" applyAlignment="0" applyProtection="0">
      <alignment vertical="top"/>
      <protection locked="0"/>
    </xf>
    <xf numFmtId="166" fontId="21" fillId="0" borderId="0" applyFont="0" applyFill="0" applyBorder="0" applyAlignment="0" applyProtection="0"/>
    <xf numFmtId="9" fontId="142" fillId="0" borderId="0" applyFont="0" applyFill="0" applyBorder="0" applyAlignment="0" applyProtection="0"/>
    <xf numFmtId="166"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146" fillId="0" borderId="0" applyNumberFormat="0" applyFill="0" applyBorder="0" applyAlignment="0" applyProtection="0">
      <alignment vertical="top"/>
      <protection locked="0"/>
    </xf>
    <xf numFmtId="0" fontId="142" fillId="64" borderId="0" applyFill="0" applyBorder="0">
      <alignment wrapText="1"/>
    </xf>
    <xf numFmtId="166" fontId="21" fillId="0" borderId="0" applyFont="0" applyFill="0" applyBorder="0" applyAlignment="0" applyProtection="0"/>
    <xf numFmtId="9" fontId="142" fillId="0" borderId="0" applyFont="0" applyFill="0" applyBorder="0" applyAlignment="0" applyProtection="0"/>
    <xf numFmtId="0" fontId="158" fillId="0" borderId="0" applyNumberForma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166" fontId="21" fillId="0" borderId="0" applyFont="0" applyFill="0" applyBorder="0" applyAlignment="0" applyProtection="0"/>
    <xf numFmtId="166" fontId="38"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38"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38" fillId="0" borderId="0" applyFont="0" applyFill="0" applyBorder="0" applyAlignment="0" applyProtection="0"/>
    <xf numFmtId="166" fontId="21" fillId="0" borderId="0" applyFont="0" applyFill="0" applyBorder="0" applyAlignment="0" applyProtection="0"/>
    <xf numFmtId="166" fontId="120"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9" fontId="21" fillId="0" borderId="0" applyFont="0" applyFill="0" applyBorder="0" applyAlignment="0" applyProtection="0"/>
    <xf numFmtId="0" fontId="59" fillId="0" borderId="10" applyNumberFormat="0" applyFill="0" applyAlignment="0" applyProtection="0"/>
    <xf numFmtId="0" fontId="21" fillId="0" borderId="0" applyBorder="0"/>
    <xf numFmtId="0" fontId="21" fillId="0" borderId="0" applyBorder="0"/>
    <xf numFmtId="0" fontId="21" fillId="0" borderId="0" applyBorder="0"/>
    <xf numFmtId="0" fontId="21" fillId="0" borderId="0" applyBorder="0"/>
    <xf numFmtId="0" fontId="21" fillId="0" borderId="0" applyBorder="0"/>
    <xf numFmtId="0" fontId="21" fillId="0" borderId="0" applyBorder="0"/>
    <xf numFmtId="0" fontId="120" fillId="37" borderId="28" applyNumberFormat="0" applyFont="0" applyAlignment="0" applyProtection="0"/>
    <xf numFmtId="9" fontId="38" fillId="0" borderId="0" applyFont="0" applyFill="0" applyBorder="0" applyAlignment="0" applyProtection="0"/>
    <xf numFmtId="0" fontId="21" fillId="0" borderId="0"/>
    <xf numFmtId="9" fontId="21" fillId="0" borderId="0" applyFont="0" applyFill="0" applyBorder="0" applyAlignment="0" applyProtection="0"/>
    <xf numFmtId="166" fontId="21" fillId="0" borderId="0" applyFont="0" applyFill="0" applyBorder="0" applyAlignment="0" applyProtection="0"/>
    <xf numFmtId="0" fontId="21" fillId="0" borderId="0" applyBorder="0"/>
    <xf numFmtId="0" fontId="21" fillId="0" borderId="0" applyBorder="0"/>
    <xf numFmtId="0" fontId="21" fillId="0" borderId="0" applyBorder="0"/>
    <xf numFmtId="0" fontId="21" fillId="0" borderId="0" applyBorder="0"/>
    <xf numFmtId="0" fontId="21" fillId="0" borderId="0" applyBorder="0"/>
    <xf numFmtId="0" fontId="21" fillId="0" borderId="0" applyBorder="0"/>
    <xf numFmtId="9" fontId="21" fillId="0" borderId="0" applyFont="0" applyFill="0" applyBorder="0" applyAlignment="0" applyProtection="0"/>
    <xf numFmtId="166" fontId="21" fillId="0" borderId="0" applyFont="0" applyFill="0" applyBorder="0" applyAlignment="0" applyProtection="0"/>
    <xf numFmtId="9" fontId="21" fillId="0" borderId="0" applyFont="0" applyFill="0" applyBorder="0" applyAlignment="0" applyProtection="0"/>
    <xf numFmtId="166" fontId="21" fillId="0" borderId="0" applyFont="0" applyFill="0" applyBorder="0" applyAlignment="0" applyProtection="0"/>
    <xf numFmtId="9"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166"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38" fillId="0" borderId="0" applyFont="0" applyFill="0" applyBorder="0" applyAlignment="0" applyProtection="0"/>
    <xf numFmtId="166" fontId="21"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21"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20"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6"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166" fontId="22" fillId="0" borderId="17" applyFont="0" applyAlignment="0">
      <alignment vertical="top" wrapText="1"/>
    </xf>
    <xf numFmtId="166" fontId="21" fillId="0" borderId="0" applyFont="0" applyFill="0" applyBorder="0" applyAlignment="0" applyProtection="0"/>
    <xf numFmtId="166"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38"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21"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20"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166" fontId="21" fillId="0" borderId="0" applyFont="0" applyFill="0" applyBorder="0" applyAlignment="0" applyProtection="0"/>
    <xf numFmtId="166" fontId="22" fillId="0" borderId="17" applyFont="0" applyAlignment="0">
      <alignment vertical="top" wrapText="1"/>
    </xf>
    <xf numFmtId="166"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9"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38"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21"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20"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6"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166" fontId="22" fillId="0" borderId="17" applyFont="0" applyAlignment="0">
      <alignment vertical="top" wrapText="1"/>
    </xf>
    <xf numFmtId="166"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38"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21"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20"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6"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166" fontId="22" fillId="0" borderId="17" applyFont="0" applyAlignment="0">
      <alignment vertical="top" wrapText="1"/>
    </xf>
    <xf numFmtId="166"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38"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21"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20"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6"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166" fontId="22" fillId="0" borderId="17" applyFont="0" applyAlignment="0">
      <alignment vertical="top" wrapText="1"/>
    </xf>
    <xf numFmtId="9" fontId="21" fillId="0" borderId="0" applyFont="0" applyFill="0" applyBorder="0" applyAlignment="0" applyProtection="0"/>
    <xf numFmtId="166"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9"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9"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0" fontId="21" fillId="0" borderId="0"/>
    <xf numFmtId="210" fontId="157" fillId="0" borderId="33" applyFont="0" applyFill="0" applyBorder="0" applyAlignment="0" applyProtection="0">
      <alignment horizontal="left"/>
      <protection locked="0"/>
    </xf>
    <xf numFmtId="213" fontId="142" fillId="0" borderId="0" applyFont="0" applyFill="0" applyBorder="0" applyProtection="0">
      <protection locked="0"/>
    </xf>
    <xf numFmtId="49" fontId="145" fillId="0" borderId="0" applyFill="0" applyProtection="0">
      <alignment horizontal="left" indent="1"/>
    </xf>
    <xf numFmtId="213" fontId="142" fillId="0" borderId="0" applyFont="0" applyFill="0" applyBorder="0" applyProtection="0">
      <protection locked="0"/>
    </xf>
    <xf numFmtId="49" fontId="145" fillId="0" borderId="0" applyFill="0" applyProtection="0">
      <alignment horizontal="left" indent="1"/>
    </xf>
    <xf numFmtId="213" fontId="142" fillId="0" borderId="0" applyFont="0" applyFill="0" applyBorder="0" applyProtection="0">
      <protection locked="0"/>
    </xf>
    <xf numFmtId="213" fontId="142" fillId="0" borderId="0" applyFont="0" applyFill="0" applyBorder="0" applyProtection="0">
      <protection locked="0"/>
    </xf>
    <xf numFmtId="213" fontId="142" fillId="0" borderId="0" applyFont="0" applyFill="0" applyBorder="0" applyProtection="0">
      <protection locked="0"/>
    </xf>
    <xf numFmtId="166" fontId="1" fillId="0" borderId="0" applyFont="0" applyFill="0" applyBorder="0" applyAlignment="0" applyProtection="0"/>
    <xf numFmtId="0" fontId="21" fillId="0" borderId="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3" borderId="0" applyNumberFormat="0" applyBorder="0" applyAlignment="0" applyProtection="0"/>
    <xf numFmtId="0" fontId="63" fillId="16" borderId="0" applyNumberFormat="0" applyBorder="0" applyAlignment="0" applyProtection="0"/>
    <xf numFmtId="0" fontId="160" fillId="17" borderId="0" applyNumberFormat="0" applyBorder="0" applyAlignment="0" applyProtection="0"/>
    <xf numFmtId="0" fontId="160" fillId="14" borderId="0" applyNumberFormat="0" applyBorder="0" applyAlignment="0" applyProtection="0"/>
    <xf numFmtId="0" fontId="160" fillId="15" borderId="0" applyNumberFormat="0" applyBorder="0" applyAlignment="0" applyProtection="0"/>
    <xf numFmtId="0" fontId="160" fillId="18" borderId="0" applyNumberFormat="0" applyBorder="0" applyAlignment="0" applyProtection="0"/>
    <xf numFmtId="0" fontId="160" fillId="19" borderId="0" applyNumberFormat="0" applyBorder="0" applyAlignment="0" applyProtection="0"/>
    <xf numFmtId="0" fontId="160" fillId="20" borderId="0" applyNumberFormat="0" applyBorder="0" applyAlignment="0" applyProtection="0"/>
    <xf numFmtId="0" fontId="160" fillId="21" borderId="0" applyNumberFormat="0" applyBorder="0" applyAlignment="0" applyProtection="0"/>
    <xf numFmtId="0" fontId="160" fillId="22" borderId="0" applyNumberFormat="0" applyBorder="0" applyAlignment="0" applyProtection="0"/>
    <xf numFmtId="0" fontId="160" fillId="23" borderId="0" applyNumberFormat="0" applyBorder="0" applyAlignment="0" applyProtection="0"/>
    <xf numFmtId="0" fontId="160" fillId="18" borderId="0" applyNumberFormat="0" applyBorder="0" applyAlignment="0" applyProtection="0"/>
    <xf numFmtId="0" fontId="160" fillId="19" borderId="0" applyNumberFormat="0" applyBorder="0" applyAlignment="0" applyProtection="0"/>
    <xf numFmtId="0" fontId="160" fillId="24" borderId="0" applyNumberFormat="0" applyBorder="0" applyAlignment="0" applyProtection="0"/>
    <xf numFmtId="0" fontId="161" fillId="8" borderId="0" applyNumberFormat="0" applyBorder="0" applyAlignment="0" applyProtection="0"/>
    <xf numFmtId="0" fontId="162" fillId="25" borderId="7" applyNumberFormat="0" applyAlignment="0" applyProtection="0"/>
    <xf numFmtId="0" fontId="163" fillId="26" borderId="8" applyNumberFormat="0" applyAlignment="0" applyProtection="0"/>
    <xf numFmtId="166" fontId="21" fillId="0" borderId="0" applyFont="0" applyFill="0" applyBorder="0" applyAlignment="0" applyProtection="0"/>
    <xf numFmtId="0" fontId="164" fillId="0" borderId="0" applyNumberFormat="0" applyFill="0" applyBorder="0" applyAlignment="0" applyProtection="0"/>
    <xf numFmtId="0" fontId="165" fillId="9" borderId="0" applyNumberFormat="0" applyBorder="0" applyAlignment="0" applyProtection="0"/>
    <xf numFmtId="0" fontId="71" fillId="0" borderId="23" applyNumberFormat="0" applyFill="0" applyAlignment="0" applyProtection="0"/>
    <xf numFmtId="0" fontId="72" fillId="0" borderId="24" applyNumberFormat="0" applyFill="0" applyAlignment="0" applyProtection="0"/>
    <xf numFmtId="0" fontId="73" fillId="0" borderId="9" applyNumberFormat="0" applyFill="0" applyAlignment="0" applyProtection="0"/>
    <xf numFmtId="0" fontId="73" fillId="0" borderId="0" applyNumberFormat="0" applyFill="0" applyBorder="0" applyAlignment="0" applyProtection="0"/>
    <xf numFmtId="0" fontId="159" fillId="0" borderId="0" applyNumberFormat="0" applyFill="0" applyBorder="0" applyAlignment="0" applyProtection="0">
      <alignment vertical="top"/>
      <protection locked="0"/>
    </xf>
    <xf numFmtId="0" fontId="166" fillId="12" borderId="7" applyNumberFormat="0" applyAlignment="0" applyProtection="0"/>
    <xf numFmtId="0" fontId="167" fillId="0" borderId="10" applyNumberFormat="0" applyFill="0" applyAlignment="0" applyProtection="0"/>
    <xf numFmtId="0" fontId="168" fillId="27" borderId="0" applyNumberFormat="0" applyBorder="0" applyAlignment="0" applyProtection="0"/>
    <xf numFmtId="0" fontId="64" fillId="0" borderId="0"/>
    <xf numFmtId="0" fontId="63" fillId="0" borderId="0"/>
    <xf numFmtId="0" fontId="63" fillId="0" borderId="0"/>
    <xf numFmtId="0" fontId="63" fillId="0" borderId="0"/>
    <xf numFmtId="0" fontId="21" fillId="28" borderId="11" applyNumberFormat="0" applyFont="0" applyAlignment="0" applyProtection="0"/>
    <xf numFmtId="0" fontId="169" fillId="25" borderId="12" applyNumberFormat="0" applyAlignment="0" applyProtection="0"/>
    <xf numFmtId="0" fontId="170" fillId="0" borderId="13" applyNumberFormat="0" applyFill="0" applyAlignment="0" applyProtection="0"/>
    <xf numFmtId="0" fontId="171" fillId="0" borderId="0" applyNumberFormat="0" applyFill="0" applyBorder="0" applyAlignment="0" applyProtection="0"/>
    <xf numFmtId="166" fontId="1" fillId="0" borderId="0" applyFont="0" applyFill="0" applyBorder="0" applyAlignment="0" applyProtection="0"/>
    <xf numFmtId="9" fontId="21" fillId="0" borderId="0" applyFont="0" applyFill="0" applyBorder="0" applyAlignment="0" applyProtection="0"/>
    <xf numFmtId="0" fontId="63" fillId="0" borderId="0"/>
    <xf numFmtId="0" fontId="63" fillId="0" borderId="0"/>
    <xf numFmtId="0" fontId="164" fillId="0" borderId="0" applyNumberFormat="0" applyFill="0" applyBorder="0" applyAlignment="0" applyProtection="0"/>
    <xf numFmtId="166" fontId="21" fillId="0" borderId="0" applyFont="0" applyFill="0" applyBorder="0" applyAlignment="0" applyProtection="0"/>
    <xf numFmtId="0" fontId="164" fillId="0" borderId="0" applyNumberFormat="0" applyFill="0" applyBorder="0" applyAlignment="0" applyProtection="0"/>
    <xf numFmtId="0" fontId="63" fillId="0" borderId="0"/>
    <xf numFmtId="0" fontId="63" fillId="0" borderId="0"/>
    <xf numFmtId="0" fontId="21" fillId="0" borderId="0"/>
    <xf numFmtId="0" fontId="21" fillId="28" borderId="11" applyNumberFormat="0" applyFont="0" applyAlignment="0" applyProtection="0"/>
    <xf numFmtId="0" fontId="25" fillId="25" borderId="7" applyNumberFormat="0" applyAlignment="0" applyProtection="0"/>
    <xf numFmtId="0" fontId="86" fillId="12" borderId="7" applyNumberFormat="0" applyAlignment="0" applyProtection="0"/>
    <xf numFmtId="0" fontId="22" fillId="28" borderId="11" applyNumberFormat="0" applyFont="0" applyAlignment="0" applyProtection="0"/>
    <xf numFmtId="0" fontId="33" fillId="25" borderId="12" applyNumberFormat="0" applyAlignment="0" applyProtection="0"/>
    <xf numFmtId="0" fontId="35" fillId="0" borderId="13" applyNumberFormat="0" applyFill="0" applyAlignment="0" applyProtection="0"/>
    <xf numFmtId="0" fontId="51" fillId="25" borderId="7" applyNumberFormat="0" applyAlignment="0" applyProtection="0"/>
    <xf numFmtId="0" fontId="58" fillId="12" borderId="7" applyNumberFormat="0" applyAlignment="0" applyProtection="0"/>
    <xf numFmtId="0" fontId="21" fillId="28" borderId="11" applyNumberFormat="0" applyFont="0" applyAlignment="0" applyProtection="0"/>
    <xf numFmtId="0" fontId="61" fillId="25" borderId="12" applyNumberFormat="0" applyAlignment="0" applyProtection="0"/>
    <xf numFmtId="0" fontId="39" fillId="0" borderId="13" applyNumberFormat="0" applyFill="0" applyAlignment="0" applyProtection="0"/>
    <xf numFmtId="0" fontId="51" fillId="25" borderId="7" applyNumberFormat="0" applyAlignment="0" applyProtection="0"/>
    <xf numFmtId="0" fontId="58" fillId="12" borderId="7" applyNumberFormat="0" applyAlignment="0" applyProtection="0"/>
    <xf numFmtId="0" fontId="21" fillId="28" borderId="11" applyNumberFormat="0" applyFont="0" applyAlignment="0" applyProtection="0"/>
    <xf numFmtId="0" fontId="61" fillId="25" borderId="12" applyNumberFormat="0" applyAlignment="0" applyProtection="0"/>
    <xf numFmtId="0" fontId="39" fillId="0" borderId="13" applyNumberFormat="0" applyFill="0" applyAlignment="0" applyProtection="0"/>
    <xf numFmtId="218" fontId="21" fillId="0" borderId="33" applyFont="0" applyFill="0" applyBorder="0" applyAlignment="0" applyProtection="0">
      <alignment horizontal="left"/>
      <protection locked="0"/>
    </xf>
    <xf numFmtId="225" fontId="21" fillId="31" borderId="33" applyFont="0" applyFill="0" applyBorder="0" applyAlignment="0" applyProtection="0"/>
    <xf numFmtId="0" fontId="156" fillId="65" borderId="33" applyFill="0">
      <alignment horizontal="center"/>
    </xf>
    <xf numFmtId="213" fontId="156" fillId="65" borderId="33" applyFill="0">
      <alignment horizontal="center" vertical="center"/>
    </xf>
    <xf numFmtId="210" fontId="157" fillId="0" borderId="33" applyFont="0" applyFill="0" applyBorder="0" applyAlignment="0" applyProtection="0">
      <alignment horizontal="left"/>
      <protection locked="0"/>
    </xf>
    <xf numFmtId="222" fontId="157" fillId="0" borderId="33">
      <alignment horizontal="left"/>
      <protection locked="0"/>
    </xf>
    <xf numFmtId="166" fontId="1" fillId="0" borderId="0" applyFont="0" applyFill="0" applyBorder="0" applyAlignment="0" applyProtection="0"/>
    <xf numFmtId="0" fontId="21" fillId="0" borderId="0"/>
    <xf numFmtId="0" fontId="63" fillId="0" borderId="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0" fontId="63" fillId="0" borderId="0"/>
    <xf numFmtId="0" fontId="63" fillId="0" borderId="0"/>
    <xf numFmtId="0" fontId="63" fillId="0" borderId="0"/>
    <xf numFmtId="9" fontId="21" fillId="0" borderId="0" applyFont="0" applyFill="0" applyBorder="0" applyAlignment="0" applyProtection="0"/>
    <xf numFmtId="0" fontId="21" fillId="0" borderId="0"/>
    <xf numFmtId="9" fontId="21" fillId="0" borderId="0" applyFont="0" applyFill="0" applyBorder="0" applyAlignment="0" applyProtection="0"/>
    <xf numFmtId="0" fontId="21" fillId="0" borderId="0"/>
    <xf numFmtId="9"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1" fillId="0" borderId="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0" borderId="0"/>
    <xf numFmtId="9" fontId="21" fillId="0" borderId="0" applyFont="0" applyFill="0" applyBorder="0" applyAlignment="0" applyProtection="0"/>
    <xf numFmtId="0" fontId="21" fillId="0" borderId="0"/>
    <xf numFmtId="9" fontId="21" fillId="0" borderId="0" applyFont="0" applyFill="0" applyBorder="0" applyAlignment="0" applyProtection="0"/>
    <xf numFmtId="0" fontId="21" fillId="0" borderId="0"/>
    <xf numFmtId="9" fontId="21" fillId="0" borderId="0" applyFont="0" applyFill="0" applyBorder="0" applyAlignment="0" applyProtection="0"/>
    <xf numFmtId="0" fontId="21" fillId="0" borderId="0"/>
    <xf numFmtId="9" fontId="21" fillId="0" borderId="0" applyFont="0" applyFill="0" applyBorder="0" applyAlignment="0" applyProtection="0"/>
    <xf numFmtId="0" fontId="21" fillId="0" borderId="0"/>
    <xf numFmtId="9" fontId="21" fillId="0" borderId="0" applyFont="0" applyFill="0" applyBorder="0" applyAlignment="0" applyProtection="0"/>
    <xf numFmtId="0" fontId="21" fillId="0" borderId="0"/>
    <xf numFmtId="9" fontId="21" fillId="0" borderId="0" applyFont="0" applyFill="0" applyBorder="0" applyAlignment="0" applyProtection="0"/>
    <xf numFmtId="0" fontId="21" fillId="0" borderId="0"/>
    <xf numFmtId="9" fontId="21" fillId="0" borderId="0" applyFont="0" applyFill="0" applyBorder="0" applyAlignment="0" applyProtection="0"/>
    <xf numFmtId="0" fontId="21" fillId="0" borderId="0"/>
    <xf numFmtId="9" fontId="21" fillId="0" borderId="0" applyFont="0" applyFill="0" applyBorder="0" applyAlignment="0" applyProtection="0"/>
    <xf numFmtId="0" fontId="21" fillId="0" borderId="0"/>
    <xf numFmtId="9" fontId="21" fillId="0" borderId="0" applyFont="0" applyFill="0" applyBorder="0" applyAlignment="0" applyProtection="0"/>
    <xf numFmtId="0" fontId="21" fillId="0" borderId="0"/>
    <xf numFmtId="0" fontId="21" fillId="0" borderId="0"/>
    <xf numFmtId="0" fontId="21" fillId="0" borderId="0"/>
    <xf numFmtId="9" fontId="21" fillId="0" borderId="0" applyFont="0" applyFill="0" applyBorder="0" applyAlignment="0" applyProtection="0"/>
    <xf numFmtId="0" fontId="21" fillId="28" borderId="11" applyNumberFormat="0" applyFont="0" applyAlignment="0" applyProtection="0"/>
    <xf numFmtId="49" fontId="88" fillId="64" borderId="6">
      <alignment horizontal="right" indent="2"/>
    </xf>
    <xf numFmtId="166" fontId="21" fillId="0" borderId="0" applyFont="0" applyFill="0" applyBorder="0" applyAlignment="0" applyProtection="0"/>
    <xf numFmtId="0" fontId="21" fillId="0" borderId="0"/>
    <xf numFmtId="166" fontId="1" fillId="0" borderId="0" applyFont="0" applyFill="0" applyBorder="0" applyAlignment="0" applyProtection="0"/>
    <xf numFmtId="166" fontId="21" fillId="0" borderId="0" applyFont="0" applyFill="0" applyBorder="0" applyAlignment="0" applyProtection="0"/>
    <xf numFmtId="0" fontId="41" fillId="0" borderId="5">
      <alignment horizontal="center" vertical="center"/>
    </xf>
    <xf numFmtId="165" fontId="21" fillId="0" borderId="0" applyFont="0" applyFill="0" applyBorder="0" applyAlignment="0" applyProtection="0"/>
    <xf numFmtId="9" fontId="21" fillId="0" borderId="0" applyFont="0" applyFill="0" applyBorder="0" applyAlignment="0" applyProtection="0"/>
    <xf numFmtId="0" fontId="21" fillId="28" borderId="11" applyNumberFormat="0" applyFont="0" applyAlignment="0" applyProtection="0"/>
    <xf numFmtId="0" fontId="21" fillId="0" borderId="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9" fontId="21" fillId="0" borderId="0" applyFont="0" applyFill="0" applyBorder="0" applyAlignment="0" applyProtection="0"/>
    <xf numFmtId="0" fontId="21" fillId="0" borderId="0"/>
    <xf numFmtId="9" fontId="21" fillId="0" borderId="0" applyFont="0" applyFill="0" applyBorder="0" applyAlignment="0" applyProtection="0"/>
    <xf numFmtId="0" fontId="21" fillId="0" borderId="0"/>
    <xf numFmtId="9" fontId="21" fillId="0" borderId="0" applyFont="0" applyFill="0" applyBorder="0" applyAlignment="0" applyProtection="0"/>
    <xf numFmtId="0" fontId="39" fillId="0" borderId="13" applyNumberFormat="0" applyFill="0" applyAlignment="0" applyProtection="0"/>
    <xf numFmtId="0" fontId="51" fillId="25" borderId="7" applyNumberFormat="0" applyAlignment="0" applyProtection="0"/>
    <xf numFmtId="0" fontId="58" fillId="12" borderId="7" applyNumberFormat="0" applyAlignment="0" applyProtection="0"/>
    <xf numFmtId="0" fontId="33" fillId="25" borderId="12" applyNumberFormat="0" applyAlignment="0" applyProtection="0"/>
    <xf numFmtId="0" fontId="61" fillId="25" borderId="12" applyNumberFormat="0" applyAlignment="0" applyProtection="0"/>
    <xf numFmtId="0" fontId="35" fillId="0" borderId="13" applyNumberFormat="0" applyFill="0" applyAlignment="0" applyProtection="0"/>
    <xf numFmtId="0" fontId="86" fillId="12" borderId="7" applyNumberFormat="0" applyAlignment="0" applyProtection="0"/>
    <xf numFmtId="0" fontId="41" fillId="0" borderId="5">
      <alignment horizontal="center" vertical="center"/>
    </xf>
    <xf numFmtId="0" fontId="162" fillId="25" borderId="7" applyNumberFormat="0" applyAlignment="0" applyProtection="0"/>
    <xf numFmtId="0" fontId="51" fillId="25" borderId="7" applyNumberFormat="0" applyAlignment="0" applyProtection="0"/>
    <xf numFmtId="0" fontId="39" fillId="0" borderId="13" applyNumberFormat="0" applyFill="0" applyAlignment="0" applyProtection="0"/>
    <xf numFmtId="0" fontId="61" fillId="25" borderId="12" applyNumberFormat="0" applyAlignment="0" applyProtection="0"/>
    <xf numFmtId="0" fontId="58" fillId="12" borderId="7" applyNumberFormat="0" applyAlignment="0" applyProtection="0"/>
    <xf numFmtId="0" fontId="51" fillId="25" borderId="7" applyNumberFormat="0" applyAlignment="0" applyProtection="0"/>
    <xf numFmtId="0" fontId="58" fillId="12" borderId="7" applyNumberFormat="0" applyAlignment="0" applyProtection="0"/>
    <xf numFmtId="0" fontId="58" fillId="12" borderId="7" applyNumberFormat="0" applyAlignment="0" applyProtection="0"/>
    <xf numFmtId="0" fontId="35" fillId="0" borderId="13" applyNumberFormat="0" applyFill="0" applyAlignment="0" applyProtection="0"/>
    <xf numFmtId="0" fontId="33" fillId="25" borderId="12" applyNumberFormat="0" applyAlignment="0" applyProtection="0"/>
    <xf numFmtId="0" fontId="61" fillId="25" borderId="12" applyNumberFormat="0" applyAlignment="0" applyProtection="0"/>
    <xf numFmtId="0" fontId="21" fillId="28" borderId="11" applyNumberFormat="0" applyFont="0" applyAlignment="0" applyProtection="0"/>
    <xf numFmtId="0" fontId="61" fillId="25" borderId="12" applyNumberFormat="0" applyAlignment="0" applyProtection="0"/>
    <xf numFmtId="0" fontId="39" fillId="0" borderId="13" applyNumberFormat="0" applyFill="0" applyAlignment="0" applyProtection="0"/>
    <xf numFmtId="0" fontId="3" fillId="0" borderId="13" applyNumberFormat="0" applyFill="0" applyAlignment="0" applyProtection="0"/>
    <xf numFmtId="49" fontId="88" fillId="64" borderId="6">
      <alignment horizontal="right" indent="2"/>
    </xf>
    <xf numFmtId="0" fontId="21" fillId="28" borderId="11" applyNumberFormat="0" applyFont="0" applyAlignment="0" applyProtection="0"/>
    <xf numFmtId="0" fontId="39" fillId="0" borderId="13" applyNumberFormat="0" applyFill="0" applyAlignment="0" applyProtection="0"/>
    <xf numFmtId="0" fontId="25" fillId="25" borderId="7" applyNumberFormat="0" applyAlignment="0" applyProtection="0"/>
    <xf numFmtId="0" fontId="170" fillId="0" borderId="13" applyNumberFormat="0" applyFill="0" applyAlignment="0" applyProtection="0"/>
    <xf numFmtId="0" fontId="25" fillId="25" borderId="7" applyNumberFormat="0" applyAlignment="0" applyProtection="0"/>
    <xf numFmtId="0" fontId="86" fillId="12" borderId="7" applyNumberFormat="0" applyAlignment="0" applyProtection="0"/>
    <xf numFmtId="0" fontId="25" fillId="25" borderId="7" applyNumberFormat="0" applyAlignment="0" applyProtection="0"/>
    <xf numFmtId="0" fontId="22" fillId="28" borderId="11" applyNumberFormat="0" applyFont="0" applyAlignment="0" applyProtection="0"/>
    <xf numFmtId="0" fontId="33" fillId="25" borderId="12" applyNumberFormat="0" applyAlignment="0" applyProtection="0"/>
    <xf numFmtId="0" fontId="35" fillId="0" borderId="13" applyNumberFormat="0" applyFill="0" applyAlignment="0" applyProtection="0"/>
    <xf numFmtId="0" fontId="41" fillId="0" borderId="4">
      <alignment horizontal="center" vertical="center"/>
    </xf>
    <xf numFmtId="0" fontId="61" fillId="25" borderId="12" applyNumberFormat="0" applyAlignment="0" applyProtection="0"/>
    <xf numFmtId="0" fontId="58" fillId="12" borderId="7" applyNumberFormat="0" applyAlignment="0" applyProtection="0"/>
    <xf numFmtId="0" fontId="169" fillId="25" borderId="12" applyNumberFormat="0" applyAlignment="0" applyProtection="0"/>
    <xf numFmtId="0" fontId="51" fillId="25" borderId="7" applyNumberFormat="0" applyAlignment="0" applyProtection="0"/>
    <xf numFmtId="0" fontId="58" fillId="12" borderId="7" applyNumberFormat="0" applyAlignment="0" applyProtection="0"/>
    <xf numFmtId="0" fontId="21" fillId="28" borderId="11" applyNumberFormat="0" applyFont="0" applyAlignment="0" applyProtection="0"/>
    <xf numFmtId="0" fontId="61" fillId="25" borderId="12" applyNumberFormat="0" applyAlignment="0" applyProtection="0"/>
    <xf numFmtId="0" fontId="39" fillId="0" borderId="13" applyNumberFormat="0" applyFill="0" applyAlignment="0" applyProtection="0"/>
    <xf numFmtId="0" fontId="3" fillId="0" borderId="13" applyNumberFormat="0" applyFill="0" applyAlignment="0" applyProtection="0"/>
    <xf numFmtId="0" fontId="51" fillId="25" borderId="7" applyNumberFormat="0" applyAlignment="0" applyProtection="0"/>
    <xf numFmtId="0" fontId="58" fillId="12" borderId="7" applyNumberFormat="0" applyAlignment="0" applyProtection="0"/>
    <xf numFmtId="0" fontId="21" fillId="28" borderId="11" applyNumberFormat="0" applyFont="0" applyAlignment="0" applyProtection="0"/>
    <xf numFmtId="0" fontId="61" fillId="25" borderId="12" applyNumberFormat="0" applyAlignment="0" applyProtection="0"/>
    <xf numFmtId="0" fontId="39" fillId="0" borderId="13" applyNumberFormat="0" applyFill="0" applyAlignment="0" applyProtection="0"/>
    <xf numFmtId="0" fontId="51" fillId="25" borderId="7" applyNumberFormat="0" applyAlignment="0" applyProtection="0"/>
    <xf numFmtId="0" fontId="58" fillId="12" borderId="7" applyNumberFormat="0" applyAlignment="0" applyProtection="0"/>
    <xf numFmtId="0" fontId="21" fillId="28" borderId="11" applyNumberFormat="0" applyFont="0" applyAlignment="0" applyProtection="0"/>
    <xf numFmtId="0" fontId="39" fillId="0" borderId="13" applyNumberFormat="0" applyFill="0" applyAlignment="0" applyProtection="0"/>
    <xf numFmtId="0" fontId="3" fillId="0" borderId="13" applyNumberFormat="0" applyFill="0" applyAlignment="0" applyProtection="0"/>
    <xf numFmtId="0" fontId="51" fillId="25" borderId="7" applyNumberFormat="0" applyAlignment="0" applyProtection="0"/>
    <xf numFmtId="0" fontId="86" fillId="12" borderId="7" applyNumberFormat="0" applyAlignment="0" applyProtection="0"/>
    <xf numFmtId="0" fontId="51" fillId="25" borderId="7" applyNumberFormat="0" applyAlignment="0" applyProtection="0"/>
    <xf numFmtId="0" fontId="61" fillId="25" borderId="12" applyNumberFormat="0" applyAlignment="0" applyProtection="0"/>
    <xf numFmtId="0" fontId="58" fillId="12" borderId="7" applyNumberFormat="0" applyAlignment="0" applyProtection="0"/>
    <xf numFmtId="0" fontId="3" fillId="0" borderId="13" applyNumberFormat="0" applyFill="0" applyAlignment="0" applyProtection="0"/>
    <xf numFmtId="0" fontId="51" fillId="25" borderId="7" applyNumberFormat="0" applyAlignment="0" applyProtection="0"/>
    <xf numFmtId="0" fontId="58" fillId="12" borderId="7" applyNumberFormat="0" applyAlignment="0" applyProtection="0"/>
    <xf numFmtId="0" fontId="39" fillId="0" borderId="13" applyNumberFormat="0" applyFill="0" applyAlignment="0" applyProtection="0"/>
    <xf numFmtId="0" fontId="39" fillId="0" borderId="13" applyNumberFormat="0" applyFill="0" applyAlignment="0" applyProtection="0"/>
    <xf numFmtId="0" fontId="61" fillId="25" borderId="12" applyNumberFormat="0" applyAlignment="0" applyProtection="0"/>
    <xf numFmtId="0" fontId="51" fillId="25" borderId="7" applyNumberFormat="0" applyAlignment="0" applyProtection="0"/>
    <xf numFmtId="0" fontId="166" fillId="12" borderId="7" applyNumberFormat="0" applyAlignment="0" applyProtection="0"/>
    <xf numFmtId="0" fontId="162" fillId="25" borderId="7" applyNumberFormat="0" applyAlignment="0" applyProtection="0"/>
    <xf numFmtId="0" fontId="41" fillId="0" borderId="4">
      <alignment horizontal="center" vertical="center"/>
    </xf>
    <xf numFmtId="0" fontId="166" fillId="12" borderId="7" applyNumberFormat="0" applyAlignment="0" applyProtection="0"/>
    <xf numFmtId="0" fontId="21" fillId="28" borderId="11" applyNumberFormat="0" applyFont="0" applyAlignment="0" applyProtection="0"/>
    <xf numFmtId="0" fontId="170" fillId="0" borderId="13" applyNumberFormat="0" applyFill="0" applyAlignment="0" applyProtection="0"/>
    <xf numFmtId="0" fontId="39" fillId="0" borderId="13" applyNumberFormat="0" applyFill="0" applyAlignment="0" applyProtection="0"/>
    <xf numFmtId="0" fontId="21" fillId="28" borderId="11" applyNumberFormat="0" applyFont="0" applyAlignment="0" applyProtection="0"/>
    <xf numFmtId="0" fontId="25" fillId="25" borderId="7" applyNumberFormat="0" applyAlignment="0" applyProtection="0"/>
    <xf numFmtId="0" fontId="86" fillId="12" borderId="7" applyNumberFormat="0" applyAlignment="0" applyProtection="0"/>
    <xf numFmtId="0" fontId="22" fillId="28" borderId="11" applyNumberFormat="0" applyFont="0" applyAlignment="0" applyProtection="0"/>
    <xf numFmtId="0" fontId="35" fillId="0" borderId="13" applyNumberFormat="0" applyFill="0" applyAlignment="0" applyProtection="0"/>
    <xf numFmtId="0" fontId="51" fillId="25" borderId="7" applyNumberFormat="0" applyAlignment="0" applyProtection="0"/>
    <xf numFmtId="0" fontId="58" fillId="12" borderId="7" applyNumberFormat="0" applyAlignment="0" applyProtection="0"/>
    <xf numFmtId="0" fontId="21" fillId="28" borderId="11" applyNumberFormat="0" applyFont="0" applyAlignment="0" applyProtection="0"/>
    <xf numFmtId="0" fontId="39" fillId="0" borderId="13" applyNumberFormat="0" applyFill="0" applyAlignment="0" applyProtection="0"/>
    <xf numFmtId="0" fontId="51" fillId="25" borderId="7" applyNumberFormat="0" applyAlignment="0" applyProtection="0"/>
    <xf numFmtId="0" fontId="58" fillId="12" borderId="7" applyNumberFormat="0" applyAlignment="0" applyProtection="0"/>
    <xf numFmtId="0" fontId="21" fillId="28" borderId="11" applyNumberFormat="0" applyFont="0" applyAlignment="0" applyProtection="0"/>
    <xf numFmtId="0" fontId="39" fillId="0" borderId="13" applyNumberFormat="0" applyFill="0" applyAlignment="0" applyProtection="0"/>
    <xf numFmtId="0" fontId="21" fillId="0" borderId="0"/>
    <xf numFmtId="166" fontId="21" fillId="0" borderId="0" applyFont="0" applyFill="0" applyBorder="0" applyAlignment="0" applyProtection="0"/>
    <xf numFmtId="166" fontId="21" fillId="0" borderId="0" applyFont="0" applyFill="0" applyBorder="0" applyAlignment="0" applyProtection="0"/>
    <xf numFmtId="166" fontId="38"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21"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20"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0" fontId="21" fillId="0" borderId="0" applyBorder="0"/>
    <xf numFmtId="0" fontId="21" fillId="0" borderId="0" applyBorder="0"/>
    <xf numFmtId="0" fontId="21" fillId="0" borderId="0" applyBorder="0"/>
    <xf numFmtId="0" fontId="21" fillId="0" borderId="0" applyBorder="0"/>
    <xf numFmtId="0" fontId="21" fillId="0" borderId="0" applyBorder="0"/>
    <xf numFmtId="0" fontId="21" fillId="0" borderId="0" applyBorder="0"/>
    <xf numFmtId="9" fontId="21" fillId="0" borderId="0" applyFont="0" applyFill="0" applyBorder="0" applyAlignment="0" applyProtection="0"/>
    <xf numFmtId="166" fontId="22" fillId="0" borderId="17" applyFont="0" applyAlignment="0">
      <alignment vertical="top" wrapText="1"/>
    </xf>
    <xf numFmtId="0" fontId="21" fillId="0" borderId="0"/>
    <xf numFmtId="0" fontId="21" fillId="0" borderId="0"/>
    <xf numFmtId="0" fontId="42" fillId="0" borderId="0"/>
    <xf numFmtId="4" fontId="42" fillId="0" borderId="0" applyFont="0" applyFill="0" applyBorder="0" applyAlignment="0" applyProtection="0"/>
    <xf numFmtId="0" fontId="42" fillId="0" borderId="0"/>
    <xf numFmtId="4" fontId="42" fillId="0" borderId="0" applyFont="0" applyFill="0" applyBorder="0" applyAlignment="0" applyProtection="0"/>
    <xf numFmtId="166" fontId="1" fillId="0" borderId="0" applyFont="0" applyFill="0" applyBorder="0" applyAlignment="0" applyProtection="0"/>
    <xf numFmtId="223" fontId="1" fillId="0" borderId="0"/>
    <xf numFmtId="223" fontId="21" fillId="0" borderId="0"/>
    <xf numFmtId="223" fontId="21" fillId="0" borderId="0"/>
    <xf numFmtId="223" fontId="38" fillId="7" borderId="0" applyNumberFormat="0" applyBorder="0" applyAlignment="0" applyProtection="0"/>
    <xf numFmtId="223" fontId="38" fillId="7" borderId="0" applyNumberFormat="0" applyBorder="0" applyAlignment="0" applyProtection="0"/>
    <xf numFmtId="223" fontId="38" fillId="7" borderId="0" applyNumberFormat="0" applyBorder="0" applyAlignment="0" applyProtection="0"/>
    <xf numFmtId="223" fontId="64" fillId="7" borderId="0" applyNumberFormat="0" applyBorder="0" applyAlignment="0" applyProtection="0"/>
    <xf numFmtId="223" fontId="38" fillId="7" borderId="0" applyNumberFormat="0" applyBorder="0" applyAlignment="0" applyProtection="0"/>
    <xf numFmtId="223" fontId="38" fillId="8" borderId="0" applyNumberFormat="0" applyBorder="0" applyAlignment="0" applyProtection="0"/>
    <xf numFmtId="223" fontId="38" fillId="8" borderId="0" applyNumberFormat="0" applyBorder="0" applyAlignment="0" applyProtection="0"/>
    <xf numFmtId="223" fontId="38" fillId="8" borderId="0" applyNumberFormat="0" applyBorder="0" applyAlignment="0" applyProtection="0"/>
    <xf numFmtId="223" fontId="64" fillId="8" borderId="0" applyNumberFormat="0" applyBorder="0" applyAlignment="0" applyProtection="0"/>
    <xf numFmtId="223" fontId="38" fillId="8" borderId="0" applyNumberFormat="0" applyBorder="0" applyAlignment="0" applyProtection="0"/>
    <xf numFmtId="223" fontId="38" fillId="9" borderId="0" applyNumberFormat="0" applyBorder="0" applyAlignment="0" applyProtection="0"/>
    <xf numFmtId="223" fontId="38" fillId="9" borderId="0" applyNumberFormat="0" applyBorder="0" applyAlignment="0" applyProtection="0"/>
    <xf numFmtId="223" fontId="38" fillId="9" borderId="0" applyNumberFormat="0" applyBorder="0" applyAlignment="0" applyProtection="0"/>
    <xf numFmtId="223" fontId="64" fillId="9" borderId="0" applyNumberFormat="0" applyBorder="0" applyAlignment="0" applyProtection="0"/>
    <xf numFmtId="223" fontId="38" fillId="9" borderId="0" applyNumberFormat="0" applyBorder="0" applyAlignment="0" applyProtection="0"/>
    <xf numFmtId="223" fontId="38" fillId="10" borderId="0" applyNumberFormat="0" applyBorder="0" applyAlignment="0" applyProtection="0"/>
    <xf numFmtId="223" fontId="38" fillId="10" borderId="0" applyNumberFormat="0" applyBorder="0" applyAlignment="0" applyProtection="0"/>
    <xf numFmtId="223" fontId="38" fillId="10" borderId="0" applyNumberFormat="0" applyBorder="0" applyAlignment="0" applyProtection="0"/>
    <xf numFmtId="223" fontId="64" fillId="10" borderId="0" applyNumberFormat="0" applyBorder="0" applyAlignment="0" applyProtection="0"/>
    <xf numFmtId="223" fontId="38" fillId="10" borderId="0" applyNumberFormat="0" applyBorder="0" applyAlignment="0" applyProtection="0"/>
    <xf numFmtId="223" fontId="38" fillId="11" borderId="0" applyNumberFormat="0" applyBorder="0" applyAlignment="0" applyProtection="0"/>
    <xf numFmtId="223" fontId="38" fillId="11" borderId="0" applyNumberFormat="0" applyBorder="0" applyAlignment="0" applyProtection="0"/>
    <xf numFmtId="223" fontId="38" fillId="11" borderId="0" applyNumberFormat="0" applyBorder="0" applyAlignment="0" applyProtection="0"/>
    <xf numFmtId="223" fontId="64" fillId="11" borderId="0" applyNumberFormat="0" applyBorder="0" applyAlignment="0" applyProtection="0"/>
    <xf numFmtId="223" fontId="38" fillId="11" borderId="0" applyNumberFormat="0" applyBorder="0" applyAlignment="0" applyProtection="0"/>
    <xf numFmtId="223" fontId="38" fillId="12" borderId="0" applyNumberFormat="0" applyBorder="0" applyAlignment="0" applyProtection="0"/>
    <xf numFmtId="223" fontId="38" fillId="12" borderId="0" applyNumberFormat="0" applyBorder="0" applyAlignment="0" applyProtection="0"/>
    <xf numFmtId="223" fontId="38" fillId="12" borderId="0" applyNumberFormat="0" applyBorder="0" applyAlignment="0" applyProtection="0"/>
    <xf numFmtId="223" fontId="64" fillId="12" borderId="0" applyNumberFormat="0" applyBorder="0" applyAlignment="0" applyProtection="0"/>
    <xf numFmtId="223" fontId="38" fillId="12" borderId="0" applyNumberFormat="0" applyBorder="0" applyAlignment="0" applyProtection="0"/>
    <xf numFmtId="223" fontId="38" fillId="13" borderId="0" applyNumberFormat="0" applyBorder="0" applyAlignment="0" applyProtection="0"/>
    <xf numFmtId="223" fontId="38" fillId="13" borderId="0" applyNumberFormat="0" applyBorder="0" applyAlignment="0" applyProtection="0"/>
    <xf numFmtId="223" fontId="38" fillId="13" borderId="0" applyNumberFormat="0" applyBorder="0" applyAlignment="0" applyProtection="0"/>
    <xf numFmtId="223" fontId="64" fillId="13" borderId="0" applyNumberFormat="0" applyBorder="0" applyAlignment="0" applyProtection="0"/>
    <xf numFmtId="223" fontId="38" fillId="13" borderId="0" applyNumberFormat="0" applyBorder="0" applyAlignment="0" applyProtection="0"/>
    <xf numFmtId="223" fontId="38" fillId="14" borderId="0" applyNumberFormat="0" applyBorder="0" applyAlignment="0" applyProtection="0"/>
    <xf numFmtId="223" fontId="38" fillId="14" borderId="0" applyNumberFormat="0" applyBorder="0" applyAlignment="0" applyProtection="0"/>
    <xf numFmtId="223" fontId="38" fillId="14" borderId="0" applyNumberFormat="0" applyBorder="0" applyAlignment="0" applyProtection="0"/>
    <xf numFmtId="223" fontId="64" fillId="14" borderId="0" applyNumberFormat="0" applyBorder="0" applyAlignment="0" applyProtection="0"/>
    <xf numFmtId="223" fontId="38" fillId="14" borderId="0" applyNumberFormat="0" applyBorder="0" applyAlignment="0" applyProtection="0"/>
    <xf numFmtId="223" fontId="38" fillId="15" borderId="0" applyNumberFormat="0" applyBorder="0" applyAlignment="0" applyProtection="0"/>
    <xf numFmtId="223" fontId="38" fillId="15" borderId="0" applyNumberFormat="0" applyBorder="0" applyAlignment="0" applyProtection="0"/>
    <xf numFmtId="223" fontId="38" fillId="15" borderId="0" applyNumberFormat="0" applyBorder="0" applyAlignment="0" applyProtection="0"/>
    <xf numFmtId="223" fontId="64" fillId="15" borderId="0" applyNumberFormat="0" applyBorder="0" applyAlignment="0" applyProtection="0"/>
    <xf numFmtId="223" fontId="38" fillId="15" borderId="0" applyNumberFormat="0" applyBorder="0" applyAlignment="0" applyProtection="0"/>
    <xf numFmtId="223" fontId="38" fillId="10" borderId="0" applyNumberFormat="0" applyBorder="0" applyAlignment="0" applyProtection="0"/>
    <xf numFmtId="223" fontId="38" fillId="10" borderId="0" applyNumberFormat="0" applyBorder="0" applyAlignment="0" applyProtection="0"/>
    <xf numFmtId="223" fontId="38" fillId="10" borderId="0" applyNumberFormat="0" applyBorder="0" applyAlignment="0" applyProtection="0"/>
    <xf numFmtId="223" fontId="64" fillId="10" borderId="0" applyNumberFormat="0" applyBorder="0" applyAlignment="0" applyProtection="0"/>
    <xf numFmtId="223" fontId="38" fillId="10" borderId="0" applyNumberFormat="0" applyBorder="0" applyAlignment="0" applyProtection="0"/>
    <xf numFmtId="223" fontId="38" fillId="13" borderId="0" applyNumberFormat="0" applyBorder="0" applyAlignment="0" applyProtection="0"/>
    <xf numFmtId="223" fontId="38" fillId="13" borderId="0" applyNumberFormat="0" applyBorder="0" applyAlignment="0" applyProtection="0"/>
    <xf numFmtId="223" fontId="38" fillId="13" borderId="0" applyNumberFormat="0" applyBorder="0" applyAlignment="0" applyProtection="0"/>
    <xf numFmtId="223" fontId="64" fillId="13" borderId="0" applyNumberFormat="0" applyBorder="0" applyAlignment="0" applyProtection="0"/>
    <xf numFmtId="223" fontId="38" fillId="13" borderId="0" applyNumberFormat="0" applyBorder="0" applyAlignment="0" applyProtection="0"/>
    <xf numFmtId="223" fontId="38" fillId="16" borderId="0" applyNumberFormat="0" applyBorder="0" applyAlignment="0" applyProtection="0"/>
    <xf numFmtId="223" fontId="38" fillId="16" borderId="0" applyNumberFormat="0" applyBorder="0" applyAlignment="0" applyProtection="0"/>
    <xf numFmtId="223" fontId="38" fillId="16" borderId="0" applyNumberFormat="0" applyBorder="0" applyAlignment="0" applyProtection="0"/>
    <xf numFmtId="223" fontId="64" fillId="16" borderId="0" applyNumberFormat="0" applyBorder="0" applyAlignment="0" applyProtection="0"/>
    <xf numFmtId="223" fontId="38" fillId="16" borderId="0" applyNumberFormat="0" applyBorder="0" applyAlignment="0" applyProtection="0"/>
    <xf numFmtId="223" fontId="49" fillId="17" borderId="0" applyNumberFormat="0" applyBorder="0" applyAlignment="0" applyProtection="0"/>
    <xf numFmtId="223" fontId="65" fillId="17" borderId="0" applyNumberFormat="0" applyBorder="0" applyAlignment="0" applyProtection="0"/>
    <xf numFmtId="223" fontId="49" fillId="14" borderId="0" applyNumberFormat="0" applyBorder="0" applyAlignment="0" applyProtection="0"/>
    <xf numFmtId="223" fontId="65" fillId="14" borderId="0" applyNumberFormat="0" applyBorder="0" applyAlignment="0" applyProtection="0"/>
    <xf numFmtId="223" fontId="49" fillId="15" borderId="0" applyNumberFormat="0" applyBorder="0" applyAlignment="0" applyProtection="0"/>
    <xf numFmtId="223" fontId="65" fillId="15" borderId="0" applyNumberFormat="0" applyBorder="0" applyAlignment="0" applyProtection="0"/>
    <xf numFmtId="223" fontId="49" fillId="18" borderId="0" applyNumberFormat="0" applyBorder="0" applyAlignment="0" applyProtection="0"/>
    <xf numFmtId="223" fontId="65" fillId="18" borderId="0" applyNumberFormat="0" applyBorder="0" applyAlignment="0" applyProtection="0"/>
    <xf numFmtId="223" fontId="49" fillId="19" borderId="0" applyNumberFormat="0" applyBorder="0" applyAlignment="0" applyProtection="0"/>
    <xf numFmtId="223" fontId="65" fillId="19" borderId="0" applyNumberFormat="0" applyBorder="0" applyAlignment="0" applyProtection="0"/>
    <xf numFmtId="223" fontId="49" fillId="20" borderId="0" applyNumberFormat="0" applyBorder="0" applyAlignment="0" applyProtection="0"/>
    <xf numFmtId="223" fontId="65" fillId="20" borderId="0" applyNumberFormat="0" applyBorder="0" applyAlignment="0" applyProtection="0"/>
    <xf numFmtId="223" fontId="49" fillId="21" borderId="0" applyNumberFormat="0" applyBorder="0" applyAlignment="0" applyProtection="0"/>
    <xf numFmtId="223" fontId="65" fillId="21" borderId="0" applyNumberFormat="0" applyBorder="0" applyAlignment="0" applyProtection="0"/>
    <xf numFmtId="223" fontId="49" fillId="22" borderId="0" applyNumberFormat="0" applyBorder="0" applyAlignment="0" applyProtection="0"/>
    <xf numFmtId="223" fontId="65" fillId="22" borderId="0" applyNumberFormat="0" applyBorder="0" applyAlignment="0" applyProtection="0"/>
    <xf numFmtId="223" fontId="49" fillId="23" borderId="0" applyNumberFormat="0" applyBorder="0" applyAlignment="0" applyProtection="0"/>
    <xf numFmtId="223" fontId="65" fillId="23" borderId="0" applyNumberFormat="0" applyBorder="0" applyAlignment="0" applyProtection="0"/>
    <xf numFmtId="223" fontId="49" fillId="18" borderId="0" applyNumberFormat="0" applyBorder="0" applyAlignment="0" applyProtection="0"/>
    <xf numFmtId="223" fontId="65" fillId="18" borderId="0" applyNumberFormat="0" applyBorder="0" applyAlignment="0" applyProtection="0"/>
    <xf numFmtId="223" fontId="49" fillId="19" borderId="0" applyNumberFormat="0" applyBorder="0" applyAlignment="0" applyProtection="0"/>
    <xf numFmtId="223" fontId="65" fillId="19" borderId="0" applyNumberFormat="0" applyBorder="0" applyAlignment="0" applyProtection="0"/>
    <xf numFmtId="223" fontId="49" fillId="24" borderId="0" applyNumberFormat="0" applyBorder="0" applyAlignment="0" applyProtection="0"/>
    <xf numFmtId="223" fontId="65" fillId="24" borderId="0" applyNumberFormat="0" applyBorder="0" applyAlignment="0" applyProtection="0"/>
    <xf numFmtId="223" fontId="41" fillId="0" borderId="4">
      <alignment horizontal="center" vertical="center"/>
    </xf>
    <xf numFmtId="223" fontId="50" fillId="8" borderId="0" applyNumberFormat="0" applyBorder="0" applyAlignment="0" applyProtection="0"/>
    <xf numFmtId="223" fontId="66" fillId="8" borderId="0" applyNumberFormat="0" applyBorder="0" applyAlignment="0" applyProtection="0"/>
    <xf numFmtId="223" fontId="51" fillId="25" borderId="7" applyNumberFormat="0" applyAlignment="0" applyProtection="0"/>
    <xf numFmtId="223" fontId="67" fillId="25" borderId="7" applyNumberFormat="0" applyAlignment="0" applyProtection="0"/>
    <xf numFmtId="223" fontId="52" fillId="26" borderId="8" applyNumberFormat="0" applyAlignment="0" applyProtection="0"/>
    <xf numFmtId="223" fontId="68" fillId="26" borderId="8" applyNumberFormat="0" applyAlignment="0" applyProtection="0"/>
    <xf numFmtId="223" fontId="21" fillId="0" borderId="0" applyFont="0" applyFill="0" applyBorder="0" applyAlignment="0" applyProtection="0"/>
    <xf numFmtId="223" fontId="21" fillId="0" borderId="0" applyFont="0" applyFill="0" applyBorder="0" applyAlignment="0" applyProtection="0"/>
    <xf numFmtId="223" fontId="53" fillId="0" borderId="0" applyNumberFormat="0" applyFill="0" applyBorder="0" applyAlignment="0" applyProtection="0"/>
    <xf numFmtId="223" fontId="69" fillId="0" borderId="0" applyNumberFormat="0" applyFill="0" applyBorder="0" applyAlignment="0" applyProtection="0"/>
    <xf numFmtId="223" fontId="54" fillId="9" borderId="0" applyNumberFormat="0" applyBorder="0" applyAlignment="0" applyProtection="0"/>
    <xf numFmtId="223" fontId="70" fillId="9" borderId="0" applyNumberFormat="0" applyBorder="0" applyAlignment="0" applyProtection="0"/>
    <xf numFmtId="223" fontId="55" fillId="0" borderId="23" applyNumberFormat="0" applyFill="0" applyAlignment="0" applyProtection="0"/>
    <xf numFmtId="223" fontId="71" fillId="0" borderId="23" applyNumberFormat="0" applyFill="0" applyAlignment="0" applyProtection="0"/>
    <xf numFmtId="223" fontId="56" fillId="0" borderId="24" applyNumberFormat="0" applyFill="0" applyAlignment="0" applyProtection="0"/>
    <xf numFmtId="223" fontId="72" fillId="0" borderId="24" applyNumberFormat="0" applyFill="0" applyAlignment="0" applyProtection="0"/>
    <xf numFmtId="223" fontId="57" fillId="0" borderId="9" applyNumberFormat="0" applyFill="0" applyAlignment="0" applyProtection="0"/>
    <xf numFmtId="223" fontId="73" fillId="0" borderId="9" applyNumberFormat="0" applyFill="0" applyAlignment="0" applyProtection="0"/>
    <xf numFmtId="223" fontId="57" fillId="0" borderId="0" applyNumberFormat="0" applyFill="0" applyBorder="0" applyAlignment="0" applyProtection="0"/>
    <xf numFmtId="223" fontId="73" fillId="0" borderId="0" applyNumberFormat="0" applyFill="0" applyBorder="0" applyAlignment="0" applyProtection="0"/>
    <xf numFmtId="223" fontId="48" fillId="0" borderId="0" applyNumberFormat="0" applyFill="0" applyBorder="0" applyAlignment="0" applyProtection="0">
      <alignment vertical="top"/>
      <protection locked="0"/>
    </xf>
    <xf numFmtId="223" fontId="58" fillId="12" borderId="7" applyNumberFormat="0" applyAlignment="0" applyProtection="0"/>
    <xf numFmtId="223" fontId="74" fillId="12" borderId="7" applyNumberFormat="0" applyAlignment="0" applyProtection="0"/>
    <xf numFmtId="223" fontId="59" fillId="0" borderId="10" applyNumberFormat="0" applyFill="0" applyAlignment="0" applyProtection="0"/>
    <xf numFmtId="223" fontId="75" fillId="0" borderId="10" applyNumberFormat="0" applyFill="0" applyAlignment="0" applyProtection="0"/>
    <xf numFmtId="223" fontId="60" fillId="27" borderId="0" applyNumberFormat="0" applyBorder="0" applyAlignment="0" applyProtection="0"/>
    <xf numFmtId="223" fontId="76" fillId="27" borderId="0" applyNumberFormat="0" applyBorder="0" applyAlignment="0" applyProtection="0"/>
    <xf numFmtId="223" fontId="42" fillId="0" borderId="0"/>
    <xf numFmtId="223" fontId="20" fillId="0" borderId="0"/>
    <xf numFmtId="223" fontId="21" fillId="0" borderId="0"/>
    <xf numFmtId="223" fontId="21" fillId="0" borderId="0"/>
    <xf numFmtId="223" fontId="21" fillId="0" borderId="0"/>
    <xf numFmtId="223" fontId="21" fillId="0" borderId="0"/>
    <xf numFmtId="223" fontId="21" fillId="0" borderId="0"/>
    <xf numFmtId="223" fontId="21" fillId="0" borderId="0"/>
    <xf numFmtId="223" fontId="21" fillId="0" borderId="0"/>
    <xf numFmtId="223" fontId="21" fillId="0" borderId="0"/>
    <xf numFmtId="223" fontId="21" fillId="0" borderId="0"/>
    <xf numFmtId="223" fontId="21" fillId="0" borderId="0"/>
    <xf numFmtId="223" fontId="21" fillId="0" borderId="0"/>
    <xf numFmtId="223" fontId="21" fillId="0" borderId="0"/>
    <xf numFmtId="223" fontId="1" fillId="0" borderId="0"/>
    <xf numFmtId="223" fontId="21" fillId="0" borderId="0"/>
    <xf numFmtId="223" fontId="21" fillId="0" borderId="0"/>
    <xf numFmtId="223" fontId="21" fillId="0" borderId="0"/>
    <xf numFmtId="223" fontId="21" fillId="0" borderId="0"/>
    <xf numFmtId="223" fontId="21" fillId="0" borderId="0"/>
    <xf numFmtId="223" fontId="64" fillId="0" borderId="0"/>
    <xf numFmtId="223" fontId="64" fillId="0" borderId="0"/>
    <xf numFmtId="223" fontId="64" fillId="0" borderId="0"/>
    <xf numFmtId="223" fontId="20" fillId="0" borderId="0"/>
    <xf numFmtId="223" fontId="20" fillId="0" borderId="0"/>
    <xf numFmtId="223" fontId="38" fillId="0" borderId="0"/>
    <xf numFmtId="223" fontId="38" fillId="0" borderId="0"/>
    <xf numFmtId="223" fontId="41" fillId="0" borderId="0"/>
    <xf numFmtId="223" fontId="41" fillId="0" borderId="0"/>
    <xf numFmtId="223" fontId="21" fillId="0" borderId="0"/>
    <xf numFmtId="223" fontId="21" fillId="0" borderId="0"/>
    <xf numFmtId="223" fontId="21" fillId="0" borderId="0"/>
    <xf numFmtId="223" fontId="21" fillId="0" borderId="0"/>
    <xf numFmtId="223" fontId="38" fillId="0" borderId="0"/>
    <xf numFmtId="223" fontId="38" fillId="0" borderId="0"/>
    <xf numFmtId="223" fontId="21" fillId="0" borderId="0"/>
    <xf numFmtId="223" fontId="21" fillId="0" borderId="0"/>
    <xf numFmtId="223" fontId="20" fillId="0" borderId="0"/>
    <xf numFmtId="223" fontId="20" fillId="0" borderId="0"/>
    <xf numFmtId="223" fontId="22" fillId="0" borderId="0"/>
    <xf numFmtId="223" fontId="22" fillId="0" borderId="0"/>
    <xf numFmtId="223" fontId="1" fillId="0" borderId="0"/>
    <xf numFmtId="223" fontId="20" fillId="0" borderId="0"/>
    <xf numFmtId="223" fontId="20" fillId="0" borderId="0"/>
    <xf numFmtId="223" fontId="80" fillId="0" borderId="0"/>
    <xf numFmtId="223" fontId="20" fillId="0" borderId="0"/>
    <xf numFmtId="223" fontId="20" fillId="0" borderId="0"/>
    <xf numFmtId="223" fontId="21" fillId="0" borderId="0" applyBorder="0"/>
    <xf numFmtId="223" fontId="21" fillId="0" borderId="0" applyBorder="0"/>
    <xf numFmtId="223" fontId="20" fillId="0" borderId="0"/>
    <xf numFmtId="223" fontId="20" fillId="0" borderId="0"/>
    <xf numFmtId="223" fontId="21" fillId="0" borderId="0"/>
    <xf numFmtId="223" fontId="20" fillId="0" borderId="0"/>
    <xf numFmtId="223" fontId="40" fillId="0" borderId="0"/>
    <xf numFmtId="223" fontId="40" fillId="0" borderId="0"/>
    <xf numFmtId="223" fontId="21" fillId="0" borderId="0"/>
    <xf numFmtId="223" fontId="20" fillId="0" borderId="0"/>
    <xf numFmtId="223" fontId="22" fillId="0" borderId="0"/>
    <xf numFmtId="223" fontId="21" fillId="0" borderId="0"/>
    <xf numFmtId="223" fontId="21" fillId="28" borderId="11" applyNumberFormat="0" applyFont="0" applyAlignment="0" applyProtection="0"/>
    <xf numFmtId="223" fontId="21" fillId="28" borderId="11" applyNumberFormat="0" applyFont="0" applyAlignment="0" applyProtection="0"/>
    <xf numFmtId="223" fontId="21" fillId="28" borderId="11" applyNumberFormat="0" applyFont="0" applyAlignment="0" applyProtection="0"/>
    <xf numFmtId="223" fontId="64" fillId="28" borderId="11" applyNumberFormat="0" applyFont="0" applyAlignment="0" applyProtection="0"/>
    <xf numFmtId="223" fontId="21" fillId="28" borderId="11" applyNumberFormat="0" applyFont="0" applyAlignment="0" applyProtection="0"/>
    <xf numFmtId="223" fontId="21" fillId="28" borderId="11" applyNumberFormat="0" applyFont="0" applyAlignment="0" applyProtection="0"/>
    <xf numFmtId="223" fontId="44" fillId="0" borderId="0">
      <alignment horizontal="left"/>
    </xf>
    <xf numFmtId="223" fontId="61" fillId="25" borderId="12" applyNumberFormat="0" applyAlignment="0" applyProtection="0"/>
    <xf numFmtId="223" fontId="77" fillId="25" borderId="12" applyNumberFormat="0" applyAlignment="0" applyProtection="0"/>
    <xf numFmtId="223" fontId="41" fillId="0" borderId="5">
      <alignment horizontal="center" vertical="center"/>
    </xf>
    <xf numFmtId="223" fontId="21" fillId="0" borderId="0" applyNumberFormat="0" applyFill="0" applyBorder="0" applyAlignment="0" applyProtection="0"/>
    <xf numFmtId="223" fontId="45" fillId="0" borderId="0"/>
    <xf numFmtId="223" fontId="34" fillId="0" borderId="0" applyNumberFormat="0" applyFill="0" applyBorder="0" applyAlignment="0" applyProtection="0"/>
    <xf numFmtId="223" fontId="46" fillId="0" borderId="0"/>
    <xf numFmtId="223" fontId="39" fillId="0" borderId="13" applyNumberFormat="0" applyFill="0" applyAlignment="0" applyProtection="0"/>
    <xf numFmtId="223" fontId="39" fillId="0" borderId="13" applyNumberFormat="0" applyFill="0" applyAlignment="0" applyProtection="0"/>
    <xf numFmtId="223" fontId="78" fillId="0" borderId="13" applyNumberFormat="0" applyFill="0" applyAlignment="0" applyProtection="0"/>
    <xf numFmtId="223" fontId="62" fillId="0" borderId="0" applyNumberFormat="0" applyFill="0" applyBorder="0" applyAlignment="0" applyProtection="0"/>
    <xf numFmtId="223" fontId="79" fillId="0" borderId="0" applyNumberFormat="0" applyFill="0" applyBorder="0" applyAlignment="0" applyProtection="0"/>
    <xf numFmtId="223" fontId="114" fillId="0" borderId="34" applyNumberFormat="0" applyFont="0" applyFill="0" applyAlignment="0" applyProtection="0"/>
    <xf numFmtId="223" fontId="116" fillId="0" borderId="0" applyNumberFormat="0" applyFill="0" applyBorder="0" applyAlignment="0" applyProtection="0"/>
    <xf numFmtId="223" fontId="115" fillId="0" borderId="0" applyNumberFormat="0" applyFill="0" applyBorder="0" applyAlignment="0" applyProtection="0"/>
    <xf numFmtId="223" fontId="114" fillId="0" borderId="0" applyFont="0" applyFill="0" applyBorder="0" applyAlignment="0" applyProtection="0"/>
    <xf numFmtId="223" fontId="22" fillId="0" borderId="0">
      <alignment vertical="top"/>
    </xf>
    <xf numFmtId="223" fontId="21" fillId="0" borderId="0"/>
    <xf numFmtId="223" fontId="110" fillId="0" borderId="0" applyNumberFormat="0" applyFill="0" applyBorder="0" applyAlignment="0" applyProtection="0"/>
    <xf numFmtId="223" fontId="111" fillId="0" borderId="30" applyNumberFormat="0" applyFill="0" applyAlignment="0" applyProtection="0"/>
    <xf numFmtId="223" fontId="112" fillId="0" borderId="31" applyNumberFormat="0" applyFill="0" applyAlignment="0" applyProtection="0"/>
    <xf numFmtId="223" fontId="99" fillId="0" borderId="32" applyNumberFormat="0" applyFill="0" applyAlignment="0" applyProtection="0"/>
    <xf numFmtId="223" fontId="99" fillId="0" borderId="0" applyNumberFormat="0" applyFill="0" applyBorder="0" applyAlignment="0" applyProtection="0"/>
    <xf numFmtId="223" fontId="100" fillId="32" borderId="0" applyNumberFormat="0" applyBorder="0" applyAlignment="0" applyProtection="0"/>
    <xf numFmtId="223" fontId="101" fillId="33" borderId="0" applyNumberFormat="0" applyBorder="0" applyAlignment="0" applyProtection="0"/>
    <xf numFmtId="223" fontId="102" fillId="34" borderId="0" applyNumberFormat="0" applyBorder="0" applyAlignment="0" applyProtection="0"/>
    <xf numFmtId="223" fontId="2" fillId="62" borderId="2" applyNumberFormat="0" applyAlignment="0" applyProtection="0"/>
    <xf numFmtId="223" fontId="103" fillId="35" borderId="25" applyNumberFormat="0" applyAlignment="0" applyProtection="0"/>
    <xf numFmtId="223" fontId="104" fillId="35" borderId="2" applyNumberFormat="0" applyAlignment="0" applyProtection="0"/>
    <xf numFmtId="223" fontId="105" fillId="0" borderId="26" applyNumberFormat="0" applyFill="0" applyAlignment="0" applyProtection="0"/>
    <xf numFmtId="223" fontId="106" fillId="36" borderId="27" applyNumberFormat="0" applyAlignment="0" applyProtection="0"/>
    <xf numFmtId="223" fontId="107" fillId="0" borderId="0" applyNumberFormat="0" applyFill="0" applyBorder="0" applyAlignment="0" applyProtection="0"/>
    <xf numFmtId="223" fontId="1" fillId="37" borderId="28" applyNumberFormat="0" applyFont="0" applyAlignment="0" applyProtection="0"/>
    <xf numFmtId="223" fontId="108" fillId="0" borderId="0" applyNumberFormat="0" applyFill="0" applyBorder="0" applyAlignment="0" applyProtection="0"/>
    <xf numFmtId="223" fontId="3" fillId="0" borderId="29" applyNumberFormat="0" applyFill="0" applyAlignment="0" applyProtection="0"/>
    <xf numFmtId="223" fontId="109" fillId="38" borderId="0" applyNumberFormat="0" applyBorder="0" applyAlignment="0" applyProtection="0"/>
    <xf numFmtId="223" fontId="1" fillId="39" borderId="0" applyNumberFormat="0" applyBorder="0" applyAlignment="0" applyProtection="0"/>
    <xf numFmtId="223" fontId="1" fillId="40" borderId="0" applyNumberFormat="0" applyBorder="0" applyAlignment="0" applyProtection="0"/>
    <xf numFmtId="223" fontId="109" fillId="41" borderId="0" applyNumberFormat="0" applyBorder="0" applyAlignment="0" applyProtection="0"/>
    <xf numFmtId="223" fontId="109" fillId="42" borderId="0" applyNumberFormat="0" applyBorder="0" applyAlignment="0" applyProtection="0"/>
    <xf numFmtId="223" fontId="1" fillId="43" borderId="0" applyNumberFormat="0" applyBorder="0" applyAlignment="0" applyProtection="0"/>
    <xf numFmtId="223" fontId="1" fillId="44" borderId="0" applyNumberFormat="0" applyBorder="0" applyAlignment="0" applyProtection="0"/>
    <xf numFmtId="223" fontId="109" fillId="45" borderId="0" applyNumberFormat="0" applyBorder="0" applyAlignment="0" applyProtection="0"/>
    <xf numFmtId="223" fontId="109" fillId="46" borderId="0" applyNumberFormat="0" applyBorder="0" applyAlignment="0" applyProtection="0"/>
    <xf numFmtId="223" fontId="1" fillId="47" borderId="0" applyNumberFormat="0" applyBorder="0" applyAlignment="0" applyProtection="0"/>
    <xf numFmtId="223" fontId="1" fillId="48" borderId="0" applyNumberFormat="0" applyBorder="0" applyAlignment="0" applyProtection="0"/>
    <xf numFmtId="223" fontId="109" fillId="49" borderId="0" applyNumberFormat="0" applyBorder="0" applyAlignment="0" applyProtection="0"/>
    <xf numFmtId="223" fontId="109" fillId="50" borderId="0" applyNumberFormat="0" applyBorder="0" applyAlignment="0" applyProtection="0"/>
    <xf numFmtId="223" fontId="1" fillId="51" borderId="0" applyNumberFormat="0" applyBorder="0" applyAlignment="0" applyProtection="0"/>
    <xf numFmtId="223" fontId="1" fillId="52" borderId="0" applyNumberFormat="0" applyBorder="0" applyAlignment="0" applyProtection="0"/>
    <xf numFmtId="223" fontId="109" fillId="53" borderId="0" applyNumberFormat="0" applyBorder="0" applyAlignment="0" applyProtection="0"/>
    <xf numFmtId="223" fontId="109" fillId="54" borderId="0" applyNumberFormat="0" applyBorder="0" applyAlignment="0" applyProtection="0"/>
    <xf numFmtId="223" fontId="1" fillId="55" borderId="0" applyNumberFormat="0" applyBorder="0" applyAlignment="0" applyProtection="0"/>
    <xf numFmtId="223" fontId="1" fillId="56" borderId="0" applyNumberFormat="0" applyBorder="0" applyAlignment="0" applyProtection="0"/>
    <xf numFmtId="223" fontId="109" fillId="57" borderId="0" applyNumberFormat="0" applyBorder="0" applyAlignment="0" applyProtection="0"/>
    <xf numFmtId="223" fontId="109" fillId="58" borderId="0" applyNumberFormat="0" applyBorder="0" applyAlignment="0" applyProtection="0"/>
    <xf numFmtId="223" fontId="1" fillId="59" borderId="0" applyNumberFormat="0" applyBorder="0" applyAlignment="0" applyProtection="0"/>
    <xf numFmtId="223" fontId="1" fillId="60" borderId="0" applyNumberFormat="0" applyBorder="0" applyAlignment="0" applyProtection="0"/>
    <xf numFmtId="223" fontId="109" fillId="61" borderId="0" applyNumberFormat="0" applyBorder="0" applyAlignment="0" applyProtection="0"/>
    <xf numFmtId="223" fontId="21" fillId="0" borderId="0"/>
    <xf numFmtId="223" fontId="21" fillId="0" borderId="0"/>
    <xf numFmtId="223" fontId="21" fillId="0" borderId="0"/>
    <xf numFmtId="223" fontId="41" fillId="0" borderId="0"/>
    <xf numFmtId="223" fontId="41" fillId="0" borderId="0"/>
    <xf numFmtId="223" fontId="41" fillId="0" borderId="0"/>
    <xf numFmtId="223" fontId="41" fillId="0" borderId="0"/>
    <xf numFmtId="223" fontId="41" fillId="0" borderId="0"/>
    <xf numFmtId="223" fontId="41" fillId="0" borderId="0"/>
    <xf numFmtId="223" fontId="41" fillId="0" borderId="0"/>
    <xf numFmtId="223" fontId="41" fillId="0" borderId="0"/>
    <xf numFmtId="223" fontId="41" fillId="0" borderId="0"/>
    <xf numFmtId="223" fontId="41" fillId="0" borderId="0"/>
    <xf numFmtId="223" fontId="21" fillId="0" borderId="0"/>
    <xf numFmtId="223" fontId="21" fillId="0" borderId="0"/>
    <xf numFmtId="223" fontId="21" fillId="0" borderId="0"/>
    <xf numFmtId="223" fontId="21" fillId="0" borderId="0"/>
    <xf numFmtId="223" fontId="21" fillId="0" borderId="0"/>
    <xf numFmtId="223" fontId="21" fillId="0" borderId="0"/>
    <xf numFmtId="223" fontId="21" fillId="0" borderId="0"/>
    <xf numFmtId="223" fontId="21" fillId="0" borderId="0"/>
    <xf numFmtId="223" fontId="21" fillId="0" borderId="0"/>
    <xf numFmtId="223" fontId="21" fillId="0" borderId="0"/>
    <xf numFmtId="223" fontId="21" fillId="0" borderId="0"/>
    <xf numFmtId="223" fontId="21" fillId="0" borderId="0"/>
    <xf numFmtId="223" fontId="21" fillId="0" borderId="0"/>
    <xf numFmtId="223" fontId="21" fillId="0" borderId="0"/>
    <xf numFmtId="223" fontId="21" fillId="0" borderId="0"/>
    <xf numFmtId="223" fontId="21" fillId="0" borderId="0"/>
    <xf numFmtId="223" fontId="21" fillId="0" borderId="0"/>
    <xf numFmtId="223" fontId="21" fillId="0" borderId="0"/>
    <xf numFmtId="223" fontId="21" fillId="0" borderId="0"/>
    <xf numFmtId="223" fontId="21" fillId="0" borderId="0"/>
    <xf numFmtId="223" fontId="21" fillId="0" borderId="0"/>
    <xf numFmtId="223" fontId="21" fillId="0" borderId="0"/>
    <xf numFmtId="223" fontId="21" fillId="0" borderId="0"/>
    <xf numFmtId="223" fontId="21" fillId="0" borderId="0"/>
    <xf numFmtId="223" fontId="21" fillId="0" borderId="0"/>
    <xf numFmtId="223" fontId="21" fillId="0" borderId="0"/>
    <xf numFmtId="223" fontId="21" fillId="0" borderId="0"/>
    <xf numFmtId="223" fontId="41" fillId="0" borderId="0"/>
    <xf numFmtId="223" fontId="41" fillId="0" borderId="0"/>
    <xf numFmtId="223" fontId="41" fillId="0" borderId="0"/>
    <xf numFmtId="223" fontId="20" fillId="0" borderId="0"/>
    <xf numFmtId="223" fontId="41" fillId="0" borderId="0"/>
    <xf numFmtId="223" fontId="20" fillId="0" borderId="0"/>
    <xf numFmtId="223" fontId="20" fillId="0" borderId="0"/>
    <xf numFmtId="223" fontId="20" fillId="0" borderId="0"/>
    <xf numFmtId="223" fontId="41" fillId="0" borderId="0"/>
    <xf numFmtId="223" fontId="41" fillId="0" borderId="0"/>
    <xf numFmtId="223" fontId="20" fillId="0" borderId="0"/>
    <xf numFmtId="223" fontId="20" fillId="0" borderId="0"/>
    <xf numFmtId="223" fontId="20" fillId="0" borderId="0"/>
    <xf numFmtId="223" fontId="20" fillId="0" borderId="0"/>
    <xf numFmtId="223" fontId="20" fillId="0" borderId="0"/>
    <xf numFmtId="223" fontId="20" fillId="0" borderId="0"/>
    <xf numFmtId="223" fontId="20" fillId="0" borderId="0"/>
    <xf numFmtId="223" fontId="20" fillId="0" borderId="0"/>
    <xf numFmtId="223" fontId="20" fillId="0" borderId="0"/>
    <xf numFmtId="223" fontId="41" fillId="0" borderId="0"/>
    <xf numFmtId="223" fontId="20" fillId="0" borderId="0"/>
    <xf numFmtId="223" fontId="41" fillId="0" borderId="0"/>
    <xf numFmtId="223" fontId="41" fillId="0" borderId="0"/>
    <xf numFmtId="223" fontId="41" fillId="0" borderId="0"/>
    <xf numFmtId="223" fontId="20" fillId="0" borderId="0"/>
    <xf numFmtId="223" fontId="20" fillId="0" borderId="0"/>
    <xf numFmtId="223" fontId="41" fillId="0" borderId="0"/>
    <xf numFmtId="223" fontId="41" fillId="0" borderId="0"/>
    <xf numFmtId="223" fontId="41" fillId="0" borderId="0"/>
    <xf numFmtId="223" fontId="20" fillId="0" borderId="0"/>
    <xf numFmtId="223" fontId="20" fillId="0" borderId="0"/>
    <xf numFmtId="223" fontId="20" fillId="0" borderId="0"/>
    <xf numFmtId="223" fontId="20" fillId="0" borderId="0"/>
    <xf numFmtId="223" fontId="20" fillId="0" borderId="0"/>
    <xf numFmtId="223" fontId="88" fillId="0" borderId="0"/>
    <xf numFmtId="223" fontId="88" fillId="0" borderId="0"/>
    <xf numFmtId="223" fontId="21" fillId="0" borderId="0"/>
    <xf numFmtId="223" fontId="21" fillId="0" borderId="0"/>
    <xf numFmtId="223" fontId="21" fillId="0" borderId="0"/>
    <xf numFmtId="223" fontId="21" fillId="0" borderId="0"/>
    <xf numFmtId="223" fontId="21" fillId="0" borderId="0"/>
    <xf numFmtId="223" fontId="21" fillId="0" borderId="0"/>
    <xf numFmtId="223" fontId="41" fillId="0" borderId="0"/>
    <xf numFmtId="223" fontId="41" fillId="0" borderId="0"/>
    <xf numFmtId="223" fontId="41" fillId="0" borderId="0"/>
    <xf numFmtId="223" fontId="41" fillId="0" borderId="0"/>
    <xf numFmtId="223" fontId="41" fillId="0" borderId="0"/>
    <xf numFmtId="223" fontId="41" fillId="0" borderId="0"/>
    <xf numFmtId="223" fontId="41" fillId="0" borderId="0"/>
    <xf numFmtId="223" fontId="41" fillId="0" borderId="0"/>
    <xf numFmtId="223" fontId="41" fillId="0" borderId="0"/>
    <xf numFmtId="223" fontId="41" fillId="0" borderId="0"/>
    <xf numFmtId="223" fontId="41" fillId="0" borderId="0"/>
    <xf numFmtId="223" fontId="41" fillId="0" borderId="0"/>
    <xf numFmtId="223" fontId="41" fillId="0" borderId="0"/>
    <xf numFmtId="223" fontId="41" fillId="0" borderId="0"/>
    <xf numFmtId="223" fontId="41" fillId="0" borderId="0"/>
    <xf numFmtId="223" fontId="41" fillId="0" borderId="0"/>
    <xf numFmtId="223" fontId="41" fillId="0" borderId="0"/>
    <xf numFmtId="223" fontId="41" fillId="0" borderId="0"/>
    <xf numFmtId="223" fontId="42" fillId="0" borderId="0"/>
    <xf numFmtId="223" fontId="21" fillId="0" borderId="0" applyBorder="0"/>
    <xf numFmtId="223" fontId="38" fillId="0" borderId="0"/>
    <xf numFmtId="223" fontId="21" fillId="0" borderId="0" applyFont="0" applyFill="0" applyBorder="0" applyAlignment="0" applyProtection="0"/>
    <xf numFmtId="223" fontId="37" fillId="0" borderId="0" applyNumberFormat="0" applyFill="0" applyBorder="0" applyAlignment="0" applyProtection="0">
      <alignment vertical="top"/>
      <protection locked="0"/>
    </xf>
    <xf numFmtId="223" fontId="20" fillId="0" borderId="0"/>
    <xf numFmtId="223" fontId="20" fillId="0" borderId="0"/>
    <xf numFmtId="223" fontId="20" fillId="0" borderId="0"/>
    <xf numFmtId="223" fontId="41" fillId="0" borderId="0"/>
    <xf numFmtId="223" fontId="20" fillId="0" borderId="0"/>
    <xf numFmtId="223" fontId="20" fillId="0" borderId="0"/>
    <xf numFmtId="223" fontId="20" fillId="0" borderId="0"/>
    <xf numFmtId="223" fontId="20" fillId="0" borderId="0"/>
    <xf numFmtId="223" fontId="20" fillId="0" borderId="0"/>
    <xf numFmtId="223" fontId="20" fillId="0" borderId="0"/>
    <xf numFmtId="223" fontId="21" fillId="0" borderId="0" applyNumberFormat="0" applyFill="0" applyBorder="0" applyAlignment="0" applyProtection="0"/>
    <xf numFmtId="223" fontId="21" fillId="0" borderId="0" applyFont="0" applyFill="0" applyBorder="0" applyAlignment="0" applyProtection="0"/>
    <xf numFmtId="223" fontId="21" fillId="0" borderId="0" applyFont="0" applyFill="0" applyBorder="0" applyAlignment="0" applyProtection="0"/>
    <xf numFmtId="223" fontId="21" fillId="0" borderId="0" applyFont="0" applyFill="0" applyBorder="0" applyAlignment="0" applyProtection="0"/>
    <xf numFmtId="223" fontId="21" fillId="0" borderId="0"/>
    <xf numFmtId="223" fontId="38" fillId="7" borderId="0" applyNumberFormat="0" applyBorder="0" applyAlignment="0" applyProtection="0"/>
    <xf numFmtId="223" fontId="1" fillId="7" borderId="0" applyNumberFormat="0" applyBorder="0" applyAlignment="0" applyProtection="0"/>
    <xf numFmtId="223" fontId="83" fillId="39" borderId="0" applyNumberFormat="0" applyBorder="0" applyAlignment="0" applyProtection="0"/>
    <xf numFmtId="223" fontId="38" fillId="8" borderId="0" applyNumberFormat="0" applyBorder="0" applyAlignment="0" applyProtection="0"/>
    <xf numFmtId="223" fontId="1" fillId="8" borderId="0" applyNumberFormat="0" applyBorder="0" applyAlignment="0" applyProtection="0"/>
    <xf numFmtId="223" fontId="83" fillId="43" borderId="0" applyNumberFormat="0" applyBorder="0" applyAlignment="0" applyProtection="0"/>
    <xf numFmtId="223" fontId="38" fillId="9" borderId="0" applyNumberFormat="0" applyBorder="0" applyAlignment="0" applyProtection="0"/>
    <xf numFmtId="223" fontId="1" fillId="9" borderId="0" applyNumberFormat="0" applyBorder="0" applyAlignment="0" applyProtection="0"/>
    <xf numFmtId="223" fontId="83" fillId="47" borderId="0" applyNumberFormat="0" applyBorder="0" applyAlignment="0" applyProtection="0"/>
    <xf numFmtId="223" fontId="38" fillId="10" borderId="0" applyNumberFormat="0" applyBorder="0" applyAlignment="0" applyProtection="0"/>
    <xf numFmtId="223" fontId="1" fillId="10" borderId="0" applyNumberFormat="0" applyBorder="0" applyAlignment="0" applyProtection="0"/>
    <xf numFmtId="223" fontId="83" fillId="51" borderId="0" applyNumberFormat="0" applyBorder="0" applyAlignment="0" applyProtection="0"/>
    <xf numFmtId="223" fontId="38" fillId="11" borderId="0" applyNumberFormat="0" applyBorder="0" applyAlignment="0" applyProtection="0"/>
    <xf numFmtId="223" fontId="83" fillId="55" borderId="0" applyNumberFormat="0" applyBorder="0" applyAlignment="0" applyProtection="0"/>
    <xf numFmtId="223" fontId="38" fillId="12" borderId="0" applyNumberFormat="0" applyBorder="0" applyAlignment="0" applyProtection="0"/>
    <xf numFmtId="223" fontId="1" fillId="25" borderId="0" applyNumberFormat="0" applyBorder="0" applyAlignment="0" applyProtection="0"/>
    <xf numFmtId="223" fontId="83" fillId="59" borderId="0" applyNumberFormat="0" applyBorder="0" applyAlignment="0" applyProtection="0"/>
    <xf numFmtId="223" fontId="38" fillId="13" borderId="0" applyNumberFormat="0" applyBorder="0" applyAlignment="0" applyProtection="0"/>
    <xf numFmtId="223" fontId="1" fillId="13" borderId="0" applyNumberFormat="0" applyBorder="0" applyAlignment="0" applyProtection="0"/>
    <xf numFmtId="223" fontId="83" fillId="40" borderId="0" applyNumberFormat="0" applyBorder="0" applyAlignment="0" applyProtection="0"/>
    <xf numFmtId="223" fontId="38" fillId="14" borderId="0" applyNumberFormat="0" applyBorder="0" applyAlignment="0" applyProtection="0"/>
    <xf numFmtId="223" fontId="83" fillId="44" borderId="0" applyNumberFormat="0" applyBorder="0" applyAlignment="0" applyProtection="0"/>
    <xf numFmtId="223" fontId="38" fillId="15" borderId="0" applyNumberFormat="0" applyBorder="0" applyAlignment="0" applyProtection="0"/>
    <xf numFmtId="223" fontId="1" fillId="15" borderId="0" applyNumberFormat="0" applyBorder="0" applyAlignment="0" applyProtection="0"/>
    <xf numFmtId="223" fontId="83" fillId="48" borderId="0" applyNumberFormat="0" applyBorder="0" applyAlignment="0" applyProtection="0"/>
    <xf numFmtId="223" fontId="38" fillId="10" borderId="0" applyNumberFormat="0" applyBorder="0" applyAlignment="0" applyProtection="0"/>
    <xf numFmtId="223" fontId="1" fillId="10" borderId="0" applyNumberFormat="0" applyBorder="0" applyAlignment="0" applyProtection="0"/>
    <xf numFmtId="223" fontId="83" fillId="52" borderId="0" applyNumberFormat="0" applyBorder="0" applyAlignment="0" applyProtection="0"/>
    <xf numFmtId="223" fontId="38" fillId="13" borderId="0" applyNumberFormat="0" applyBorder="0" applyAlignment="0" applyProtection="0"/>
    <xf numFmtId="223" fontId="1" fillId="13" borderId="0" applyNumberFormat="0" applyBorder="0" applyAlignment="0" applyProtection="0"/>
    <xf numFmtId="223" fontId="83" fillId="56" borderId="0" applyNumberFormat="0" applyBorder="0" applyAlignment="0" applyProtection="0"/>
    <xf numFmtId="223" fontId="38" fillId="16" borderId="0" applyNumberFormat="0" applyBorder="0" applyAlignment="0" applyProtection="0"/>
    <xf numFmtId="223" fontId="1" fillId="16" borderId="0" applyNumberFormat="0" applyBorder="0" applyAlignment="0" applyProtection="0"/>
    <xf numFmtId="223" fontId="83" fillId="60" borderId="0" applyNumberFormat="0" applyBorder="0" applyAlignment="0" applyProtection="0"/>
    <xf numFmtId="223" fontId="49" fillId="17" borderId="0" applyNumberFormat="0" applyBorder="0" applyAlignment="0" applyProtection="0"/>
    <xf numFmtId="223" fontId="109" fillId="17" borderId="0" applyNumberFormat="0" applyBorder="0" applyAlignment="0" applyProtection="0"/>
    <xf numFmtId="223" fontId="123" fillId="41" borderId="0" applyNumberFormat="0" applyBorder="0" applyAlignment="0" applyProtection="0"/>
    <xf numFmtId="223" fontId="49" fillId="14" borderId="0" applyNumberFormat="0" applyBorder="0" applyAlignment="0" applyProtection="0"/>
    <xf numFmtId="223" fontId="109" fillId="14" borderId="0" applyNumberFormat="0" applyBorder="0" applyAlignment="0" applyProtection="0"/>
    <xf numFmtId="223" fontId="123" fillId="45" borderId="0" applyNumberFormat="0" applyBorder="0" applyAlignment="0" applyProtection="0"/>
    <xf numFmtId="223" fontId="49" fillId="15" borderId="0" applyNumberFormat="0" applyBorder="0" applyAlignment="0" applyProtection="0"/>
    <xf numFmtId="223" fontId="109" fillId="15" borderId="0" applyNumberFormat="0" applyBorder="0" applyAlignment="0" applyProtection="0"/>
    <xf numFmtId="223" fontId="123" fillId="49" borderId="0" applyNumberFormat="0" applyBorder="0" applyAlignment="0" applyProtection="0"/>
    <xf numFmtId="223" fontId="49" fillId="18" borderId="0" applyNumberFormat="0" applyBorder="0" applyAlignment="0" applyProtection="0"/>
    <xf numFmtId="223" fontId="109" fillId="18" borderId="0" applyNumberFormat="0" applyBorder="0" applyAlignment="0" applyProtection="0"/>
    <xf numFmtId="223" fontId="123" fillId="53" borderId="0" applyNumberFormat="0" applyBorder="0" applyAlignment="0" applyProtection="0"/>
    <xf numFmtId="223" fontId="49" fillId="19" borderId="0" applyNumberFormat="0" applyBorder="0" applyAlignment="0" applyProtection="0"/>
    <xf numFmtId="223" fontId="109" fillId="19" borderId="0" applyNumberFormat="0" applyBorder="0" applyAlignment="0" applyProtection="0"/>
    <xf numFmtId="223" fontId="123" fillId="57" borderId="0" applyNumberFormat="0" applyBorder="0" applyAlignment="0" applyProtection="0"/>
    <xf numFmtId="223" fontId="49" fillId="20" borderId="0" applyNumberFormat="0" applyBorder="0" applyAlignment="0" applyProtection="0"/>
    <xf numFmtId="223" fontId="109" fillId="20" borderId="0" applyNumberFormat="0" applyBorder="0" applyAlignment="0" applyProtection="0"/>
    <xf numFmtId="223" fontId="123" fillId="61" borderId="0" applyNumberFormat="0" applyBorder="0" applyAlignment="0" applyProtection="0"/>
    <xf numFmtId="223" fontId="49" fillId="21" borderId="0" applyNumberFormat="0" applyBorder="0" applyAlignment="0" applyProtection="0"/>
    <xf numFmtId="223" fontId="109" fillId="21" borderId="0" applyNumberFormat="0" applyBorder="0" applyAlignment="0" applyProtection="0"/>
    <xf numFmtId="223" fontId="123" fillId="38" borderId="0" applyNumberFormat="0" applyBorder="0" applyAlignment="0" applyProtection="0"/>
    <xf numFmtId="223" fontId="49" fillId="22" borderId="0" applyNumberFormat="0" applyBorder="0" applyAlignment="0" applyProtection="0"/>
    <xf numFmtId="223" fontId="109" fillId="22" borderId="0" applyNumberFormat="0" applyBorder="0" applyAlignment="0" applyProtection="0"/>
    <xf numFmtId="223" fontId="123" fillId="42" borderId="0" applyNumberFormat="0" applyBorder="0" applyAlignment="0" applyProtection="0"/>
    <xf numFmtId="223" fontId="49" fillId="23" borderId="0" applyNumberFormat="0" applyBorder="0" applyAlignment="0" applyProtection="0"/>
    <xf numFmtId="223" fontId="109" fillId="23" borderId="0" applyNumberFormat="0" applyBorder="0" applyAlignment="0" applyProtection="0"/>
    <xf numFmtId="223" fontId="123" fillId="46" borderId="0" applyNumberFormat="0" applyBorder="0" applyAlignment="0" applyProtection="0"/>
    <xf numFmtId="223" fontId="49" fillId="18" borderId="0" applyNumberFormat="0" applyBorder="0" applyAlignment="0" applyProtection="0"/>
    <xf numFmtId="223" fontId="109" fillId="18" borderId="0" applyNumberFormat="0" applyBorder="0" applyAlignment="0" applyProtection="0"/>
    <xf numFmtId="223" fontId="123" fillId="50" borderId="0" applyNumberFormat="0" applyBorder="0" applyAlignment="0" applyProtection="0"/>
    <xf numFmtId="223" fontId="49" fillId="19" borderId="0" applyNumberFormat="0" applyBorder="0" applyAlignment="0" applyProtection="0"/>
    <xf numFmtId="223" fontId="123" fillId="54" borderId="0" applyNumberFormat="0" applyBorder="0" applyAlignment="0" applyProtection="0"/>
    <xf numFmtId="223" fontId="49" fillId="24" borderId="0" applyNumberFormat="0" applyBorder="0" applyAlignment="0" applyProtection="0"/>
    <xf numFmtId="223" fontId="109" fillId="24" borderId="0" applyNumberFormat="0" applyBorder="0" applyAlignment="0" applyProtection="0"/>
    <xf numFmtId="223" fontId="123" fillId="58" borderId="0" applyNumberFormat="0" applyBorder="0" applyAlignment="0" applyProtection="0"/>
    <xf numFmtId="223" fontId="50" fillId="8" borderId="0" applyNumberFormat="0" applyBorder="0" applyAlignment="0" applyProtection="0"/>
    <xf numFmtId="223" fontId="101" fillId="8" borderId="0" applyNumberFormat="0" applyBorder="0" applyAlignment="0" applyProtection="0"/>
    <xf numFmtId="223" fontId="124" fillId="33" borderId="0" applyNumberFormat="0" applyBorder="0" applyAlignment="0" applyProtection="0"/>
    <xf numFmtId="223" fontId="51" fillId="25" borderId="7" applyNumberFormat="0" applyAlignment="0" applyProtection="0"/>
    <xf numFmtId="223" fontId="125" fillId="25" borderId="2" applyNumberFormat="0" applyAlignment="0" applyProtection="0"/>
    <xf numFmtId="223" fontId="126" fillId="35" borderId="2" applyNumberFormat="0" applyAlignment="0" applyProtection="0"/>
    <xf numFmtId="223" fontId="52" fillId="26" borderId="8" applyNumberFormat="0" applyAlignment="0" applyProtection="0"/>
    <xf numFmtId="223" fontId="127" fillId="36" borderId="27" applyNumberFormat="0" applyAlignment="0" applyProtection="0"/>
    <xf numFmtId="223" fontId="53" fillId="0" borderId="0" applyNumberFormat="0" applyFill="0" applyBorder="0" applyAlignment="0" applyProtection="0"/>
    <xf numFmtId="223" fontId="128" fillId="0" borderId="0" applyNumberFormat="0" applyFill="0" applyBorder="0" applyAlignment="0" applyProtection="0"/>
    <xf numFmtId="223" fontId="54" fillId="9" borderId="0" applyNumberFormat="0" applyBorder="0" applyAlignment="0" applyProtection="0"/>
    <xf numFmtId="223" fontId="100" fillId="9" borderId="0" applyNumberFormat="0" applyBorder="0" applyAlignment="0" applyProtection="0"/>
    <xf numFmtId="223" fontId="129" fillId="32" borderId="0" applyNumberFormat="0" applyBorder="0" applyAlignment="0" applyProtection="0"/>
    <xf numFmtId="223" fontId="117" fillId="0" borderId="0" applyFill="0" applyBorder="0"/>
    <xf numFmtId="223" fontId="117" fillId="0" borderId="0" applyFill="0" applyBorder="0"/>
    <xf numFmtId="223" fontId="118" fillId="0" borderId="0" applyFill="0" applyBorder="0"/>
    <xf numFmtId="223" fontId="118" fillId="0" borderId="0" applyFill="0" applyBorder="0"/>
    <xf numFmtId="223" fontId="113" fillId="0" borderId="0" applyFill="0" applyBorder="0"/>
    <xf numFmtId="223" fontId="113" fillId="0" borderId="0" applyFill="0" applyBorder="0"/>
    <xf numFmtId="223" fontId="119" fillId="0" borderId="0" applyFill="0" applyBorder="0"/>
    <xf numFmtId="223" fontId="119" fillId="0" borderId="0" applyFill="0" applyBorder="0"/>
    <xf numFmtId="223" fontId="55" fillId="0" borderId="23" applyNumberFormat="0" applyFill="0" applyAlignment="0" applyProtection="0"/>
    <xf numFmtId="223" fontId="130" fillId="0" borderId="30" applyNumberFormat="0" applyFill="0" applyAlignment="0" applyProtection="0"/>
    <xf numFmtId="223" fontId="56" fillId="0" borderId="24" applyNumberFormat="0" applyFill="0" applyAlignment="0" applyProtection="0"/>
    <xf numFmtId="223" fontId="131" fillId="0" borderId="31" applyNumberFormat="0" applyFill="0" applyAlignment="0" applyProtection="0"/>
    <xf numFmtId="223" fontId="57" fillId="0" borderId="9" applyNumberFormat="0" applyFill="0" applyAlignment="0" applyProtection="0"/>
    <xf numFmtId="223" fontId="132" fillId="0" borderId="32" applyNumberFormat="0" applyFill="0" applyAlignment="0" applyProtection="0"/>
    <xf numFmtId="223" fontId="57" fillId="0" borderId="0" applyNumberFormat="0" applyFill="0" applyBorder="0" applyAlignment="0" applyProtection="0"/>
    <xf numFmtId="223" fontId="132" fillId="0" borderId="0" applyNumberFormat="0" applyFill="0" applyBorder="0" applyAlignment="0" applyProtection="0"/>
    <xf numFmtId="223" fontId="121" fillId="0" borderId="0" applyFill="0" applyBorder="0">
      <alignment horizontal="left"/>
      <protection hidden="1"/>
    </xf>
    <xf numFmtId="223" fontId="121" fillId="0" borderId="0" applyFill="0" applyBorder="0">
      <alignment horizontal="left" indent="1"/>
      <protection hidden="1"/>
    </xf>
    <xf numFmtId="223" fontId="121" fillId="0" borderId="0" applyFill="0" applyBorder="0">
      <alignment horizontal="left" indent="2"/>
      <protection hidden="1"/>
    </xf>
    <xf numFmtId="223" fontId="121" fillId="0" borderId="0" applyFill="0" applyBorder="0">
      <alignment horizontal="left" indent="3"/>
      <protection hidden="1"/>
    </xf>
    <xf numFmtId="223" fontId="96" fillId="0" borderId="0" applyFill="0" applyBorder="0">
      <alignment vertical="top" wrapText="1"/>
      <protection locked="0"/>
    </xf>
    <xf numFmtId="223" fontId="58" fillId="12" borderId="7" applyNumberFormat="0" applyAlignment="0" applyProtection="0"/>
    <xf numFmtId="223" fontId="2" fillId="25" borderId="2" applyNumberFormat="0" applyAlignment="0" applyProtection="0"/>
    <xf numFmtId="223" fontId="133" fillId="62" borderId="2" applyNumberFormat="0" applyAlignment="0" applyProtection="0"/>
    <xf numFmtId="223" fontId="59" fillId="0" borderId="10" applyNumberFormat="0" applyFill="0" applyAlignment="0" applyProtection="0"/>
    <xf numFmtId="223" fontId="134" fillId="0" borderId="26" applyNumberFormat="0" applyFill="0" applyAlignment="0" applyProtection="0"/>
    <xf numFmtId="223" fontId="88" fillId="0" borderId="0" applyFill="0" applyBorder="0">
      <alignment vertical="top" wrapText="1"/>
    </xf>
    <xf numFmtId="223" fontId="88" fillId="0" borderId="0" applyFill="0" applyBorder="0">
      <alignment vertical="top" wrapText="1"/>
    </xf>
    <xf numFmtId="223" fontId="60" fillId="27" borderId="0" applyNumberFormat="0" applyBorder="0" applyAlignment="0" applyProtection="0"/>
    <xf numFmtId="223" fontId="135" fillId="34" borderId="0" applyNumberFormat="0" applyBorder="0" applyAlignment="0" applyProtection="0"/>
    <xf numFmtId="223" fontId="136" fillId="34" borderId="0" applyNumberFormat="0" applyBorder="0" applyAlignment="0" applyProtection="0"/>
    <xf numFmtId="223" fontId="21" fillId="0" borderId="0" applyBorder="0"/>
    <xf numFmtId="223" fontId="21" fillId="0" borderId="0" applyBorder="0"/>
    <xf numFmtId="223" fontId="21" fillId="0" borderId="0" applyBorder="0"/>
    <xf numFmtId="223" fontId="21" fillId="0" borderId="0" applyBorder="0"/>
    <xf numFmtId="223" fontId="21" fillId="0" borderId="0" applyBorder="0"/>
    <xf numFmtId="223" fontId="83" fillId="0" borderId="0"/>
    <xf numFmtId="223" fontId="21" fillId="0" borderId="0"/>
    <xf numFmtId="223" fontId="1" fillId="0" borderId="0"/>
    <xf numFmtId="223" fontId="21" fillId="0" borderId="0"/>
    <xf numFmtId="223" fontId="1" fillId="0" borderId="0"/>
    <xf numFmtId="223" fontId="21" fillId="0" borderId="0"/>
    <xf numFmtId="223" fontId="21" fillId="0" borderId="0"/>
    <xf numFmtId="223" fontId="21" fillId="0" borderId="0" applyBorder="0"/>
    <xf numFmtId="223" fontId="1" fillId="0" borderId="0"/>
    <xf numFmtId="223" fontId="21" fillId="0" borderId="0" applyBorder="0"/>
    <xf numFmtId="223" fontId="21" fillId="28" borderId="11" applyNumberFormat="0" applyFont="0" applyAlignment="0" applyProtection="0"/>
    <xf numFmtId="223" fontId="38" fillId="37" borderId="28" applyNumberFormat="0" applyFont="0" applyAlignment="0" applyProtection="0"/>
    <xf numFmtId="223" fontId="120" fillId="37" borderId="28" applyNumberFormat="0" applyFont="0" applyAlignment="0" applyProtection="0"/>
    <xf numFmtId="223" fontId="61" fillId="25" borderId="12" applyNumberFormat="0" applyAlignment="0" applyProtection="0"/>
    <xf numFmtId="223" fontId="103" fillId="25" borderId="25" applyNumberFormat="0" applyAlignment="0" applyProtection="0"/>
    <xf numFmtId="223" fontId="137" fillId="35" borderId="25" applyNumberFormat="0" applyAlignment="0" applyProtection="0"/>
    <xf numFmtId="223" fontId="119" fillId="0" borderId="0" applyFill="0" applyBorder="0">
      <alignment vertical="top"/>
    </xf>
    <xf numFmtId="223" fontId="119" fillId="0" borderId="0" applyFill="0" applyBorder="0">
      <alignment vertical="top"/>
    </xf>
    <xf numFmtId="223" fontId="119" fillId="0" borderId="0" applyFill="0" applyBorder="0">
      <alignment horizontal="left" vertical="top" indent="1"/>
    </xf>
    <xf numFmtId="223" fontId="119" fillId="0" borderId="0" applyFill="0" applyBorder="0">
      <alignment horizontal="left" vertical="top" indent="1"/>
    </xf>
    <xf numFmtId="223" fontId="119" fillId="0" borderId="0" applyFill="0" applyBorder="0">
      <alignment horizontal="left" vertical="top" indent="2"/>
    </xf>
    <xf numFmtId="223" fontId="119" fillId="0" borderId="0" applyFill="0" applyBorder="0">
      <alignment horizontal="left" vertical="top" indent="2"/>
    </xf>
    <xf numFmtId="223" fontId="119" fillId="0" borderId="0" applyFill="0" applyBorder="0">
      <alignment horizontal="left" vertical="top" indent="3"/>
    </xf>
    <xf numFmtId="223" fontId="119" fillId="0" borderId="0" applyFill="0" applyBorder="0">
      <alignment horizontal="left" vertical="top" indent="3"/>
    </xf>
    <xf numFmtId="223" fontId="88" fillId="0" borderId="0" applyFill="0" applyBorder="0">
      <alignment vertical="top"/>
    </xf>
    <xf numFmtId="223" fontId="88" fillId="0" borderId="0" applyFill="0" applyBorder="0">
      <alignment vertical="top"/>
    </xf>
    <xf numFmtId="223" fontId="88" fillId="0" borderId="0" applyFill="0" applyBorder="0">
      <alignment horizontal="left" vertical="top" indent="1"/>
    </xf>
    <xf numFmtId="223" fontId="88" fillId="0" borderId="0" applyFill="0" applyBorder="0">
      <alignment horizontal="left" vertical="top" indent="1"/>
    </xf>
    <xf numFmtId="223" fontId="88" fillId="0" borderId="0" applyFill="0" applyBorder="0">
      <alignment horizontal="left" vertical="top" indent="2"/>
    </xf>
    <xf numFmtId="223" fontId="88" fillId="0" borderId="0" applyFill="0" applyBorder="0">
      <alignment horizontal="left" vertical="top" indent="2"/>
    </xf>
    <xf numFmtId="223" fontId="88" fillId="0" borderId="0" applyFill="0" applyBorder="0">
      <alignment horizontal="left" vertical="top" indent="3"/>
    </xf>
    <xf numFmtId="223" fontId="88" fillId="0" borderId="0" applyFill="0" applyBorder="0">
      <alignment horizontal="left" vertical="top" indent="3"/>
    </xf>
    <xf numFmtId="223" fontId="88" fillId="0" borderId="0" applyFill="0" applyBorder="0">
      <alignment horizontal="left" vertical="top" indent="4"/>
    </xf>
    <xf numFmtId="223" fontId="88" fillId="0" borderId="0" applyFill="0" applyBorder="0">
      <alignment horizontal="left" vertical="top" indent="4"/>
    </xf>
    <xf numFmtId="223" fontId="34" fillId="0" borderId="0" applyNumberFormat="0" applyFill="0" applyBorder="0" applyAlignment="0" applyProtection="0"/>
    <xf numFmtId="223" fontId="110" fillId="0" borderId="0" applyNumberFormat="0" applyFill="0" applyBorder="0" applyAlignment="0" applyProtection="0"/>
    <xf numFmtId="223" fontId="39" fillId="0" borderId="13" applyNumberFormat="0" applyFill="0" applyAlignment="0" applyProtection="0"/>
    <xf numFmtId="223" fontId="3" fillId="0" borderId="13" applyNumberFormat="0" applyFill="0" applyAlignment="0" applyProtection="0"/>
    <xf numFmtId="223" fontId="138" fillId="0" borderId="29" applyNumberFormat="0" applyFill="0" applyAlignment="0" applyProtection="0"/>
    <xf numFmtId="223" fontId="88" fillId="0" borderId="0" applyFill="0" applyBorder="0">
      <alignment horizontal="center"/>
    </xf>
    <xf numFmtId="223" fontId="88" fillId="0" borderId="0" applyFill="0" applyBorder="0">
      <alignment horizontal="center"/>
    </xf>
    <xf numFmtId="223" fontId="88" fillId="0" borderId="0" applyFill="0" applyBorder="0">
      <alignment horizontal="center" wrapText="1"/>
    </xf>
    <xf numFmtId="223" fontId="88" fillId="0" borderId="0" applyFill="0" applyBorder="0">
      <alignment horizontal="center" wrapText="1"/>
    </xf>
    <xf numFmtId="223" fontId="62" fillId="0" borderId="0" applyNumberFormat="0" applyFill="0" applyBorder="0" applyAlignment="0" applyProtection="0"/>
    <xf numFmtId="223" fontId="139" fillId="0" borderId="0" applyNumberFormat="0" applyFill="0" applyBorder="0" applyAlignment="0" applyProtection="0"/>
    <xf numFmtId="223" fontId="48" fillId="0" borderId="0" applyNumberFormat="0" applyFill="0" applyBorder="0" applyAlignment="0" applyProtection="0">
      <alignment vertical="top"/>
      <protection locked="0"/>
    </xf>
    <xf numFmtId="223" fontId="48" fillId="0" borderId="0" applyNumberFormat="0" applyFill="0" applyBorder="0" applyAlignment="0" applyProtection="0">
      <alignment vertical="top"/>
      <protection locked="0"/>
    </xf>
    <xf numFmtId="223" fontId="48" fillId="0" borderId="0" applyNumberFormat="0" applyFill="0" applyBorder="0" applyAlignment="0" applyProtection="0">
      <alignment vertical="top"/>
      <protection locked="0"/>
    </xf>
    <xf numFmtId="223" fontId="21" fillId="0" borderId="0"/>
    <xf numFmtId="223" fontId="22" fillId="0" borderId="0">
      <alignment vertical="top"/>
    </xf>
    <xf numFmtId="223" fontId="115" fillId="0" borderId="0" applyNumberFormat="0" applyFill="0" applyBorder="0" applyAlignment="0" applyProtection="0"/>
    <xf numFmtId="223" fontId="116" fillId="0" borderId="0" applyNumberFormat="0" applyFill="0" applyBorder="0" applyAlignment="0" applyProtection="0"/>
    <xf numFmtId="223" fontId="114" fillId="0" borderId="34" applyNumberFormat="0" applyFont="0" applyFill="0" applyAlignment="0" applyProtection="0"/>
    <xf numFmtId="223" fontId="64" fillId="0" borderId="0"/>
    <xf numFmtId="223" fontId="21" fillId="28" borderId="11" applyNumberFormat="0" applyFont="0" applyAlignment="0" applyProtection="0"/>
    <xf numFmtId="223" fontId="22" fillId="7" borderId="0" applyNumberFormat="0" applyBorder="0" applyAlignment="0" applyProtection="0"/>
    <xf numFmtId="223" fontId="22" fillId="8" borderId="0" applyNumberFormat="0" applyBorder="0" applyAlignment="0" applyProtection="0"/>
    <xf numFmtId="223" fontId="22" fillId="9" borderId="0" applyNumberFormat="0" applyBorder="0" applyAlignment="0" applyProtection="0"/>
    <xf numFmtId="223" fontId="22" fillId="10" borderId="0" applyNumberFormat="0" applyBorder="0" applyAlignment="0" applyProtection="0"/>
    <xf numFmtId="223" fontId="22" fillId="11" borderId="0" applyNumberFormat="0" applyBorder="0" applyAlignment="0" applyProtection="0"/>
    <xf numFmtId="223" fontId="22" fillId="12" borderId="0" applyNumberFormat="0" applyBorder="0" applyAlignment="0" applyProtection="0"/>
    <xf numFmtId="223" fontId="22" fillId="13" borderId="0" applyNumberFormat="0" applyBorder="0" applyAlignment="0" applyProtection="0"/>
    <xf numFmtId="223" fontId="22" fillId="14" borderId="0" applyNumberFormat="0" applyBorder="0" applyAlignment="0" applyProtection="0"/>
    <xf numFmtId="223" fontId="22" fillId="15" borderId="0" applyNumberFormat="0" applyBorder="0" applyAlignment="0" applyProtection="0"/>
    <xf numFmtId="223" fontId="22" fillId="10" borderId="0" applyNumberFormat="0" applyBorder="0" applyAlignment="0" applyProtection="0"/>
    <xf numFmtId="223" fontId="22" fillId="13" borderId="0" applyNumberFormat="0" applyBorder="0" applyAlignment="0" applyProtection="0"/>
    <xf numFmtId="223" fontId="22" fillId="16" borderId="0" applyNumberFormat="0" applyBorder="0" applyAlignment="0" applyProtection="0"/>
    <xf numFmtId="223" fontId="23" fillId="17" borderId="0" applyNumberFormat="0" applyBorder="0" applyAlignment="0" applyProtection="0"/>
    <xf numFmtId="223" fontId="23" fillId="14" borderId="0" applyNumberFormat="0" applyBorder="0" applyAlignment="0" applyProtection="0"/>
    <xf numFmtId="223" fontId="23" fillId="15" borderId="0" applyNumberFormat="0" applyBorder="0" applyAlignment="0" applyProtection="0"/>
    <xf numFmtId="223" fontId="23" fillId="18" borderId="0" applyNumberFormat="0" applyBorder="0" applyAlignment="0" applyProtection="0"/>
    <xf numFmtId="223" fontId="23" fillId="19" borderId="0" applyNumberFormat="0" applyBorder="0" applyAlignment="0" applyProtection="0"/>
    <xf numFmtId="223" fontId="23" fillId="20" borderId="0" applyNumberFormat="0" applyBorder="0" applyAlignment="0" applyProtection="0"/>
    <xf numFmtId="223" fontId="23" fillId="21" borderId="0" applyNumberFormat="0" applyBorder="0" applyAlignment="0" applyProtection="0"/>
    <xf numFmtId="223" fontId="23" fillId="22" borderId="0" applyNumberFormat="0" applyBorder="0" applyAlignment="0" applyProtection="0"/>
    <xf numFmtId="223" fontId="23" fillId="23" borderId="0" applyNumberFormat="0" applyBorder="0" applyAlignment="0" applyProtection="0"/>
    <xf numFmtId="223" fontId="23" fillId="18" borderId="0" applyNumberFormat="0" applyBorder="0" applyAlignment="0" applyProtection="0"/>
    <xf numFmtId="223" fontId="23" fillId="19" borderId="0" applyNumberFormat="0" applyBorder="0" applyAlignment="0" applyProtection="0"/>
    <xf numFmtId="223" fontId="23" fillId="24" borderId="0" applyNumberFormat="0" applyBorder="0" applyAlignment="0" applyProtection="0"/>
    <xf numFmtId="223" fontId="24" fillId="8" borderId="0" applyNumberFormat="0" applyBorder="0" applyAlignment="0" applyProtection="0"/>
    <xf numFmtId="223" fontId="25" fillId="25" borderId="7" applyNumberFormat="0" applyAlignment="0" applyProtection="0"/>
    <xf numFmtId="223" fontId="26" fillId="26" borderId="8" applyNumberFormat="0" applyAlignment="0" applyProtection="0"/>
    <xf numFmtId="223" fontId="27" fillId="0" borderId="0" applyNumberFormat="0" applyFill="0" applyBorder="0" applyAlignment="0" applyProtection="0"/>
    <xf numFmtId="223" fontId="28" fillId="9" borderId="0" applyNumberFormat="0" applyBorder="0" applyAlignment="0" applyProtection="0"/>
    <xf numFmtId="223" fontId="84" fillId="0" borderId="23" applyNumberFormat="0" applyFill="0" applyAlignment="0" applyProtection="0"/>
    <xf numFmtId="223" fontId="85" fillId="0" borderId="24" applyNumberFormat="0" applyFill="0" applyAlignment="0" applyProtection="0"/>
    <xf numFmtId="223" fontId="29" fillId="0" borderId="9" applyNumberFormat="0" applyFill="0" applyAlignment="0" applyProtection="0"/>
    <xf numFmtId="223" fontId="29" fillId="0" borderId="0" applyNumberFormat="0" applyFill="0" applyBorder="0" applyAlignment="0" applyProtection="0"/>
    <xf numFmtId="223" fontId="140" fillId="0" borderId="0" applyNumberFormat="0" applyFill="0" applyBorder="0" applyAlignment="0" applyProtection="0">
      <alignment vertical="top"/>
      <protection locked="0"/>
    </xf>
    <xf numFmtId="223" fontId="86" fillId="12" borderId="7" applyNumberFormat="0" applyAlignment="0" applyProtection="0"/>
    <xf numFmtId="223" fontId="30" fillId="0" borderId="10" applyNumberFormat="0" applyFill="0" applyAlignment="0" applyProtection="0"/>
    <xf numFmtId="223" fontId="31" fillId="27" borderId="0" applyNumberFormat="0" applyBorder="0" applyAlignment="0" applyProtection="0"/>
    <xf numFmtId="223" fontId="20" fillId="0" borderId="0"/>
    <xf numFmtId="223" fontId="32" fillId="0" borderId="0"/>
    <xf numFmtId="223" fontId="20" fillId="0" borderId="0"/>
    <xf numFmtId="223" fontId="20" fillId="0" borderId="0"/>
    <xf numFmtId="223" fontId="20" fillId="0" borderId="0"/>
    <xf numFmtId="223" fontId="20" fillId="0" borderId="0"/>
    <xf numFmtId="223" fontId="20" fillId="0" borderId="0"/>
    <xf numFmtId="223" fontId="20" fillId="0" borderId="0"/>
    <xf numFmtId="223" fontId="20" fillId="0" borderId="0"/>
    <xf numFmtId="223" fontId="22" fillId="28" borderId="11" applyNumberFormat="0" applyFont="0" applyAlignment="0" applyProtection="0"/>
    <xf numFmtId="223" fontId="33" fillId="25" borderId="12" applyNumberFormat="0" applyAlignment="0" applyProtection="0"/>
    <xf numFmtId="223" fontId="35" fillId="0" borderId="13" applyNumberFormat="0" applyFill="0" applyAlignment="0" applyProtection="0"/>
    <xf numFmtId="223" fontId="36" fillId="0" borderId="0" applyNumberFormat="0" applyFill="0" applyBorder="0" applyAlignment="0" applyProtection="0"/>
    <xf numFmtId="223" fontId="141" fillId="0" borderId="0"/>
    <xf numFmtId="223" fontId="141" fillId="30" borderId="35">
      <alignment vertical="top" wrapText="1"/>
      <protection locked="0"/>
    </xf>
    <xf numFmtId="223" fontId="143" fillId="30" borderId="35" applyNumberFormat="0">
      <protection locked="0"/>
    </xf>
    <xf numFmtId="223" fontId="141" fillId="31" borderId="0"/>
    <xf numFmtId="223" fontId="142" fillId="0" borderId="0" applyFont="0" applyFill="0" applyBorder="0" applyProtection="0">
      <protection locked="0"/>
    </xf>
    <xf numFmtId="223" fontId="142" fillId="0" borderId="0" applyFont="0" applyFill="0" applyBorder="0" applyAlignment="0" applyProtection="0">
      <alignment wrapText="1"/>
    </xf>
    <xf numFmtId="223" fontId="144" fillId="0" borderId="35" applyFill="0">
      <alignment horizontal="center"/>
    </xf>
    <xf numFmtId="223" fontId="144" fillId="0" borderId="35" applyFill="0">
      <alignment horizontal="center" vertical="center"/>
    </xf>
    <xf numFmtId="223" fontId="146" fillId="0" borderId="0" applyNumberFormat="0" applyFill="0" applyBorder="0" applyAlignment="0" applyProtection="0">
      <alignment vertical="top"/>
      <protection locked="0"/>
    </xf>
    <xf numFmtId="223" fontId="147" fillId="0" borderId="0" applyNumberFormat="0" applyFill="0" applyAlignment="0"/>
    <xf numFmtId="223" fontId="147" fillId="0" borderId="0" applyNumberFormat="0" applyFill="0" applyAlignment="0" applyProtection="0"/>
    <xf numFmtId="223" fontId="148" fillId="0" borderId="0" applyNumberFormat="0" applyFill="0" applyAlignment="0"/>
    <xf numFmtId="223" fontId="142" fillId="64" borderId="0" applyFill="0" applyBorder="0"/>
    <xf numFmtId="223" fontId="141" fillId="31" borderId="36" applyNumberFormat="0">
      <alignment horizontal="left"/>
    </xf>
    <xf numFmtId="223" fontId="150" fillId="0" borderId="0" applyNumberFormat="0" applyFill="0" applyBorder="0" applyAlignment="0" applyProtection="0">
      <alignment vertical="top"/>
      <protection locked="0"/>
    </xf>
    <xf numFmtId="223" fontId="152" fillId="0" borderId="0" applyFill="0" applyBorder="0">
      <alignment horizontal="centerContinuous" wrapText="1"/>
    </xf>
    <xf numFmtId="223" fontId="152" fillId="0" borderId="0" applyFill="0" applyBorder="0">
      <alignment horizontal="center" wrapText="1"/>
    </xf>
    <xf numFmtId="223" fontId="141" fillId="31" borderId="35" applyNumberFormat="0">
      <alignment horizontal="left"/>
    </xf>
    <xf numFmtId="223" fontId="141" fillId="31" borderId="38" applyNumberFormat="0">
      <alignment horizontal="left"/>
    </xf>
    <xf numFmtId="223" fontId="142" fillId="0" borderId="0" applyFont="0" applyFill="0" applyBorder="0" applyAlignment="0" applyProtection="0">
      <alignment horizontal="left"/>
      <protection locked="0"/>
    </xf>
    <xf numFmtId="223" fontId="142" fillId="63" borderId="0"/>
    <xf numFmtId="223" fontId="141" fillId="30" borderId="35">
      <alignment horizontal="left" vertical="top" wrapText="1" indent="1"/>
      <protection locked="0"/>
    </xf>
    <xf numFmtId="223" fontId="21" fillId="64" borderId="0"/>
    <xf numFmtId="223" fontId="156" fillId="65" borderId="33" applyFill="0">
      <alignment horizontal="center"/>
    </xf>
    <xf numFmtId="223" fontId="156" fillId="65" borderId="33" applyFill="0">
      <alignment horizontal="center" vertical="center"/>
    </xf>
    <xf numFmtId="223" fontId="146" fillId="0" borderId="0" applyNumberFormat="0" applyFill="0" applyBorder="0" applyAlignment="0" applyProtection="0">
      <alignment vertical="top"/>
      <protection locked="0"/>
    </xf>
    <xf numFmtId="223" fontId="118" fillId="0" borderId="0" applyNumberFormat="0" applyFill="0" applyAlignment="0"/>
    <xf numFmtId="223" fontId="118" fillId="65" borderId="0" applyNumberFormat="0" applyFill="0" applyAlignment="0"/>
    <xf numFmtId="223" fontId="142" fillId="64" borderId="0" applyFill="0" applyBorder="0">
      <alignment wrapText="1"/>
    </xf>
    <xf numFmtId="223" fontId="141" fillId="31" borderId="36" applyNumberFormat="0" applyFill="0">
      <alignment horizontal="left"/>
    </xf>
    <xf numFmtId="223" fontId="150" fillId="0" borderId="0" applyNumberFormat="0" applyFill="0" applyBorder="0" applyAlignment="0" applyProtection="0">
      <alignment vertical="top"/>
      <protection locked="0"/>
    </xf>
    <xf numFmtId="223" fontId="37" fillId="0" borderId="0" applyNumberFormat="0" applyFill="0" applyBorder="0" applyAlignment="0" applyProtection="0">
      <alignment vertical="top"/>
      <protection locked="0"/>
    </xf>
    <xf numFmtId="223" fontId="1" fillId="0" borderId="0"/>
    <xf numFmtId="223" fontId="113" fillId="64" borderId="0" applyFill="0" applyBorder="0">
      <alignment horizontal="centerContinuous" wrapText="1"/>
    </xf>
    <xf numFmtId="223" fontId="141" fillId="31" borderId="35" applyNumberFormat="0">
      <alignment horizontal="left"/>
    </xf>
    <xf numFmtId="223" fontId="21" fillId="0" borderId="0"/>
    <xf numFmtId="223" fontId="141" fillId="31" borderId="38" applyNumberFormat="0" applyFill="0">
      <alignment horizontal="left"/>
    </xf>
    <xf numFmtId="223" fontId="142" fillId="0" borderId="0" applyFont="0" applyFill="0" applyBorder="0" applyAlignment="0" applyProtection="0">
      <alignment horizontal="left"/>
      <protection locked="0"/>
    </xf>
    <xf numFmtId="223" fontId="158" fillId="0" borderId="0" applyNumberFormat="0" applyFill="0" applyBorder="0" applyAlignment="0" applyProtection="0"/>
    <xf numFmtId="223" fontId="21" fillId="65" borderId="0"/>
    <xf numFmtId="223" fontId="53" fillId="0" borderId="0" applyNumberFormat="0" applyFill="0" applyBorder="0" applyAlignment="0" applyProtection="0"/>
    <xf numFmtId="223" fontId="53" fillId="0" borderId="0" applyNumberFormat="0" applyFill="0" applyBorder="0" applyAlignment="0" applyProtection="0"/>
    <xf numFmtId="223" fontId="53" fillId="0" borderId="0" applyNumberFormat="0" applyFill="0" applyBorder="0" applyAlignment="0" applyProtection="0"/>
    <xf numFmtId="223" fontId="20" fillId="0" borderId="0"/>
    <xf numFmtId="223" fontId="21" fillId="0" borderId="0" applyFont="0" applyFill="0" applyBorder="0" applyAlignment="0" applyProtection="0"/>
    <xf numFmtId="223" fontId="1" fillId="0" borderId="0"/>
    <xf numFmtId="223" fontId="80" fillId="0" borderId="0"/>
    <xf numFmtId="223" fontId="41" fillId="0" borderId="0"/>
    <xf numFmtId="223" fontId="1" fillId="0" borderId="0"/>
    <xf numFmtId="223" fontId="21" fillId="0" borderId="0" applyNumberFormat="0" applyFill="0" applyBorder="0" applyAlignment="0" applyProtection="0"/>
    <xf numFmtId="223" fontId="41" fillId="0" borderId="4">
      <alignment horizontal="center" vertical="center"/>
    </xf>
    <xf numFmtId="223" fontId="48" fillId="0" borderId="0" applyNumberFormat="0" applyFill="0" applyBorder="0" applyAlignment="0" applyProtection="0">
      <alignment vertical="top"/>
      <protection locked="0"/>
    </xf>
    <xf numFmtId="223" fontId="38" fillId="7" borderId="0" applyNumberFormat="0" applyBorder="0" applyAlignment="0" applyProtection="0"/>
    <xf numFmtId="223" fontId="38" fillId="8" borderId="0" applyNumberFormat="0" applyBorder="0" applyAlignment="0" applyProtection="0"/>
    <xf numFmtId="223" fontId="38" fillId="9" borderId="0" applyNumberFormat="0" applyBorder="0" applyAlignment="0" applyProtection="0"/>
    <xf numFmtId="223" fontId="38" fillId="10" borderId="0" applyNumberFormat="0" applyBorder="0" applyAlignment="0" applyProtection="0"/>
    <xf numFmtId="223" fontId="38" fillId="11" borderId="0" applyNumberFormat="0" applyBorder="0" applyAlignment="0" applyProtection="0"/>
    <xf numFmtId="223" fontId="38" fillId="12" borderId="0" applyNumberFormat="0" applyBorder="0" applyAlignment="0" applyProtection="0"/>
    <xf numFmtId="223" fontId="38" fillId="13" borderId="0" applyNumberFormat="0" applyBorder="0" applyAlignment="0" applyProtection="0"/>
    <xf numFmtId="223" fontId="38" fillId="14" borderId="0" applyNumberFormat="0" applyBorder="0" applyAlignment="0" applyProtection="0"/>
    <xf numFmtId="223" fontId="38" fillId="15" borderId="0" applyNumberFormat="0" applyBorder="0" applyAlignment="0" applyProtection="0"/>
    <xf numFmtId="223" fontId="38" fillId="10" borderId="0" applyNumberFormat="0" applyBorder="0" applyAlignment="0" applyProtection="0"/>
    <xf numFmtId="223" fontId="38" fillId="13" borderId="0" applyNumberFormat="0" applyBorder="0" applyAlignment="0" applyProtection="0"/>
    <xf numFmtId="223" fontId="38" fillId="16" borderId="0" applyNumberFormat="0" applyBorder="0" applyAlignment="0" applyProtection="0"/>
    <xf numFmtId="223" fontId="49" fillId="17" borderId="0" applyNumberFormat="0" applyBorder="0" applyAlignment="0" applyProtection="0"/>
    <xf numFmtId="223" fontId="49" fillId="14" borderId="0" applyNumberFormat="0" applyBorder="0" applyAlignment="0" applyProtection="0"/>
    <xf numFmtId="223" fontId="49" fillId="15" borderId="0" applyNumberFormat="0" applyBorder="0" applyAlignment="0" applyProtection="0"/>
    <xf numFmtId="223" fontId="49" fillId="18" borderId="0" applyNumberFormat="0" applyBorder="0" applyAlignment="0" applyProtection="0"/>
    <xf numFmtId="223" fontId="49" fillId="19" borderId="0" applyNumberFormat="0" applyBorder="0" applyAlignment="0" applyProtection="0"/>
    <xf numFmtId="223" fontId="49" fillId="20" borderId="0" applyNumberFormat="0" applyBorder="0" applyAlignment="0" applyProtection="0"/>
    <xf numFmtId="223" fontId="49" fillId="21" borderId="0" applyNumberFormat="0" applyBorder="0" applyAlignment="0" applyProtection="0"/>
    <xf numFmtId="223" fontId="49" fillId="22" borderId="0" applyNumberFormat="0" applyBorder="0" applyAlignment="0" applyProtection="0"/>
    <xf numFmtId="223" fontId="49" fillId="23" borderId="0" applyNumberFormat="0" applyBorder="0" applyAlignment="0" applyProtection="0"/>
    <xf numFmtId="223" fontId="49" fillId="18" borderId="0" applyNumberFormat="0" applyBorder="0" applyAlignment="0" applyProtection="0"/>
    <xf numFmtId="223" fontId="49" fillId="19" borderId="0" applyNumberFormat="0" applyBorder="0" applyAlignment="0" applyProtection="0"/>
    <xf numFmtId="223" fontId="49" fillId="24" borderId="0" applyNumberFormat="0" applyBorder="0" applyAlignment="0" applyProtection="0"/>
    <xf numFmtId="223" fontId="50" fillId="8" borderId="0" applyNumberFormat="0" applyBorder="0" applyAlignment="0" applyProtection="0"/>
    <xf numFmtId="223" fontId="51" fillId="25" borderId="7" applyNumberFormat="0" applyAlignment="0" applyProtection="0"/>
    <xf numFmtId="223" fontId="52" fillId="26" borderId="8" applyNumberFormat="0" applyAlignment="0" applyProtection="0"/>
    <xf numFmtId="223" fontId="53" fillId="0" borderId="0" applyNumberFormat="0" applyFill="0" applyBorder="0" applyAlignment="0" applyProtection="0"/>
    <xf numFmtId="223" fontId="54" fillId="9" borderId="0" applyNumberFormat="0" applyBorder="0" applyAlignment="0" applyProtection="0"/>
    <xf numFmtId="223" fontId="58" fillId="12" borderId="7" applyNumberFormat="0" applyAlignment="0" applyProtection="0"/>
    <xf numFmtId="223" fontId="60" fillId="27" borderId="0" applyNumberFormat="0" applyBorder="0" applyAlignment="0" applyProtection="0"/>
    <xf numFmtId="223" fontId="21" fillId="28" borderId="11" applyNumberFormat="0" applyFont="0" applyAlignment="0" applyProtection="0"/>
    <xf numFmtId="223" fontId="61" fillId="25" borderId="12" applyNumberFormat="0" applyAlignment="0" applyProtection="0"/>
    <xf numFmtId="223" fontId="39" fillId="0" borderId="13" applyNumberFormat="0" applyFill="0" applyAlignment="0" applyProtection="0"/>
    <xf numFmtId="223" fontId="62" fillId="0" borderId="0" applyNumberFormat="0" applyFill="0" applyBorder="0" applyAlignment="0" applyProtection="0"/>
    <xf numFmtId="223" fontId="53" fillId="0" borderId="0" applyNumberFormat="0" applyFill="0" applyBorder="0" applyAlignment="0" applyProtection="0"/>
    <xf numFmtId="223" fontId="51" fillId="25" borderId="7" applyNumberFormat="0" applyAlignment="0" applyProtection="0"/>
    <xf numFmtId="223" fontId="53" fillId="0" borderId="0" applyNumberFormat="0" applyFill="0" applyBorder="0" applyAlignment="0" applyProtection="0"/>
    <xf numFmtId="223" fontId="58" fillId="12" borderId="7" applyNumberFormat="0" applyAlignment="0" applyProtection="0"/>
    <xf numFmtId="223" fontId="21" fillId="28" borderId="11" applyNumberFormat="0" applyFont="0" applyAlignment="0" applyProtection="0"/>
    <xf numFmtId="223" fontId="61" fillId="25" borderId="12" applyNumberFormat="0" applyAlignment="0" applyProtection="0"/>
    <xf numFmtId="223" fontId="39" fillId="0" borderId="13" applyNumberFormat="0" applyFill="0" applyAlignment="0" applyProtection="0"/>
    <xf numFmtId="223" fontId="142" fillId="0" borderId="0" applyFont="0" applyFill="0" applyBorder="0" applyProtection="0">
      <protection locked="0"/>
    </xf>
    <xf numFmtId="223" fontId="156" fillId="65" borderId="33" applyFill="0">
      <alignment horizontal="center"/>
    </xf>
    <xf numFmtId="223" fontId="156" fillId="65" borderId="33" applyFill="0">
      <alignment horizontal="center" vertical="center"/>
    </xf>
    <xf numFmtId="223" fontId="142" fillId="0" borderId="0" applyFont="0" applyFill="0" applyBorder="0" applyProtection="0">
      <protection locked="0"/>
    </xf>
    <xf numFmtId="223" fontId="156" fillId="65" borderId="33" applyFill="0">
      <alignment horizontal="center" vertical="center"/>
    </xf>
    <xf numFmtId="223" fontId="156" fillId="65" borderId="33" applyFill="0">
      <alignment horizontal="center"/>
    </xf>
    <xf numFmtId="223" fontId="51" fillId="25" borderId="7" applyNumberFormat="0" applyAlignment="0" applyProtection="0"/>
    <xf numFmtId="223" fontId="128" fillId="0" borderId="0" applyNumberFormat="0" applyFill="0" applyBorder="0" applyAlignment="0" applyProtection="0"/>
    <xf numFmtId="223" fontId="55" fillId="0" borderId="23" applyNumberFormat="0" applyFill="0" applyAlignment="0" applyProtection="0"/>
    <xf numFmtId="223" fontId="56" fillId="0" borderId="24" applyNumberFormat="0" applyFill="0" applyAlignment="0" applyProtection="0"/>
    <xf numFmtId="223" fontId="57" fillId="0" borderId="9" applyNumberFormat="0" applyFill="0" applyAlignment="0" applyProtection="0"/>
    <xf numFmtId="223" fontId="57" fillId="0" borderId="0" applyNumberFormat="0" applyFill="0" applyBorder="0" applyAlignment="0" applyProtection="0"/>
    <xf numFmtId="223" fontId="132" fillId="0" borderId="0" applyNumberFormat="0" applyFill="0" applyBorder="0" applyAlignment="0" applyProtection="0"/>
    <xf numFmtId="223" fontId="58" fillId="12" borderId="7" applyNumberFormat="0" applyAlignment="0" applyProtection="0"/>
    <xf numFmtId="223" fontId="21" fillId="0" borderId="0" applyBorder="0"/>
    <xf numFmtId="223" fontId="22" fillId="0" borderId="0"/>
    <xf numFmtId="223" fontId="21" fillId="28" borderId="11" applyNumberFormat="0" applyFont="0" applyAlignment="0" applyProtection="0"/>
    <xf numFmtId="223" fontId="61" fillId="25" borderId="12" applyNumberFormat="0" applyAlignment="0" applyProtection="0"/>
    <xf numFmtId="223" fontId="34" fillId="0" borderId="0" applyNumberFormat="0" applyFill="0" applyBorder="0" applyAlignment="0" applyProtection="0"/>
    <xf numFmtId="223" fontId="39" fillId="0" borderId="13" applyNumberFormat="0" applyFill="0" applyAlignment="0" applyProtection="0"/>
    <xf numFmtId="223" fontId="3" fillId="0" borderId="13" applyNumberFormat="0" applyFill="0" applyAlignment="0" applyProtection="0"/>
    <xf numFmtId="223" fontId="21" fillId="0" borderId="0"/>
    <xf numFmtId="223" fontId="21" fillId="0" borderId="0" applyBorder="0"/>
    <xf numFmtId="223" fontId="21" fillId="0" borderId="0" applyBorder="0"/>
    <xf numFmtId="223" fontId="21" fillId="0" borderId="0" applyBorder="0"/>
    <xf numFmtId="223" fontId="21" fillId="0" borderId="0" applyBorder="0"/>
    <xf numFmtId="223" fontId="21" fillId="0" borderId="0" applyBorder="0"/>
    <xf numFmtId="223" fontId="21" fillId="0" borderId="0" applyBorder="0"/>
    <xf numFmtId="223" fontId="53" fillId="0" borderId="0" applyNumberFormat="0" applyFill="0" applyBorder="0" applyAlignment="0" applyProtection="0"/>
    <xf numFmtId="223" fontId="53" fillId="0" borderId="0" applyNumberFormat="0" applyFill="0" applyBorder="0" applyAlignment="0" applyProtection="0"/>
    <xf numFmtId="223" fontId="53" fillId="0" borderId="0" applyNumberFormat="0" applyFill="0" applyBorder="0" applyAlignment="0" applyProtection="0"/>
    <xf numFmtId="223" fontId="53" fillId="0" borderId="0" applyNumberFormat="0" applyFill="0" applyBorder="0" applyAlignment="0" applyProtection="0"/>
    <xf numFmtId="223" fontId="1" fillId="0" borderId="0"/>
    <xf numFmtId="223" fontId="141" fillId="0" borderId="0"/>
    <xf numFmtId="223" fontId="147" fillId="0" borderId="0" applyNumberFormat="0" applyFill="0" applyAlignment="0"/>
    <xf numFmtId="223" fontId="150" fillId="0" borderId="0" applyNumberFormat="0" applyFill="0" applyBorder="0" applyAlignment="0" applyProtection="0">
      <alignment vertical="top"/>
      <protection locked="0"/>
    </xf>
    <xf numFmtId="223" fontId="146" fillId="0" borderId="0" applyNumberFormat="0" applyFill="0" applyBorder="0" applyAlignment="0" applyProtection="0">
      <alignment vertical="top"/>
      <protection locked="0"/>
    </xf>
    <xf numFmtId="223" fontId="142" fillId="64" borderId="0" applyFill="0" applyBorder="0">
      <alignment wrapText="1"/>
    </xf>
    <xf numFmtId="223" fontId="158" fillId="0" borderId="0" applyNumberFormat="0" applyFill="0" applyBorder="0" applyAlignment="0" applyProtection="0"/>
    <xf numFmtId="223" fontId="114" fillId="0" borderId="0" applyFont="0" applyFill="0" applyBorder="0" applyAlignment="0" applyProtection="0"/>
    <xf numFmtId="223" fontId="59" fillId="0" borderId="10" applyNumberFormat="0" applyFill="0" applyAlignment="0" applyProtection="0"/>
    <xf numFmtId="223" fontId="21" fillId="0" borderId="0" applyBorder="0"/>
    <xf numFmtId="223" fontId="21" fillId="0" borderId="0" applyBorder="0"/>
    <xf numFmtId="223" fontId="21" fillId="0" borderId="0" applyBorder="0"/>
    <xf numFmtId="223" fontId="21" fillId="0" borderId="0" applyBorder="0"/>
    <xf numFmtId="223" fontId="21" fillId="0" borderId="0" applyBorder="0"/>
    <xf numFmtId="223" fontId="21" fillId="0" borderId="0" applyBorder="0"/>
    <xf numFmtId="223" fontId="120" fillId="37" borderId="28" applyNumberFormat="0" applyFont="0" applyAlignment="0" applyProtection="0"/>
    <xf numFmtId="223" fontId="21" fillId="0" borderId="0"/>
    <xf numFmtId="223" fontId="21" fillId="0" borderId="0" applyBorder="0"/>
    <xf numFmtId="223" fontId="21" fillId="0" borderId="0" applyBorder="0"/>
    <xf numFmtId="223" fontId="21" fillId="0" borderId="0" applyBorder="0"/>
    <xf numFmtId="223" fontId="21" fillId="0" borderId="0" applyBorder="0"/>
    <xf numFmtId="223" fontId="21" fillId="0" borderId="0" applyBorder="0"/>
    <xf numFmtId="223" fontId="21" fillId="0" borderId="0" applyBorder="0"/>
    <xf numFmtId="223" fontId="53" fillId="0" borderId="0" applyNumberFormat="0" applyFill="0" applyBorder="0" applyAlignment="0" applyProtection="0"/>
    <xf numFmtId="223" fontId="21" fillId="0" borderId="0"/>
    <xf numFmtId="223" fontId="142" fillId="0" borderId="0" applyFont="0" applyFill="0" applyBorder="0" applyProtection="0">
      <protection locked="0"/>
    </xf>
    <xf numFmtId="223" fontId="142" fillId="0" borderId="0" applyFont="0" applyFill="0" applyBorder="0" applyProtection="0">
      <protection locked="0"/>
    </xf>
    <xf numFmtId="223" fontId="142" fillId="0" borderId="0" applyFont="0" applyFill="0" applyBorder="0" applyProtection="0">
      <protection locked="0"/>
    </xf>
    <xf numFmtId="223" fontId="142" fillId="0" borderId="0" applyFont="0" applyFill="0" applyBorder="0" applyProtection="0">
      <protection locked="0"/>
    </xf>
    <xf numFmtId="223" fontId="142" fillId="0" borderId="0" applyFont="0" applyFill="0" applyBorder="0" applyProtection="0">
      <protection locked="0"/>
    </xf>
    <xf numFmtId="223" fontId="21" fillId="0" borderId="0"/>
    <xf numFmtId="223" fontId="63" fillId="7" borderId="0" applyNumberFormat="0" applyBorder="0" applyAlignment="0" applyProtection="0"/>
    <xf numFmtId="223" fontId="63" fillId="8" borderId="0" applyNumberFormat="0" applyBorder="0" applyAlignment="0" applyProtection="0"/>
    <xf numFmtId="223" fontId="63" fillId="9" borderId="0" applyNumberFormat="0" applyBorder="0" applyAlignment="0" applyProtection="0"/>
    <xf numFmtId="223" fontId="63" fillId="10" borderId="0" applyNumberFormat="0" applyBorder="0" applyAlignment="0" applyProtection="0"/>
    <xf numFmtId="223" fontId="63" fillId="11" borderId="0" applyNumberFormat="0" applyBorder="0" applyAlignment="0" applyProtection="0"/>
    <xf numFmtId="223" fontId="63" fillId="12" borderId="0" applyNumberFormat="0" applyBorder="0" applyAlignment="0" applyProtection="0"/>
    <xf numFmtId="223" fontId="63" fillId="13" borderId="0" applyNumberFormat="0" applyBorder="0" applyAlignment="0" applyProtection="0"/>
    <xf numFmtId="223" fontId="63" fillId="14" borderId="0" applyNumberFormat="0" applyBorder="0" applyAlignment="0" applyProtection="0"/>
    <xf numFmtId="223" fontId="63" fillId="15" borderId="0" applyNumberFormat="0" applyBorder="0" applyAlignment="0" applyProtection="0"/>
    <xf numFmtId="223" fontId="63" fillId="10" borderId="0" applyNumberFormat="0" applyBorder="0" applyAlignment="0" applyProtection="0"/>
    <xf numFmtId="223" fontId="63" fillId="13" borderId="0" applyNumberFormat="0" applyBorder="0" applyAlignment="0" applyProtection="0"/>
    <xf numFmtId="223" fontId="63" fillId="16" borderId="0" applyNumberFormat="0" applyBorder="0" applyAlignment="0" applyProtection="0"/>
    <xf numFmtId="223" fontId="160" fillId="17" borderId="0" applyNumberFormat="0" applyBorder="0" applyAlignment="0" applyProtection="0"/>
    <xf numFmtId="223" fontId="160" fillId="14" borderId="0" applyNumberFormat="0" applyBorder="0" applyAlignment="0" applyProtection="0"/>
    <xf numFmtId="223" fontId="160" fillId="15" borderId="0" applyNumberFormat="0" applyBorder="0" applyAlignment="0" applyProtection="0"/>
    <xf numFmtId="223" fontId="160" fillId="18" borderId="0" applyNumberFormat="0" applyBorder="0" applyAlignment="0" applyProtection="0"/>
    <xf numFmtId="223" fontId="160" fillId="19" borderId="0" applyNumberFormat="0" applyBorder="0" applyAlignment="0" applyProtection="0"/>
    <xf numFmtId="223" fontId="160" fillId="20" borderId="0" applyNumberFormat="0" applyBorder="0" applyAlignment="0" applyProtection="0"/>
    <xf numFmtId="223" fontId="160" fillId="21" borderId="0" applyNumberFormat="0" applyBorder="0" applyAlignment="0" applyProtection="0"/>
    <xf numFmtId="223" fontId="160" fillId="22" borderId="0" applyNumberFormat="0" applyBorder="0" applyAlignment="0" applyProtection="0"/>
    <xf numFmtId="223" fontId="160" fillId="23" borderId="0" applyNumberFormat="0" applyBorder="0" applyAlignment="0" applyProtection="0"/>
    <xf numFmtId="223" fontId="160" fillId="18" borderId="0" applyNumberFormat="0" applyBorder="0" applyAlignment="0" applyProtection="0"/>
    <xf numFmtId="223" fontId="160" fillId="19" borderId="0" applyNumberFormat="0" applyBorder="0" applyAlignment="0" applyProtection="0"/>
    <xf numFmtId="223" fontId="160" fillId="24" borderId="0" applyNumberFormat="0" applyBorder="0" applyAlignment="0" applyProtection="0"/>
    <xf numFmtId="223" fontId="161" fillId="8" borderId="0" applyNumberFormat="0" applyBorder="0" applyAlignment="0" applyProtection="0"/>
    <xf numFmtId="223" fontId="162" fillId="25" borderId="7" applyNumberFormat="0" applyAlignment="0" applyProtection="0"/>
    <xf numFmtId="223" fontId="163" fillId="26" borderId="8" applyNumberFormat="0" applyAlignment="0" applyProtection="0"/>
    <xf numFmtId="223" fontId="164" fillId="0" borderId="0" applyNumberFormat="0" applyFill="0" applyBorder="0" applyAlignment="0" applyProtection="0"/>
    <xf numFmtId="223" fontId="165" fillId="9" borderId="0" applyNumberFormat="0" applyBorder="0" applyAlignment="0" applyProtection="0"/>
    <xf numFmtId="223" fontId="71" fillId="0" borderId="23" applyNumberFormat="0" applyFill="0" applyAlignment="0" applyProtection="0"/>
    <xf numFmtId="223" fontId="72" fillId="0" borderId="24" applyNumberFormat="0" applyFill="0" applyAlignment="0" applyProtection="0"/>
    <xf numFmtId="223" fontId="73" fillId="0" borderId="9" applyNumberFormat="0" applyFill="0" applyAlignment="0" applyProtection="0"/>
    <xf numFmtId="223" fontId="73" fillId="0" borderId="0" applyNumberFormat="0" applyFill="0" applyBorder="0" applyAlignment="0" applyProtection="0"/>
    <xf numFmtId="223" fontId="159" fillId="0" borderId="0" applyNumberFormat="0" applyFill="0" applyBorder="0" applyAlignment="0" applyProtection="0">
      <alignment vertical="top"/>
      <protection locked="0"/>
    </xf>
    <xf numFmtId="223" fontId="166" fillId="12" borderId="7" applyNumberFormat="0" applyAlignment="0" applyProtection="0"/>
    <xf numFmtId="223" fontId="167" fillId="0" borderId="10" applyNumberFormat="0" applyFill="0" applyAlignment="0" applyProtection="0"/>
    <xf numFmtId="223" fontId="168" fillId="27" borderId="0" applyNumberFormat="0" applyBorder="0" applyAlignment="0" applyProtection="0"/>
    <xf numFmtId="223" fontId="64" fillId="0" borderId="0"/>
    <xf numFmtId="223" fontId="63" fillId="0" borderId="0"/>
    <xf numFmtId="223" fontId="63" fillId="0" borderId="0"/>
    <xf numFmtId="223" fontId="63" fillId="0" borderId="0"/>
    <xf numFmtId="223" fontId="21" fillId="28" borderId="11" applyNumberFormat="0" applyFont="0" applyAlignment="0" applyProtection="0"/>
    <xf numFmtId="223" fontId="169" fillId="25" borderId="12" applyNumberFormat="0" applyAlignment="0" applyProtection="0"/>
    <xf numFmtId="223" fontId="170" fillId="0" borderId="13" applyNumberFormat="0" applyFill="0" applyAlignment="0" applyProtection="0"/>
    <xf numFmtId="223" fontId="171" fillId="0" borderId="0" applyNumberFormat="0" applyFill="0" applyBorder="0" applyAlignment="0" applyProtection="0"/>
    <xf numFmtId="223" fontId="63" fillId="0" borderId="0"/>
    <xf numFmtId="223" fontId="63" fillId="0" borderId="0"/>
    <xf numFmtId="223" fontId="164" fillId="0" borderId="0" applyNumberFormat="0" applyFill="0" applyBorder="0" applyAlignment="0" applyProtection="0"/>
    <xf numFmtId="223" fontId="164" fillId="0" borderId="0" applyNumberFormat="0" applyFill="0" applyBorder="0" applyAlignment="0" applyProtection="0"/>
    <xf numFmtId="223" fontId="63" fillId="0" borderId="0"/>
    <xf numFmtId="223" fontId="63" fillId="0" borderId="0"/>
    <xf numFmtId="223" fontId="21" fillId="0" borderId="0"/>
    <xf numFmtId="223" fontId="21" fillId="28" borderId="11" applyNumberFormat="0" applyFont="0" applyAlignment="0" applyProtection="0"/>
    <xf numFmtId="223" fontId="25" fillId="25" borderId="7" applyNumberFormat="0" applyAlignment="0" applyProtection="0"/>
    <xf numFmtId="223" fontId="86" fillId="12" borderId="7" applyNumberFormat="0" applyAlignment="0" applyProtection="0"/>
    <xf numFmtId="223" fontId="22" fillId="28" borderId="11" applyNumberFormat="0" applyFont="0" applyAlignment="0" applyProtection="0"/>
    <xf numFmtId="223" fontId="33" fillId="25" borderId="12" applyNumberFormat="0" applyAlignment="0" applyProtection="0"/>
    <xf numFmtId="223" fontId="35" fillId="0" borderId="13" applyNumberFormat="0" applyFill="0" applyAlignment="0" applyProtection="0"/>
    <xf numFmtId="223" fontId="51" fillId="25" borderId="7" applyNumberFormat="0" applyAlignment="0" applyProtection="0"/>
    <xf numFmtId="223" fontId="58" fillId="12" borderId="7" applyNumberFormat="0" applyAlignment="0" applyProtection="0"/>
    <xf numFmtId="223" fontId="21" fillId="28" borderId="11" applyNumberFormat="0" applyFont="0" applyAlignment="0" applyProtection="0"/>
    <xf numFmtId="223" fontId="61" fillId="25" borderId="12" applyNumberFormat="0" applyAlignment="0" applyProtection="0"/>
    <xf numFmtId="223" fontId="39" fillId="0" borderId="13" applyNumberFormat="0" applyFill="0" applyAlignment="0" applyProtection="0"/>
    <xf numFmtId="223" fontId="51" fillId="25" borderId="7" applyNumberFormat="0" applyAlignment="0" applyProtection="0"/>
    <xf numFmtId="223" fontId="58" fillId="12" borderId="7" applyNumberFormat="0" applyAlignment="0" applyProtection="0"/>
    <xf numFmtId="223" fontId="21" fillId="28" borderId="11" applyNumberFormat="0" applyFont="0" applyAlignment="0" applyProtection="0"/>
    <xf numFmtId="223" fontId="61" fillId="25" borderId="12" applyNumberFormat="0" applyAlignment="0" applyProtection="0"/>
    <xf numFmtId="223" fontId="39" fillId="0" borderId="13" applyNumberFormat="0" applyFill="0" applyAlignment="0" applyProtection="0"/>
    <xf numFmtId="223" fontId="156" fillId="65" borderId="33" applyFill="0">
      <alignment horizontal="center"/>
    </xf>
    <xf numFmtId="223" fontId="156" fillId="65" borderId="33" applyFill="0">
      <alignment horizontal="center" vertical="center"/>
    </xf>
    <xf numFmtId="223" fontId="21" fillId="0" borderId="0"/>
    <xf numFmtId="223" fontId="63" fillId="0" borderId="0"/>
    <xf numFmtId="223" fontId="63" fillId="0" borderId="0"/>
    <xf numFmtId="223" fontId="63" fillId="0" borderId="0"/>
    <xf numFmtId="223" fontId="63" fillId="0" borderId="0"/>
    <xf numFmtId="223" fontId="21" fillId="0" borderId="0"/>
    <xf numFmtId="223" fontId="21" fillId="0" borderId="0"/>
    <xf numFmtId="223" fontId="21" fillId="0" borderId="0"/>
    <xf numFmtId="223" fontId="21" fillId="0" borderId="0"/>
    <xf numFmtId="223" fontId="21" fillId="0" borderId="0"/>
    <xf numFmtId="223" fontId="21" fillId="0" borderId="0"/>
    <xf numFmtId="223" fontId="21" fillId="0" borderId="0"/>
    <xf numFmtId="223" fontId="21" fillId="0" borderId="0"/>
    <xf numFmtId="223" fontId="21" fillId="0" borderId="0"/>
    <xf numFmtId="223" fontId="21" fillId="0" borderId="0"/>
    <xf numFmtId="223" fontId="21" fillId="0" borderId="0"/>
    <xf numFmtId="223" fontId="21" fillId="0" borderId="0"/>
    <xf numFmtId="223" fontId="21" fillId="0" borderId="0"/>
    <xf numFmtId="223" fontId="21" fillId="0" borderId="0"/>
    <xf numFmtId="223" fontId="21" fillId="0" borderId="0"/>
    <xf numFmtId="223" fontId="21" fillId="0" borderId="0"/>
    <xf numFmtId="223" fontId="21" fillId="28" borderId="11" applyNumberFormat="0" applyFont="0" applyAlignment="0" applyProtection="0"/>
    <xf numFmtId="223" fontId="21" fillId="0" borderId="0"/>
    <xf numFmtId="223" fontId="41" fillId="0" borderId="5">
      <alignment horizontal="center" vertical="center"/>
    </xf>
    <xf numFmtId="223" fontId="21" fillId="28" borderId="11" applyNumberFormat="0" applyFont="0" applyAlignment="0" applyProtection="0"/>
    <xf numFmtId="223" fontId="21" fillId="0" borderId="0"/>
    <xf numFmtId="223" fontId="21" fillId="0" borderId="0"/>
    <xf numFmtId="223" fontId="21" fillId="0" borderId="0"/>
    <xf numFmtId="223" fontId="39" fillId="0" borderId="13" applyNumberFormat="0" applyFill="0" applyAlignment="0" applyProtection="0"/>
    <xf numFmtId="223" fontId="51" fillId="25" borderId="7" applyNumberFormat="0" applyAlignment="0" applyProtection="0"/>
    <xf numFmtId="223" fontId="58" fillId="12" borderId="7" applyNumberFormat="0" applyAlignment="0" applyProtection="0"/>
    <xf numFmtId="223" fontId="33" fillId="25" borderId="12" applyNumberFormat="0" applyAlignment="0" applyProtection="0"/>
    <xf numFmtId="223" fontId="61" fillId="25" borderId="12" applyNumberFormat="0" applyAlignment="0" applyProtection="0"/>
    <xf numFmtId="223" fontId="35" fillId="0" borderId="13" applyNumberFormat="0" applyFill="0" applyAlignment="0" applyProtection="0"/>
    <xf numFmtId="223" fontId="86" fillId="12" borderId="7" applyNumberFormat="0" applyAlignment="0" applyProtection="0"/>
    <xf numFmtId="223" fontId="41" fillId="0" borderId="5">
      <alignment horizontal="center" vertical="center"/>
    </xf>
    <xf numFmtId="223" fontId="162" fillId="25" borderId="7" applyNumberFormat="0" applyAlignment="0" applyProtection="0"/>
    <xf numFmtId="223" fontId="51" fillId="25" borderId="7" applyNumberFormat="0" applyAlignment="0" applyProtection="0"/>
    <xf numFmtId="223" fontId="39" fillId="0" borderId="13" applyNumberFormat="0" applyFill="0" applyAlignment="0" applyProtection="0"/>
    <xf numFmtId="223" fontId="61" fillId="25" borderId="12" applyNumberFormat="0" applyAlignment="0" applyProtection="0"/>
    <xf numFmtId="223" fontId="58" fillId="12" borderId="7" applyNumberFormat="0" applyAlignment="0" applyProtection="0"/>
    <xf numFmtId="223" fontId="51" fillId="25" borderId="7" applyNumberFormat="0" applyAlignment="0" applyProtection="0"/>
    <xf numFmtId="223" fontId="58" fillId="12" borderId="7" applyNumberFormat="0" applyAlignment="0" applyProtection="0"/>
    <xf numFmtId="223" fontId="58" fillId="12" borderId="7" applyNumberFormat="0" applyAlignment="0" applyProtection="0"/>
    <xf numFmtId="223" fontId="35" fillId="0" borderId="13" applyNumberFormat="0" applyFill="0" applyAlignment="0" applyProtection="0"/>
    <xf numFmtId="223" fontId="33" fillId="25" borderId="12" applyNumberFormat="0" applyAlignment="0" applyProtection="0"/>
    <xf numFmtId="223" fontId="61" fillId="25" borderId="12" applyNumberFormat="0" applyAlignment="0" applyProtection="0"/>
    <xf numFmtId="223" fontId="21" fillId="28" borderId="11" applyNumberFormat="0" applyFont="0" applyAlignment="0" applyProtection="0"/>
    <xf numFmtId="223" fontId="61" fillId="25" borderId="12" applyNumberFormat="0" applyAlignment="0" applyProtection="0"/>
    <xf numFmtId="223" fontId="39" fillId="0" borderId="13" applyNumberFormat="0" applyFill="0" applyAlignment="0" applyProtection="0"/>
    <xf numFmtId="223" fontId="3" fillId="0" borderId="13" applyNumberFormat="0" applyFill="0" applyAlignment="0" applyProtection="0"/>
    <xf numFmtId="223" fontId="21" fillId="28" borderId="11" applyNumberFormat="0" applyFont="0" applyAlignment="0" applyProtection="0"/>
    <xf numFmtId="223" fontId="39" fillId="0" borderId="13" applyNumberFormat="0" applyFill="0" applyAlignment="0" applyProtection="0"/>
    <xf numFmtId="223" fontId="25" fillId="25" borderId="7" applyNumberFormat="0" applyAlignment="0" applyProtection="0"/>
    <xf numFmtId="223" fontId="170" fillId="0" borderId="13" applyNumberFormat="0" applyFill="0" applyAlignment="0" applyProtection="0"/>
    <xf numFmtId="223" fontId="25" fillId="25" borderId="7" applyNumberFormat="0" applyAlignment="0" applyProtection="0"/>
    <xf numFmtId="223" fontId="86" fillId="12" borderId="7" applyNumberFormat="0" applyAlignment="0" applyProtection="0"/>
    <xf numFmtId="223" fontId="25" fillId="25" borderId="7" applyNumberFormat="0" applyAlignment="0" applyProtection="0"/>
    <xf numFmtId="223" fontId="22" fillId="28" borderId="11" applyNumberFormat="0" applyFont="0" applyAlignment="0" applyProtection="0"/>
    <xf numFmtId="223" fontId="33" fillId="25" borderId="12" applyNumberFormat="0" applyAlignment="0" applyProtection="0"/>
    <xf numFmtId="223" fontId="35" fillId="0" borderId="13" applyNumberFormat="0" applyFill="0" applyAlignment="0" applyProtection="0"/>
    <xf numFmtId="223" fontId="41" fillId="0" borderId="4">
      <alignment horizontal="center" vertical="center"/>
    </xf>
    <xf numFmtId="223" fontId="61" fillId="25" borderId="12" applyNumberFormat="0" applyAlignment="0" applyProtection="0"/>
    <xf numFmtId="223" fontId="58" fillId="12" borderId="7" applyNumberFormat="0" applyAlignment="0" applyProtection="0"/>
    <xf numFmtId="223" fontId="169" fillId="25" borderId="12" applyNumberFormat="0" applyAlignment="0" applyProtection="0"/>
    <xf numFmtId="223" fontId="51" fillId="25" borderId="7" applyNumberFormat="0" applyAlignment="0" applyProtection="0"/>
    <xf numFmtId="223" fontId="58" fillId="12" borderId="7" applyNumberFormat="0" applyAlignment="0" applyProtection="0"/>
    <xf numFmtId="223" fontId="21" fillId="28" borderId="11" applyNumberFormat="0" applyFont="0" applyAlignment="0" applyProtection="0"/>
    <xf numFmtId="223" fontId="61" fillId="25" borderId="12" applyNumberFormat="0" applyAlignment="0" applyProtection="0"/>
    <xf numFmtId="223" fontId="39" fillId="0" borderId="13" applyNumberFormat="0" applyFill="0" applyAlignment="0" applyProtection="0"/>
    <xf numFmtId="223" fontId="3" fillId="0" borderId="13" applyNumberFormat="0" applyFill="0" applyAlignment="0" applyProtection="0"/>
    <xf numFmtId="223" fontId="51" fillId="25" borderId="7" applyNumberFormat="0" applyAlignment="0" applyProtection="0"/>
    <xf numFmtId="223" fontId="58" fillId="12" borderId="7" applyNumberFormat="0" applyAlignment="0" applyProtection="0"/>
    <xf numFmtId="223" fontId="21" fillId="28" borderId="11" applyNumberFormat="0" applyFont="0" applyAlignment="0" applyProtection="0"/>
    <xf numFmtId="223" fontId="61" fillId="25" borderId="12" applyNumberFormat="0" applyAlignment="0" applyProtection="0"/>
    <xf numFmtId="223" fontId="39" fillId="0" borderId="13" applyNumberFormat="0" applyFill="0" applyAlignment="0" applyProtection="0"/>
    <xf numFmtId="223" fontId="51" fillId="25" borderId="7" applyNumberFormat="0" applyAlignment="0" applyProtection="0"/>
    <xf numFmtId="223" fontId="58" fillId="12" borderId="7" applyNumberFormat="0" applyAlignment="0" applyProtection="0"/>
    <xf numFmtId="223" fontId="21" fillId="28" borderId="11" applyNumberFormat="0" applyFont="0" applyAlignment="0" applyProtection="0"/>
    <xf numFmtId="223" fontId="39" fillId="0" borderId="13" applyNumberFormat="0" applyFill="0" applyAlignment="0" applyProtection="0"/>
    <xf numFmtId="223" fontId="3" fillId="0" borderId="13" applyNumberFormat="0" applyFill="0" applyAlignment="0" applyProtection="0"/>
    <xf numFmtId="223" fontId="51" fillId="25" borderId="7" applyNumberFormat="0" applyAlignment="0" applyProtection="0"/>
    <xf numFmtId="223" fontId="86" fillId="12" borderId="7" applyNumberFormat="0" applyAlignment="0" applyProtection="0"/>
    <xf numFmtId="223" fontId="51" fillId="25" borderId="7" applyNumberFormat="0" applyAlignment="0" applyProtection="0"/>
    <xf numFmtId="223" fontId="61" fillId="25" borderId="12" applyNumberFormat="0" applyAlignment="0" applyProtection="0"/>
    <xf numFmtId="223" fontId="58" fillId="12" borderId="7" applyNumberFormat="0" applyAlignment="0" applyProtection="0"/>
    <xf numFmtId="223" fontId="3" fillId="0" borderId="13" applyNumberFormat="0" applyFill="0" applyAlignment="0" applyProtection="0"/>
    <xf numFmtId="223" fontId="51" fillId="25" borderId="7" applyNumberFormat="0" applyAlignment="0" applyProtection="0"/>
    <xf numFmtId="223" fontId="58" fillId="12" borderId="7" applyNumberFormat="0" applyAlignment="0" applyProtection="0"/>
    <xf numFmtId="223" fontId="39" fillId="0" borderId="13" applyNumberFormat="0" applyFill="0" applyAlignment="0" applyProtection="0"/>
    <xf numFmtId="223" fontId="39" fillId="0" borderId="13" applyNumberFormat="0" applyFill="0" applyAlignment="0" applyProtection="0"/>
    <xf numFmtId="223" fontId="61" fillId="25" borderId="12" applyNumberFormat="0" applyAlignment="0" applyProtection="0"/>
    <xf numFmtId="223" fontId="51" fillId="25" borderId="7" applyNumberFormat="0" applyAlignment="0" applyProtection="0"/>
    <xf numFmtId="223" fontId="166" fillId="12" borderId="7" applyNumberFormat="0" applyAlignment="0" applyProtection="0"/>
    <xf numFmtId="223" fontId="162" fillId="25" borderId="7" applyNumberFormat="0" applyAlignment="0" applyProtection="0"/>
    <xf numFmtId="223" fontId="41" fillId="0" borderId="4">
      <alignment horizontal="center" vertical="center"/>
    </xf>
    <xf numFmtId="223" fontId="166" fillId="12" borderId="7" applyNumberFormat="0" applyAlignment="0" applyProtection="0"/>
    <xf numFmtId="223" fontId="21" fillId="28" borderId="11" applyNumberFormat="0" applyFont="0" applyAlignment="0" applyProtection="0"/>
    <xf numFmtId="223" fontId="170" fillId="0" borderId="13" applyNumberFormat="0" applyFill="0" applyAlignment="0" applyProtection="0"/>
    <xf numFmtId="223" fontId="39" fillId="0" borderId="13" applyNumberFormat="0" applyFill="0" applyAlignment="0" applyProtection="0"/>
    <xf numFmtId="223" fontId="21" fillId="28" borderId="11" applyNumberFormat="0" applyFont="0" applyAlignment="0" applyProtection="0"/>
    <xf numFmtId="223" fontId="25" fillId="25" borderId="7" applyNumberFormat="0" applyAlignment="0" applyProtection="0"/>
    <xf numFmtId="223" fontId="86" fillId="12" borderId="7" applyNumberFormat="0" applyAlignment="0" applyProtection="0"/>
    <xf numFmtId="223" fontId="22" fillId="28" borderId="11" applyNumberFormat="0" applyFont="0" applyAlignment="0" applyProtection="0"/>
    <xf numFmtId="223" fontId="35" fillId="0" borderId="13" applyNumberFormat="0" applyFill="0" applyAlignment="0" applyProtection="0"/>
    <xf numFmtId="223" fontId="51" fillId="25" borderId="7" applyNumberFormat="0" applyAlignment="0" applyProtection="0"/>
    <xf numFmtId="223" fontId="58" fillId="12" borderId="7" applyNumberFormat="0" applyAlignment="0" applyProtection="0"/>
    <xf numFmtId="223" fontId="21" fillId="28" borderId="11" applyNumberFormat="0" applyFont="0" applyAlignment="0" applyProtection="0"/>
    <xf numFmtId="223" fontId="39" fillId="0" borderId="13" applyNumberFormat="0" applyFill="0" applyAlignment="0" applyProtection="0"/>
    <xf numFmtId="223" fontId="51" fillId="25" borderId="7" applyNumberFormat="0" applyAlignment="0" applyProtection="0"/>
    <xf numFmtId="223" fontId="58" fillId="12" borderId="7" applyNumberFormat="0" applyAlignment="0" applyProtection="0"/>
    <xf numFmtId="223" fontId="21" fillId="28" borderId="11" applyNumberFormat="0" applyFont="0" applyAlignment="0" applyProtection="0"/>
    <xf numFmtId="223" fontId="39" fillId="0" borderId="13" applyNumberFormat="0" applyFill="0" applyAlignment="0" applyProtection="0"/>
    <xf numFmtId="223" fontId="21" fillId="0" borderId="0"/>
    <xf numFmtId="223" fontId="21" fillId="0" borderId="0" applyBorder="0"/>
    <xf numFmtId="223" fontId="21" fillId="0" borderId="0" applyBorder="0"/>
    <xf numFmtId="223" fontId="21" fillId="0" borderId="0" applyBorder="0"/>
    <xf numFmtId="223" fontId="21" fillId="0" borderId="0" applyBorder="0"/>
    <xf numFmtId="223" fontId="21" fillId="0" borderId="0" applyBorder="0"/>
    <xf numFmtId="223" fontId="21" fillId="0" borderId="0" applyBorder="0"/>
    <xf numFmtId="223" fontId="21" fillId="0" borderId="0"/>
    <xf numFmtId="223" fontId="21" fillId="0" borderId="0"/>
    <xf numFmtId="223" fontId="42" fillId="0" borderId="0"/>
    <xf numFmtId="223" fontId="42" fillId="0" borderId="0"/>
    <xf numFmtId="0" fontId="1" fillId="0" borderId="0"/>
    <xf numFmtId="178" fontId="21" fillId="0" borderId="0"/>
    <xf numFmtId="0" fontId="21" fillId="0" borderId="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64" fillId="7"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64" fillId="8"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64" fillId="9"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64"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64" fillId="11"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64" fillId="12"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64" fillId="13"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64" fillId="14"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64" fillId="15"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64"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64" fillId="13" borderId="0" applyNumberFormat="0" applyBorder="0" applyAlignment="0" applyProtection="0"/>
    <xf numFmtId="0" fontId="38" fillId="13"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64" fillId="16" borderId="0" applyNumberFormat="0" applyBorder="0" applyAlignment="0" applyProtection="0"/>
    <xf numFmtId="0" fontId="38" fillId="16" borderId="0" applyNumberFormat="0" applyBorder="0" applyAlignment="0" applyProtection="0"/>
    <xf numFmtId="0" fontId="49" fillId="17" borderId="0" applyNumberFormat="0" applyBorder="0" applyAlignment="0" applyProtection="0"/>
    <xf numFmtId="0" fontId="65" fillId="17" borderId="0" applyNumberFormat="0" applyBorder="0" applyAlignment="0" applyProtection="0"/>
    <xf numFmtId="0" fontId="49" fillId="14" borderId="0" applyNumberFormat="0" applyBorder="0" applyAlignment="0" applyProtection="0"/>
    <xf numFmtId="0" fontId="65" fillId="14" borderId="0" applyNumberFormat="0" applyBorder="0" applyAlignment="0" applyProtection="0"/>
    <xf numFmtId="0" fontId="49" fillId="15" borderId="0" applyNumberFormat="0" applyBorder="0" applyAlignment="0" applyProtection="0"/>
    <xf numFmtId="0" fontId="65" fillId="15" borderId="0" applyNumberFormat="0" applyBorder="0" applyAlignment="0" applyProtection="0"/>
    <xf numFmtId="0" fontId="49" fillId="18" borderId="0" applyNumberFormat="0" applyBorder="0" applyAlignment="0" applyProtection="0"/>
    <xf numFmtId="0" fontId="65" fillId="18" borderId="0" applyNumberFormat="0" applyBorder="0" applyAlignment="0" applyProtection="0"/>
    <xf numFmtId="0" fontId="49" fillId="19" borderId="0" applyNumberFormat="0" applyBorder="0" applyAlignment="0" applyProtection="0"/>
    <xf numFmtId="0" fontId="65" fillId="19" borderId="0" applyNumberFormat="0" applyBorder="0" applyAlignment="0" applyProtection="0"/>
    <xf numFmtId="0" fontId="49" fillId="20" borderId="0" applyNumberFormat="0" applyBorder="0" applyAlignment="0" applyProtection="0"/>
    <xf numFmtId="0" fontId="65" fillId="20" borderId="0" applyNumberFormat="0" applyBorder="0" applyAlignment="0" applyProtection="0"/>
    <xf numFmtId="0" fontId="49" fillId="21" borderId="0" applyNumberFormat="0" applyBorder="0" applyAlignment="0" applyProtection="0"/>
    <xf numFmtId="0" fontId="65" fillId="21" borderId="0" applyNumberFormat="0" applyBorder="0" applyAlignment="0" applyProtection="0"/>
    <xf numFmtId="0" fontId="49" fillId="22" borderId="0" applyNumberFormat="0" applyBorder="0" applyAlignment="0" applyProtection="0"/>
    <xf numFmtId="0" fontId="65" fillId="22" borderId="0" applyNumberFormat="0" applyBorder="0" applyAlignment="0" applyProtection="0"/>
    <xf numFmtId="0" fontId="49" fillId="23" borderId="0" applyNumberFormat="0" applyBorder="0" applyAlignment="0" applyProtection="0"/>
    <xf numFmtId="0" fontId="65" fillId="23" borderId="0" applyNumberFormat="0" applyBorder="0" applyAlignment="0" applyProtection="0"/>
    <xf numFmtId="0" fontId="49" fillId="18" borderId="0" applyNumberFormat="0" applyBorder="0" applyAlignment="0" applyProtection="0"/>
    <xf numFmtId="0" fontId="65" fillId="18" borderId="0" applyNumberFormat="0" applyBorder="0" applyAlignment="0" applyProtection="0"/>
    <xf numFmtId="0" fontId="49" fillId="19" borderId="0" applyNumberFormat="0" applyBorder="0" applyAlignment="0" applyProtection="0"/>
    <xf numFmtId="0" fontId="65" fillId="19" borderId="0" applyNumberFormat="0" applyBorder="0" applyAlignment="0" applyProtection="0"/>
    <xf numFmtId="0" fontId="49" fillId="24" borderId="0" applyNumberFormat="0" applyBorder="0" applyAlignment="0" applyProtection="0"/>
    <xf numFmtId="0" fontId="65" fillId="24" borderId="0" applyNumberFormat="0" applyBorder="0" applyAlignment="0" applyProtection="0"/>
    <xf numFmtId="0" fontId="41" fillId="0" borderId="4">
      <alignment horizontal="center" vertical="center"/>
    </xf>
    <xf numFmtId="0" fontId="50" fillId="8" borderId="0" applyNumberFormat="0" applyBorder="0" applyAlignment="0" applyProtection="0"/>
    <xf numFmtId="0" fontId="66" fillId="8" borderId="0" applyNumberFormat="0" applyBorder="0" applyAlignment="0" applyProtection="0"/>
    <xf numFmtId="0" fontId="51" fillId="25" borderId="7" applyNumberFormat="0" applyAlignment="0" applyProtection="0"/>
    <xf numFmtId="0" fontId="67" fillId="25" borderId="7" applyNumberFormat="0" applyAlignment="0" applyProtection="0"/>
    <xf numFmtId="0" fontId="52" fillId="26" borderId="8" applyNumberFormat="0" applyAlignment="0" applyProtection="0"/>
    <xf numFmtId="0" fontId="68" fillId="26" borderId="8" applyNumberFormat="0" applyAlignment="0" applyProtection="0"/>
    <xf numFmtId="0" fontId="21" fillId="0" borderId="0" applyFont="0" applyFill="0" applyBorder="0" applyAlignment="0" applyProtection="0"/>
    <xf numFmtId="0" fontId="21" fillId="0" borderId="0" applyFont="0" applyFill="0" applyBorder="0" applyAlignment="0" applyProtection="0"/>
    <xf numFmtId="0" fontId="53" fillId="0" borderId="0" applyNumberFormat="0" applyFill="0" applyBorder="0" applyAlignment="0" applyProtection="0"/>
    <xf numFmtId="0" fontId="69" fillId="0" borderId="0" applyNumberFormat="0" applyFill="0" applyBorder="0" applyAlignment="0" applyProtection="0"/>
    <xf numFmtId="0" fontId="54" fillId="9" borderId="0" applyNumberFormat="0" applyBorder="0" applyAlignment="0" applyProtection="0"/>
    <xf numFmtId="0" fontId="70" fillId="9" borderId="0" applyNumberFormat="0" applyBorder="0" applyAlignment="0" applyProtection="0"/>
    <xf numFmtId="0" fontId="55" fillId="0" borderId="23" applyNumberFormat="0" applyFill="0" applyAlignment="0" applyProtection="0"/>
    <xf numFmtId="0" fontId="71" fillId="0" borderId="23" applyNumberFormat="0" applyFill="0" applyAlignment="0" applyProtection="0"/>
    <xf numFmtId="0" fontId="56" fillId="0" borderId="24" applyNumberFormat="0" applyFill="0" applyAlignment="0" applyProtection="0"/>
    <xf numFmtId="0" fontId="72" fillId="0" borderId="24" applyNumberFormat="0" applyFill="0" applyAlignment="0" applyProtection="0"/>
    <xf numFmtId="0" fontId="57" fillId="0" borderId="9" applyNumberFormat="0" applyFill="0" applyAlignment="0" applyProtection="0"/>
    <xf numFmtId="0" fontId="73" fillId="0" borderId="9" applyNumberFormat="0" applyFill="0" applyAlignment="0" applyProtection="0"/>
    <xf numFmtId="0" fontId="57" fillId="0" borderId="0" applyNumberFormat="0" applyFill="0" applyBorder="0" applyAlignment="0" applyProtection="0"/>
    <xf numFmtId="0" fontId="73" fillId="0" borderId="0" applyNumberFormat="0" applyFill="0" applyBorder="0" applyAlignment="0" applyProtection="0"/>
    <xf numFmtId="0" fontId="37"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58" fillId="12" borderId="7" applyNumberFormat="0" applyAlignment="0" applyProtection="0"/>
    <xf numFmtId="0" fontId="74" fillId="12" borderId="7" applyNumberFormat="0" applyAlignment="0" applyProtection="0"/>
    <xf numFmtId="0" fontId="59" fillId="0" borderId="10" applyNumberFormat="0" applyFill="0" applyAlignment="0" applyProtection="0"/>
    <xf numFmtId="0" fontId="75" fillId="0" borderId="10" applyNumberFormat="0" applyFill="0" applyAlignment="0" applyProtection="0"/>
    <xf numFmtId="0" fontId="60" fillId="27" borderId="0" applyNumberFormat="0" applyBorder="0" applyAlignment="0" applyProtection="0"/>
    <xf numFmtId="0" fontId="76" fillId="27" borderId="0" applyNumberFormat="0" applyBorder="0" applyAlignment="0" applyProtection="0"/>
    <xf numFmtId="0" fontId="42"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xf numFmtId="0" fontId="64" fillId="0" borderId="0"/>
    <xf numFmtId="0" fontId="64" fillId="0" borderId="0"/>
    <xf numFmtId="0" fontId="64" fillId="0" borderId="0"/>
    <xf numFmtId="0" fontId="20" fillId="0" borderId="0"/>
    <xf numFmtId="0" fontId="20" fillId="0" borderId="0"/>
    <xf numFmtId="178" fontId="38" fillId="0" borderId="0"/>
    <xf numFmtId="178" fontId="38" fillId="0" borderId="0"/>
    <xf numFmtId="0" fontId="41" fillId="0" borderId="0"/>
    <xf numFmtId="0" fontId="41" fillId="0" borderId="0"/>
    <xf numFmtId="0" fontId="21" fillId="0" borderId="0"/>
    <xf numFmtId="0" fontId="21" fillId="0" borderId="0"/>
    <xf numFmtId="0" fontId="21" fillId="0" borderId="0"/>
    <xf numFmtId="0" fontId="21" fillId="0" borderId="0"/>
    <xf numFmtId="0" fontId="38" fillId="0" borderId="0"/>
    <xf numFmtId="0" fontId="38" fillId="0" borderId="0"/>
    <xf numFmtId="0" fontId="21" fillId="0" borderId="0"/>
    <xf numFmtId="0" fontId="21" fillId="0" borderId="0"/>
    <xf numFmtId="0" fontId="20" fillId="0" borderId="0"/>
    <xf numFmtId="0" fontId="20" fillId="0" borderId="0"/>
    <xf numFmtId="178" fontId="22" fillId="0" borderId="0"/>
    <xf numFmtId="0" fontId="22" fillId="0" borderId="0"/>
    <xf numFmtId="0" fontId="1" fillId="0" borderId="0"/>
    <xf numFmtId="0" fontId="20" fillId="0" borderId="0"/>
    <xf numFmtId="0" fontId="20" fillId="0" borderId="0"/>
    <xf numFmtId="0" fontId="80" fillId="0" borderId="0"/>
    <xf numFmtId="0" fontId="20" fillId="0" borderId="0"/>
    <xf numFmtId="0" fontId="20" fillId="0" borderId="0"/>
    <xf numFmtId="178" fontId="21" fillId="0" borderId="0" applyBorder="0"/>
    <xf numFmtId="0" fontId="21" fillId="0" borderId="0" applyBorder="0"/>
    <xf numFmtId="0" fontId="20" fillId="0" borderId="0"/>
    <xf numFmtId="0" fontId="20" fillId="0" borderId="0"/>
    <xf numFmtId="178" fontId="21" fillId="0" borderId="0"/>
    <xf numFmtId="0" fontId="20" fillId="0" borderId="0"/>
    <xf numFmtId="0" fontId="40" fillId="0" borderId="0"/>
    <xf numFmtId="0" fontId="40" fillId="0" borderId="0"/>
    <xf numFmtId="0" fontId="21" fillId="0" borderId="0"/>
    <xf numFmtId="0" fontId="20" fillId="0" borderId="0"/>
    <xf numFmtId="0" fontId="22" fillId="0" borderId="0"/>
    <xf numFmtId="0" fontId="21" fillId="0" borderId="0"/>
    <xf numFmtId="0" fontId="21" fillId="28" borderId="11" applyNumberFormat="0" applyFont="0" applyAlignment="0" applyProtection="0"/>
    <xf numFmtId="0" fontId="21" fillId="28" borderId="11" applyNumberFormat="0" applyFont="0" applyAlignment="0" applyProtection="0"/>
    <xf numFmtId="0" fontId="21" fillId="28" borderId="11" applyNumberFormat="0" applyFont="0" applyAlignment="0" applyProtection="0"/>
    <xf numFmtId="0" fontId="64" fillId="28" borderId="11" applyNumberFormat="0" applyFont="0" applyAlignment="0" applyProtection="0"/>
    <xf numFmtId="0" fontId="21" fillId="28" borderId="11" applyNumberFormat="0" applyFont="0" applyAlignment="0" applyProtection="0"/>
    <xf numFmtId="0" fontId="21" fillId="28" borderId="11" applyNumberFormat="0" applyFont="0" applyAlignment="0" applyProtection="0"/>
    <xf numFmtId="0" fontId="44" fillId="0" borderId="0">
      <alignment horizontal="left"/>
    </xf>
    <xf numFmtId="0" fontId="61" fillId="25" borderId="12" applyNumberFormat="0" applyAlignment="0" applyProtection="0"/>
    <xf numFmtId="0" fontId="77" fillId="25" borderId="12" applyNumberFormat="0" applyAlignment="0" applyProtection="0"/>
    <xf numFmtId="0" fontId="41" fillId="0" borderId="5">
      <alignment horizontal="center" vertical="center"/>
    </xf>
    <xf numFmtId="0" fontId="21" fillId="0" borderId="0" applyNumberFormat="0" applyFill="0" applyBorder="0" applyAlignment="0" applyProtection="0"/>
    <xf numFmtId="0" fontId="45" fillId="0" borderId="0"/>
    <xf numFmtId="0" fontId="34" fillId="0" borderId="0" applyNumberFormat="0" applyFill="0" applyBorder="0" applyAlignment="0" applyProtection="0"/>
    <xf numFmtId="0" fontId="46" fillId="0" borderId="0"/>
    <xf numFmtId="0" fontId="39" fillId="0" borderId="13" applyNumberFormat="0" applyFill="0" applyAlignment="0" applyProtection="0"/>
    <xf numFmtId="0" fontId="39" fillId="0" borderId="13" applyNumberFormat="0" applyFill="0" applyAlignment="0" applyProtection="0"/>
    <xf numFmtId="0" fontId="78" fillId="0" borderId="13" applyNumberFormat="0" applyFill="0" applyAlignment="0" applyProtection="0"/>
    <xf numFmtId="0" fontId="62" fillId="0" borderId="0" applyNumberFormat="0" applyFill="0" applyBorder="0" applyAlignment="0" applyProtection="0"/>
    <xf numFmtId="0" fontId="79" fillId="0" borderId="0" applyNumberFormat="0" applyFill="0" applyBorder="0" applyAlignment="0" applyProtection="0"/>
    <xf numFmtId="0" fontId="1" fillId="0" borderId="0"/>
    <xf numFmtId="0" fontId="110" fillId="0" borderId="0" applyNumberFormat="0" applyFill="0" applyBorder="0" applyAlignment="0" applyProtection="0"/>
    <xf numFmtId="0" fontId="111" fillId="0" borderId="30" applyNumberFormat="0" applyFill="0" applyAlignment="0" applyProtection="0"/>
    <xf numFmtId="0" fontId="112" fillId="0" borderId="31" applyNumberFormat="0" applyFill="0" applyAlignment="0" applyProtection="0"/>
    <xf numFmtId="0" fontId="99" fillId="0" borderId="32" applyNumberFormat="0" applyFill="0" applyAlignment="0" applyProtection="0"/>
    <xf numFmtId="0" fontId="99" fillId="0" borderId="0" applyNumberFormat="0" applyFill="0" applyBorder="0" applyAlignment="0" applyProtection="0"/>
    <xf numFmtId="0" fontId="100" fillId="32" borderId="0" applyNumberFormat="0" applyBorder="0" applyAlignment="0" applyProtection="0"/>
    <xf numFmtId="0" fontId="101" fillId="33" borderId="0" applyNumberFormat="0" applyBorder="0" applyAlignment="0" applyProtection="0"/>
    <xf numFmtId="0" fontId="102" fillId="34" borderId="0" applyNumberFormat="0" applyBorder="0" applyAlignment="0" applyProtection="0"/>
    <xf numFmtId="0" fontId="2" fillId="62" borderId="2" applyNumberFormat="0" applyAlignment="0" applyProtection="0"/>
    <xf numFmtId="0" fontId="103" fillId="35" borderId="25" applyNumberFormat="0" applyAlignment="0" applyProtection="0"/>
    <xf numFmtId="0" fontId="104" fillId="35" borderId="2" applyNumberFormat="0" applyAlignment="0" applyProtection="0"/>
    <xf numFmtId="0" fontId="105" fillId="0" borderId="26" applyNumberFormat="0" applyFill="0" applyAlignment="0" applyProtection="0"/>
    <xf numFmtId="0" fontId="106" fillId="36" borderId="27" applyNumberFormat="0" applyAlignment="0" applyProtection="0"/>
    <xf numFmtId="0" fontId="107" fillId="0" borderId="0" applyNumberFormat="0" applyFill="0" applyBorder="0" applyAlignment="0" applyProtection="0"/>
    <xf numFmtId="0" fontId="1" fillId="37" borderId="28" applyNumberFormat="0" applyFont="0" applyAlignment="0" applyProtection="0"/>
    <xf numFmtId="0" fontId="108" fillId="0" borderId="0" applyNumberFormat="0" applyFill="0" applyBorder="0" applyAlignment="0" applyProtection="0"/>
    <xf numFmtId="0" fontId="3" fillId="0" borderId="29" applyNumberFormat="0" applyFill="0" applyAlignment="0" applyProtection="0"/>
    <xf numFmtId="0" fontId="109"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09" fillId="41" borderId="0" applyNumberFormat="0" applyBorder="0" applyAlignment="0" applyProtection="0"/>
    <xf numFmtId="0" fontId="109"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09" fillId="45" borderId="0" applyNumberFormat="0" applyBorder="0" applyAlignment="0" applyProtection="0"/>
    <xf numFmtId="0" fontId="109" fillId="46"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09" fillId="49" borderId="0" applyNumberFormat="0" applyBorder="0" applyAlignment="0" applyProtection="0"/>
    <xf numFmtId="0" fontId="109" fillId="50"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09" fillId="53" borderId="0" applyNumberFormat="0" applyBorder="0" applyAlignment="0" applyProtection="0"/>
    <xf numFmtId="0" fontId="109" fillId="54"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109" fillId="57" borderId="0" applyNumberFormat="0" applyBorder="0" applyAlignment="0" applyProtection="0"/>
    <xf numFmtId="0" fontId="109"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09" fillId="61" borderId="0" applyNumberFormat="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166" fontId="1" fillId="0" borderId="0" applyFont="0" applyFill="0" applyBorder="0" applyAlignment="0" applyProtection="0"/>
    <xf numFmtId="0" fontId="1" fillId="0" borderId="0"/>
    <xf numFmtId="213" fontId="144" fillId="0" borderId="35" applyFill="0">
      <alignment horizontal="center" vertical="center"/>
    </xf>
    <xf numFmtId="164" fontId="1" fillId="0" borderId="0" applyFont="0" applyFill="0" applyBorder="0" applyAlignment="0" applyProtection="0"/>
    <xf numFmtId="178" fontId="142" fillId="63" borderId="0"/>
    <xf numFmtId="0" fontId="114" fillId="0" borderId="34" applyNumberFormat="0" applyFont="0" applyFill="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4" fillId="0" borderId="0" applyFont="0" applyFill="0" applyBorder="0" applyAlignment="0" applyProtection="0"/>
    <xf numFmtId="0" fontId="22" fillId="0" borderId="0">
      <alignment vertical="top"/>
    </xf>
    <xf numFmtId="0" fontId="21" fillId="0" borderId="0"/>
    <xf numFmtId="0" fontId="21" fillId="0" borderId="0"/>
    <xf numFmtId="0" fontId="21" fillId="0" borderId="0"/>
    <xf numFmtId="0" fontId="2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41" fillId="0" borderId="0"/>
    <xf numFmtId="0" fontId="41" fillId="0" borderId="0"/>
    <xf numFmtId="0" fontId="20" fillId="0" borderId="0"/>
    <xf numFmtId="0" fontId="41" fillId="0" borderId="0"/>
    <xf numFmtId="0" fontId="20" fillId="0" borderId="0"/>
    <xf numFmtId="0" fontId="20" fillId="0" borderId="0"/>
    <xf numFmtId="0" fontId="20" fillId="0" borderId="0"/>
    <xf numFmtId="0" fontId="41"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41" fillId="0" borderId="0"/>
    <xf numFmtId="0" fontId="41" fillId="0" borderId="0"/>
    <xf numFmtId="0" fontId="41" fillId="0" borderId="0"/>
    <xf numFmtId="0" fontId="20" fillId="0" borderId="0"/>
    <xf numFmtId="0" fontId="20" fillId="0" borderId="0"/>
    <xf numFmtId="0" fontId="41" fillId="0" borderId="0"/>
    <xf numFmtId="0" fontId="41" fillId="0" borderId="0"/>
    <xf numFmtId="0" fontId="41" fillId="0" borderId="0"/>
    <xf numFmtId="0" fontId="20" fillId="0" borderId="0"/>
    <xf numFmtId="0" fontId="20" fillId="0" borderId="0"/>
    <xf numFmtId="0" fontId="20" fillId="0" borderId="0"/>
    <xf numFmtId="0" fontId="20" fillId="0" borderId="0"/>
    <xf numFmtId="0" fontId="20" fillId="0" borderId="0"/>
    <xf numFmtId="0" fontId="88" fillId="0" borderId="0"/>
    <xf numFmtId="0" fontId="88"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21" fillId="0" borderId="0" applyBorder="0"/>
    <xf numFmtId="0" fontId="38" fillId="0" borderId="0"/>
    <xf numFmtId="0" fontId="21" fillId="0" borderId="0" applyFont="0" applyFill="0" applyBorder="0" applyAlignment="0" applyProtection="0"/>
    <xf numFmtId="0" fontId="37" fillId="0" borderId="0" applyNumberFormat="0" applyFill="0" applyBorder="0" applyAlignment="0" applyProtection="0">
      <alignment vertical="top"/>
      <protection locked="0"/>
    </xf>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applyNumberForma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xf numFmtId="0" fontId="38" fillId="7" borderId="0" applyNumberFormat="0" applyBorder="0" applyAlignment="0" applyProtection="0"/>
    <xf numFmtId="0" fontId="1" fillId="7" borderId="0" applyNumberFormat="0" applyBorder="0" applyAlignment="0" applyProtection="0"/>
    <xf numFmtId="0" fontId="83" fillId="39" borderId="0" applyNumberFormat="0" applyBorder="0" applyAlignment="0" applyProtection="0"/>
    <xf numFmtId="0" fontId="38" fillId="8" borderId="0" applyNumberFormat="0" applyBorder="0" applyAlignment="0" applyProtection="0"/>
    <xf numFmtId="0" fontId="1" fillId="8" borderId="0" applyNumberFormat="0" applyBorder="0" applyAlignment="0" applyProtection="0"/>
    <xf numFmtId="0" fontId="83" fillId="43" borderId="0" applyNumberFormat="0" applyBorder="0" applyAlignment="0" applyProtection="0"/>
    <xf numFmtId="0" fontId="38" fillId="9" borderId="0" applyNumberFormat="0" applyBorder="0" applyAlignment="0" applyProtection="0"/>
    <xf numFmtId="0" fontId="1" fillId="9" borderId="0" applyNumberFormat="0" applyBorder="0" applyAlignment="0" applyProtection="0"/>
    <xf numFmtId="0" fontId="83" fillId="47" borderId="0" applyNumberFormat="0" applyBorder="0" applyAlignment="0" applyProtection="0"/>
    <xf numFmtId="0" fontId="38" fillId="10" borderId="0" applyNumberFormat="0" applyBorder="0" applyAlignment="0" applyProtection="0"/>
    <xf numFmtId="0" fontId="1" fillId="10" borderId="0" applyNumberFormat="0" applyBorder="0" applyAlignment="0" applyProtection="0"/>
    <xf numFmtId="0" fontId="83" fillId="51" borderId="0" applyNumberFormat="0" applyBorder="0" applyAlignment="0" applyProtection="0"/>
    <xf numFmtId="0" fontId="38" fillId="11" borderId="0" applyNumberFormat="0" applyBorder="0" applyAlignment="0" applyProtection="0"/>
    <xf numFmtId="0" fontId="83" fillId="55" borderId="0" applyNumberFormat="0" applyBorder="0" applyAlignment="0" applyProtection="0"/>
    <xf numFmtId="0" fontId="38" fillId="12" borderId="0" applyNumberFormat="0" applyBorder="0" applyAlignment="0" applyProtection="0"/>
    <xf numFmtId="0" fontId="1" fillId="25" borderId="0" applyNumberFormat="0" applyBorder="0" applyAlignment="0" applyProtection="0"/>
    <xf numFmtId="0" fontId="83" fillId="59" borderId="0" applyNumberFormat="0" applyBorder="0" applyAlignment="0" applyProtection="0"/>
    <xf numFmtId="0" fontId="38" fillId="13" borderId="0" applyNumberFormat="0" applyBorder="0" applyAlignment="0" applyProtection="0"/>
    <xf numFmtId="0" fontId="1" fillId="13" borderId="0" applyNumberFormat="0" applyBorder="0" applyAlignment="0" applyProtection="0"/>
    <xf numFmtId="0" fontId="83" fillId="40" borderId="0" applyNumberFormat="0" applyBorder="0" applyAlignment="0" applyProtection="0"/>
    <xf numFmtId="0" fontId="38" fillId="14" borderId="0" applyNumberFormat="0" applyBorder="0" applyAlignment="0" applyProtection="0"/>
    <xf numFmtId="0" fontId="83" fillId="44" borderId="0" applyNumberFormat="0" applyBorder="0" applyAlignment="0" applyProtection="0"/>
    <xf numFmtId="0" fontId="38" fillId="15" borderId="0" applyNumberFormat="0" applyBorder="0" applyAlignment="0" applyProtection="0"/>
    <xf numFmtId="0" fontId="1" fillId="15" borderId="0" applyNumberFormat="0" applyBorder="0" applyAlignment="0" applyProtection="0"/>
    <xf numFmtId="0" fontId="83" fillId="48" borderId="0" applyNumberFormat="0" applyBorder="0" applyAlignment="0" applyProtection="0"/>
    <xf numFmtId="0" fontId="38" fillId="10" borderId="0" applyNumberFormat="0" applyBorder="0" applyAlignment="0" applyProtection="0"/>
    <xf numFmtId="0" fontId="1" fillId="10" borderId="0" applyNumberFormat="0" applyBorder="0" applyAlignment="0" applyProtection="0"/>
    <xf numFmtId="0" fontId="83" fillId="52" borderId="0" applyNumberFormat="0" applyBorder="0" applyAlignment="0" applyProtection="0"/>
    <xf numFmtId="0" fontId="38" fillId="13" borderId="0" applyNumberFormat="0" applyBorder="0" applyAlignment="0" applyProtection="0"/>
    <xf numFmtId="0" fontId="1" fillId="13" borderId="0" applyNumberFormat="0" applyBorder="0" applyAlignment="0" applyProtection="0"/>
    <xf numFmtId="0" fontId="83" fillId="56" borderId="0" applyNumberFormat="0" applyBorder="0" applyAlignment="0" applyProtection="0"/>
    <xf numFmtId="0" fontId="38" fillId="16" borderId="0" applyNumberFormat="0" applyBorder="0" applyAlignment="0" applyProtection="0"/>
    <xf numFmtId="0" fontId="1" fillId="16" borderId="0" applyNumberFormat="0" applyBorder="0" applyAlignment="0" applyProtection="0"/>
    <xf numFmtId="0" fontId="83" fillId="60" borderId="0" applyNumberFormat="0" applyBorder="0" applyAlignment="0" applyProtection="0"/>
    <xf numFmtId="0" fontId="49" fillId="17" borderId="0" applyNumberFormat="0" applyBorder="0" applyAlignment="0" applyProtection="0"/>
    <xf numFmtId="0" fontId="109" fillId="17" borderId="0" applyNumberFormat="0" applyBorder="0" applyAlignment="0" applyProtection="0"/>
    <xf numFmtId="0" fontId="123" fillId="41" borderId="0" applyNumberFormat="0" applyBorder="0" applyAlignment="0" applyProtection="0"/>
    <xf numFmtId="0" fontId="49" fillId="14" borderId="0" applyNumberFormat="0" applyBorder="0" applyAlignment="0" applyProtection="0"/>
    <xf numFmtId="0" fontId="109" fillId="14" borderId="0" applyNumberFormat="0" applyBorder="0" applyAlignment="0" applyProtection="0"/>
    <xf numFmtId="0" fontId="123" fillId="45" borderId="0" applyNumberFormat="0" applyBorder="0" applyAlignment="0" applyProtection="0"/>
    <xf numFmtId="0" fontId="49" fillId="15" borderId="0" applyNumberFormat="0" applyBorder="0" applyAlignment="0" applyProtection="0"/>
    <xf numFmtId="0" fontId="109" fillId="15" borderId="0" applyNumberFormat="0" applyBorder="0" applyAlignment="0" applyProtection="0"/>
    <xf numFmtId="0" fontId="123" fillId="49" borderId="0" applyNumberFormat="0" applyBorder="0" applyAlignment="0" applyProtection="0"/>
    <xf numFmtId="0" fontId="49" fillId="18" borderId="0" applyNumberFormat="0" applyBorder="0" applyAlignment="0" applyProtection="0"/>
    <xf numFmtId="0" fontId="109" fillId="18" borderId="0" applyNumberFormat="0" applyBorder="0" applyAlignment="0" applyProtection="0"/>
    <xf numFmtId="0" fontId="123" fillId="53" borderId="0" applyNumberFormat="0" applyBorder="0" applyAlignment="0" applyProtection="0"/>
    <xf numFmtId="0" fontId="49" fillId="19" borderId="0" applyNumberFormat="0" applyBorder="0" applyAlignment="0" applyProtection="0"/>
    <xf numFmtId="0" fontId="109" fillId="19" borderId="0" applyNumberFormat="0" applyBorder="0" applyAlignment="0" applyProtection="0"/>
    <xf numFmtId="0" fontId="123" fillId="57" borderId="0" applyNumberFormat="0" applyBorder="0" applyAlignment="0" applyProtection="0"/>
    <xf numFmtId="0" fontId="49" fillId="20" borderId="0" applyNumberFormat="0" applyBorder="0" applyAlignment="0" applyProtection="0"/>
    <xf numFmtId="0" fontId="109" fillId="20" borderId="0" applyNumberFormat="0" applyBorder="0" applyAlignment="0" applyProtection="0"/>
    <xf numFmtId="0" fontId="123" fillId="61" borderId="0" applyNumberFormat="0" applyBorder="0" applyAlignment="0" applyProtection="0"/>
    <xf numFmtId="0" fontId="49" fillId="21" borderId="0" applyNumberFormat="0" applyBorder="0" applyAlignment="0" applyProtection="0"/>
    <xf numFmtId="0" fontId="109" fillId="21" borderId="0" applyNumberFormat="0" applyBorder="0" applyAlignment="0" applyProtection="0"/>
    <xf numFmtId="0" fontId="123" fillId="38" borderId="0" applyNumberFormat="0" applyBorder="0" applyAlignment="0" applyProtection="0"/>
    <xf numFmtId="0" fontId="49" fillId="22" borderId="0" applyNumberFormat="0" applyBorder="0" applyAlignment="0" applyProtection="0"/>
    <xf numFmtId="0" fontId="109" fillId="22" borderId="0" applyNumberFormat="0" applyBorder="0" applyAlignment="0" applyProtection="0"/>
    <xf numFmtId="0" fontId="123" fillId="42" borderId="0" applyNumberFormat="0" applyBorder="0" applyAlignment="0" applyProtection="0"/>
    <xf numFmtId="0" fontId="49" fillId="23" borderId="0" applyNumberFormat="0" applyBorder="0" applyAlignment="0" applyProtection="0"/>
    <xf numFmtId="0" fontId="109" fillId="23" borderId="0" applyNumberFormat="0" applyBorder="0" applyAlignment="0" applyProtection="0"/>
    <xf numFmtId="0" fontId="123" fillId="46" borderId="0" applyNumberFormat="0" applyBorder="0" applyAlignment="0" applyProtection="0"/>
    <xf numFmtId="0" fontId="49" fillId="18" borderId="0" applyNumberFormat="0" applyBorder="0" applyAlignment="0" applyProtection="0"/>
    <xf numFmtId="0" fontId="109" fillId="18" borderId="0" applyNumberFormat="0" applyBorder="0" applyAlignment="0" applyProtection="0"/>
    <xf numFmtId="0" fontId="123" fillId="50" borderId="0" applyNumberFormat="0" applyBorder="0" applyAlignment="0" applyProtection="0"/>
    <xf numFmtId="0" fontId="49" fillId="19" borderId="0" applyNumberFormat="0" applyBorder="0" applyAlignment="0" applyProtection="0"/>
    <xf numFmtId="0" fontId="123" fillId="54" borderId="0" applyNumberFormat="0" applyBorder="0" applyAlignment="0" applyProtection="0"/>
    <xf numFmtId="0" fontId="49" fillId="24" borderId="0" applyNumberFormat="0" applyBorder="0" applyAlignment="0" applyProtection="0"/>
    <xf numFmtId="0" fontId="109" fillId="24" borderId="0" applyNumberFormat="0" applyBorder="0" applyAlignment="0" applyProtection="0"/>
    <xf numFmtId="0" fontId="123" fillId="58" borderId="0" applyNumberFormat="0" applyBorder="0" applyAlignment="0" applyProtection="0"/>
    <xf numFmtId="0" fontId="50" fillId="8" borderId="0" applyNumberFormat="0" applyBorder="0" applyAlignment="0" applyProtection="0"/>
    <xf numFmtId="0" fontId="101" fillId="8" borderId="0" applyNumberFormat="0" applyBorder="0" applyAlignment="0" applyProtection="0"/>
    <xf numFmtId="0" fontId="124" fillId="33" borderId="0" applyNumberFormat="0" applyBorder="0" applyAlignment="0" applyProtection="0"/>
    <xf numFmtId="0" fontId="51" fillId="25" borderId="7" applyNumberFormat="0" applyAlignment="0" applyProtection="0"/>
    <xf numFmtId="0" fontId="125" fillId="25" borderId="2" applyNumberFormat="0" applyAlignment="0" applyProtection="0"/>
    <xf numFmtId="0" fontId="126" fillId="35" borderId="2" applyNumberFormat="0" applyAlignment="0" applyProtection="0"/>
    <xf numFmtId="0" fontId="52" fillId="26" borderId="8" applyNumberFormat="0" applyAlignment="0" applyProtection="0"/>
    <xf numFmtId="0" fontId="127" fillId="36" borderId="27" applyNumberFormat="0" applyAlignment="0" applyProtection="0"/>
    <xf numFmtId="0" fontId="53" fillId="0" borderId="0" applyNumberFormat="0" applyFill="0" applyBorder="0" applyAlignment="0" applyProtection="0"/>
    <xf numFmtId="0" fontId="128" fillId="0" borderId="0" applyNumberFormat="0" applyFill="0" applyBorder="0" applyAlignment="0" applyProtection="0"/>
    <xf numFmtId="0" fontId="54" fillId="9" borderId="0" applyNumberFormat="0" applyBorder="0" applyAlignment="0" applyProtection="0"/>
    <xf numFmtId="0" fontId="100" fillId="9" borderId="0" applyNumberFormat="0" applyBorder="0" applyAlignment="0" applyProtection="0"/>
    <xf numFmtId="0" fontId="129" fillId="32" borderId="0" applyNumberFormat="0" applyBorder="0" applyAlignment="0" applyProtection="0"/>
    <xf numFmtId="0" fontId="117" fillId="0" borderId="0" applyFill="0" applyBorder="0"/>
    <xf numFmtId="0" fontId="117" fillId="0" borderId="0" applyFill="0" applyBorder="0"/>
    <xf numFmtId="0" fontId="118" fillId="0" borderId="0" applyFill="0" applyBorder="0"/>
    <xf numFmtId="0" fontId="118" fillId="0" borderId="0" applyFill="0" applyBorder="0"/>
    <xf numFmtId="0" fontId="113" fillId="0" borderId="0" applyFill="0" applyBorder="0"/>
    <xf numFmtId="0" fontId="113" fillId="0" borderId="0" applyFill="0" applyBorder="0"/>
    <xf numFmtId="0" fontId="119" fillId="0" borderId="0" applyFill="0" applyBorder="0"/>
    <xf numFmtId="0" fontId="119" fillId="0" borderId="0" applyFill="0" applyBorder="0"/>
    <xf numFmtId="0" fontId="55" fillId="0" borderId="23" applyNumberFormat="0" applyFill="0" applyAlignment="0" applyProtection="0"/>
    <xf numFmtId="0" fontId="130" fillId="0" borderId="30" applyNumberFormat="0" applyFill="0" applyAlignment="0" applyProtection="0"/>
    <xf numFmtId="0" fontId="56" fillId="0" borderId="24" applyNumberFormat="0" applyFill="0" applyAlignment="0" applyProtection="0"/>
    <xf numFmtId="0" fontId="131" fillId="0" borderId="31" applyNumberFormat="0" applyFill="0" applyAlignment="0" applyProtection="0"/>
    <xf numFmtId="0" fontId="57" fillId="0" borderId="9" applyNumberFormat="0" applyFill="0" applyAlignment="0" applyProtection="0"/>
    <xf numFmtId="0" fontId="132" fillId="0" borderId="32" applyNumberFormat="0" applyFill="0" applyAlignment="0" applyProtection="0"/>
    <xf numFmtId="0" fontId="57" fillId="0" borderId="0" applyNumberFormat="0" applyFill="0" applyBorder="0" applyAlignment="0" applyProtection="0"/>
    <xf numFmtId="0" fontId="132" fillId="0" borderId="0" applyNumberFormat="0" applyFill="0" applyBorder="0" applyAlignment="0" applyProtection="0"/>
    <xf numFmtId="0" fontId="121" fillId="0" borderId="0" applyFill="0" applyBorder="0">
      <alignment horizontal="left"/>
      <protection hidden="1"/>
    </xf>
    <xf numFmtId="0" fontId="121" fillId="0" borderId="0" applyFill="0" applyBorder="0">
      <alignment horizontal="left" indent="1"/>
      <protection hidden="1"/>
    </xf>
    <xf numFmtId="0" fontId="121" fillId="0" borderId="0" applyFill="0" applyBorder="0">
      <alignment horizontal="left" indent="2"/>
      <protection hidden="1"/>
    </xf>
    <xf numFmtId="0" fontId="121" fillId="0" borderId="0" applyFill="0" applyBorder="0">
      <alignment horizontal="left" indent="3"/>
      <protection hidden="1"/>
    </xf>
    <xf numFmtId="0" fontId="96" fillId="0" borderId="0" applyFill="0" applyBorder="0">
      <alignment vertical="top" wrapText="1"/>
      <protection locked="0"/>
    </xf>
    <xf numFmtId="0" fontId="58" fillId="12" borderId="7" applyNumberFormat="0" applyAlignment="0" applyProtection="0"/>
    <xf numFmtId="0" fontId="2" fillId="25" borderId="2" applyNumberFormat="0" applyAlignment="0" applyProtection="0"/>
    <xf numFmtId="0" fontId="133" fillId="62" borderId="2" applyNumberFormat="0" applyAlignment="0" applyProtection="0"/>
    <xf numFmtId="0" fontId="59" fillId="0" borderId="10" applyNumberFormat="0" applyFill="0" applyAlignment="0" applyProtection="0"/>
    <xf numFmtId="0" fontId="134" fillId="0" borderId="26" applyNumberFormat="0" applyFill="0" applyAlignment="0" applyProtection="0"/>
    <xf numFmtId="0" fontId="88" fillId="0" borderId="0" applyFill="0" applyBorder="0">
      <alignment vertical="top" wrapText="1"/>
    </xf>
    <xf numFmtId="0" fontId="88" fillId="0" borderId="0" applyFill="0" applyBorder="0">
      <alignment vertical="top" wrapText="1"/>
    </xf>
    <xf numFmtId="0" fontId="60" fillId="27" borderId="0" applyNumberFormat="0" applyBorder="0" applyAlignment="0" applyProtection="0"/>
    <xf numFmtId="0" fontId="135" fillId="34" borderId="0" applyNumberFormat="0" applyBorder="0" applyAlignment="0" applyProtection="0"/>
    <xf numFmtId="0" fontId="136" fillId="34" borderId="0" applyNumberFormat="0" applyBorder="0" applyAlignment="0" applyProtection="0"/>
    <xf numFmtId="0" fontId="21" fillId="0" borderId="0" applyBorder="0"/>
    <xf numFmtId="0" fontId="21" fillId="0" borderId="0" applyBorder="0"/>
    <xf numFmtId="0" fontId="21" fillId="0" borderId="0" applyBorder="0"/>
    <xf numFmtId="0" fontId="21" fillId="0" borderId="0" applyBorder="0"/>
    <xf numFmtId="0" fontId="21" fillId="0" borderId="0" applyBorder="0"/>
    <xf numFmtId="0" fontId="83" fillId="0" borderId="0"/>
    <xf numFmtId="0" fontId="21" fillId="0" borderId="0"/>
    <xf numFmtId="0" fontId="1" fillId="0" borderId="0"/>
    <xf numFmtId="0" fontId="21" fillId="0" borderId="0"/>
    <xf numFmtId="0" fontId="1" fillId="0" borderId="0"/>
    <xf numFmtId="0" fontId="21" fillId="0" borderId="0"/>
    <xf numFmtId="0" fontId="21" fillId="0" borderId="0"/>
    <xf numFmtId="0" fontId="21" fillId="0" borderId="0" applyBorder="0"/>
    <xf numFmtId="0" fontId="1" fillId="0" borderId="0"/>
    <xf numFmtId="0" fontId="21" fillId="0" borderId="0" applyBorder="0"/>
    <xf numFmtId="0" fontId="21" fillId="28" borderId="11" applyNumberFormat="0" applyFont="0" applyAlignment="0" applyProtection="0"/>
    <xf numFmtId="0" fontId="38" fillId="37" borderId="28" applyNumberFormat="0" applyFont="0" applyAlignment="0" applyProtection="0"/>
    <xf numFmtId="0" fontId="120" fillId="37" borderId="28" applyNumberFormat="0" applyFont="0" applyAlignment="0" applyProtection="0"/>
    <xf numFmtId="0" fontId="61" fillId="25" borderId="12" applyNumberFormat="0" applyAlignment="0" applyProtection="0"/>
    <xf numFmtId="0" fontId="103" fillId="25" borderId="25" applyNumberFormat="0" applyAlignment="0" applyProtection="0"/>
    <xf numFmtId="0" fontId="137" fillId="35" borderId="25" applyNumberFormat="0" applyAlignment="0" applyProtection="0"/>
    <xf numFmtId="0" fontId="119" fillId="0" borderId="0" applyFill="0" applyBorder="0">
      <alignment vertical="top"/>
    </xf>
    <xf numFmtId="0" fontId="119" fillId="0" borderId="0" applyFill="0" applyBorder="0">
      <alignment vertical="top"/>
    </xf>
    <xf numFmtId="0" fontId="119" fillId="0" borderId="0" applyFill="0" applyBorder="0">
      <alignment horizontal="left" vertical="top" indent="1"/>
    </xf>
    <xf numFmtId="0" fontId="119" fillId="0" borderId="0" applyFill="0" applyBorder="0">
      <alignment horizontal="left" vertical="top" indent="1"/>
    </xf>
    <xf numFmtId="0" fontId="119" fillId="0" borderId="0" applyFill="0" applyBorder="0">
      <alignment horizontal="left" vertical="top" indent="2"/>
    </xf>
    <xf numFmtId="0" fontId="119" fillId="0" borderId="0" applyFill="0" applyBorder="0">
      <alignment horizontal="left" vertical="top" indent="2"/>
    </xf>
    <xf numFmtId="0" fontId="119" fillId="0" borderId="0" applyFill="0" applyBorder="0">
      <alignment horizontal="left" vertical="top" indent="3"/>
    </xf>
    <xf numFmtId="0" fontId="119" fillId="0" borderId="0" applyFill="0" applyBorder="0">
      <alignment horizontal="left" vertical="top" indent="3"/>
    </xf>
    <xf numFmtId="0" fontId="88" fillId="0" borderId="0" applyFill="0" applyBorder="0">
      <alignment vertical="top"/>
    </xf>
    <xf numFmtId="0" fontId="88" fillId="0" borderId="0" applyFill="0" applyBorder="0">
      <alignment vertical="top"/>
    </xf>
    <xf numFmtId="0" fontId="88" fillId="0" borderId="0" applyFill="0" applyBorder="0">
      <alignment horizontal="left" vertical="top" indent="1"/>
    </xf>
    <xf numFmtId="0" fontId="88" fillId="0" borderId="0" applyFill="0" applyBorder="0">
      <alignment horizontal="left" vertical="top" indent="1"/>
    </xf>
    <xf numFmtId="0" fontId="88" fillId="0" borderId="0" applyFill="0" applyBorder="0">
      <alignment horizontal="left" vertical="top" indent="2"/>
    </xf>
    <xf numFmtId="0" fontId="88" fillId="0" borderId="0" applyFill="0" applyBorder="0">
      <alignment horizontal="left" vertical="top" indent="2"/>
    </xf>
    <xf numFmtId="0" fontId="88" fillId="0" borderId="0" applyFill="0" applyBorder="0">
      <alignment horizontal="left" vertical="top" indent="3"/>
    </xf>
    <xf numFmtId="0" fontId="88" fillId="0" borderId="0" applyFill="0" applyBorder="0">
      <alignment horizontal="left" vertical="top" indent="3"/>
    </xf>
    <xf numFmtId="0" fontId="88" fillId="0" borderId="0" applyFill="0" applyBorder="0">
      <alignment horizontal="left" vertical="top" indent="4"/>
    </xf>
    <xf numFmtId="0" fontId="88" fillId="0" borderId="0" applyFill="0" applyBorder="0">
      <alignment horizontal="left" vertical="top" indent="4"/>
    </xf>
    <xf numFmtId="0" fontId="34" fillId="0" borderId="0" applyNumberFormat="0" applyFill="0" applyBorder="0" applyAlignment="0" applyProtection="0"/>
    <xf numFmtId="0" fontId="110" fillId="0" borderId="0" applyNumberFormat="0" applyFill="0" applyBorder="0" applyAlignment="0" applyProtection="0"/>
    <xf numFmtId="0" fontId="39" fillId="0" borderId="13" applyNumberFormat="0" applyFill="0" applyAlignment="0" applyProtection="0"/>
    <xf numFmtId="0" fontId="3" fillId="0" borderId="13" applyNumberFormat="0" applyFill="0" applyAlignment="0" applyProtection="0"/>
    <xf numFmtId="0" fontId="138" fillId="0" borderId="29" applyNumberFormat="0" applyFill="0" applyAlignment="0" applyProtection="0"/>
    <xf numFmtId="0" fontId="88" fillId="0" borderId="0" applyFill="0" applyBorder="0">
      <alignment horizontal="center"/>
    </xf>
    <xf numFmtId="0" fontId="88" fillId="0" borderId="0" applyFill="0" applyBorder="0">
      <alignment horizontal="center"/>
    </xf>
    <xf numFmtId="0" fontId="88" fillId="0" borderId="0" applyFill="0" applyBorder="0">
      <alignment horizontal="center" wrapText="1"/>
    </xf>
    <xf numFmtId="0" fontId="88" fillId="0" borderId="0" applyFill="0" applyBorder="0">
      <alignment horizontal="center" wrapText="1"/>
    </xf>
    <xf numFmtId="0" fontId="62" fillId="0" borderId="0" applyNumberFormat="0" applyFill="0" applyBorder="0" applyAlignment="0" applyProtection="0"/>
    <xf numFmtId="0" fontId="139" fillId="0" borderId="0" applyNumberFormat="0" applyFill="0" applyBorder="0" applyAlignment="0" applyProtection="0"/>
    <xf numFmtId="166" fontId="38" fillId="0" borderId="0" applyFont="0" applyFill="0" applyBorder="0" applyAlignment="0" applyProtection="0"/>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21" fillId="0" borderId="0"/>
    <xf numFmtId="0" fontId="22" fillId="0" borderId="0">
      <alignment vertical="top"/>
    </xf>
    <xf numFmtId="0" fontId="115" fillId="0" borderId="0" applyNumberFormat="0" applyFill="0" applyBorder="0" applyAlignment="0" applyProtection="0"/>
    <xf numFmtId="0" fontId="116" fillId="0" borderId="0" applyNumberFormat="0" applyFill="0" applyBorder="0" applyAlignment="0" applyProtection="0"/>
    <xf numFmtId="0" fontId="114" fillId="0" borderId="34" applyNumberFormat="0" applyFont="0" applyFill="0" applyAlignment="0" applyProtection="0"/>
    <xf numFmtId="0" fontId="64" fillId="0" borderId="0"/>
    <xf numFmtId="0" fontId="21" fillId="28" borderId="11" applyNumberFormat="0" applyFont="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3" fillId="17"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4" borderId="0" applyNumberFormat="0" applyBorder="0" applyAlignment="0" applyProtection="0"/>
    <xf numFmtId="0" fontId="24" fillId="8" borderId="0" applyNumberFormat="0" applyBorder="0" applyAlignment="0" applyProtection="0"/>
    <xf numFmtId="0" fontId="25" fillId="25" borderId="7" applyNumberFormat="0" applyAlignment="0" applyProtection="0"/>
    <xf numFmtId="0" fontId="26" fillId="26" borderId="8" applyNumberFormat="0" applyAlignment="0" applyProtection="0"/>
    <xf numFmtId="0" fontId="27" fillId="0" borderId="0" applyNumberFormat="0" applyFill="0" applyBorder="0" applyAlignment="0" applyProtection="0"/>
    <xf numFmtId="0" fontId="28" fillId="9" borderId="0" applyNumberFormat="0" applyBorder="0" applyAlignment="0" applyProtection="0"/>
    <xf numFmtId="0" fontId="84" fillId="0" borderId="23" applyNumberFormat="0" applyFill="0" applyAlignment="0" applyProtection="0"/>
    <xf numFmtId="0" fontId="85" fillId="0" borderId="24" applyNumberFormat="0" applyFill="0" applyAlignment="0" applyProtection="0"/>
    <xf numFmtId="0" fontId="29" fillId="0" borderId="9" applyNumberFormat="0" applyFill="0" applyAlignment="0" applyProtection="0"/>
    <xf numFmtId="0" fontId="29" fillId="0" borderId="0" applyNumberFormat="0" applyFill="0" applyBorder="0" applyAlignment="0" applyProtection="0"/>
    <xf numFmtId="0" fontId="140" fillId="0" borderId="0" applyNumberFormat="0" applyFill="0" applyBorder="0" applyAlignment="0" applyProtection="0">
      <alignment vertical="top"/>
      <protection locked="0"/>
    </xf>
    <xf numFmtId="0" fontId="86" fillId="12" borderId="7" applyNumberFormat="0" applyAlignment="0" applyProtection="0"/>
    <xf numFmtId="0" fontId="30" fillId="0" borderId="10" applyNumberFormat="0" applyFill="0" applyAlignment="0" applyProtection="0"/>
    <xf numFmtId="0" fontId="31" fillId="27" borderId="0" applyNumberFormat="0" applyBorder="0" applyAlignment="0" applyProtection="0"/>
    <xf numFmtId="0" fontId="20" fillId="0" borderId="0"/>
    <xf numFmtId="0" fontId="3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28" borderId="11" applyNumberFormat="0" applyFont="0" applyAlignment="0" applyProtection="0"/>
    <xf numFmtId="0" fontId="33" fillId="25" borderId="12" applyNumberFormat="0" applyAlignment="0" applyProtection="0"/>
    <xf numFmtId="0" fontId="35" fillId="0" borderId="13" applyNumberFormat="0" applyFill="0" applyAlignment="0" applyProtection="0"/>
    <xf numFmtId="0" fontId="36" fillId="0" borderId="0" applyNumberFormat="0" applyFill="0" applyBorder="0" applyAlignment="0" applyProtection="0"/>
    <xf numFmtId="0" fontId="141" fillId="0" borderId="0"/>
    <xf numFmtId="0" fontId="141" fillId="30" borderId="35">
      <alignment vertical="top" wrapText="1"/>
      <protection locked="0"/>
    </xf>
    <xf numFmtId="0" fontId="143" fillId="30" borderId="35" applyNumberFormat="0">
      <protection locked="0"/>
    </xf>
    <xf numFmtId="0" fontId="141" fillId="31" borderId="0"/>
    <xf numFmtId="213" fontId="142" fillId="0" borderId="0" applyFont="0" applyFill="0" applyBorder="0" applyProtection="0">
      <protection locked="0"/>
    </xf>
    <xf numFmtId="214" fontId="142" fillId="0" borderId="0" applyFont="0" applyFill="0" applyBorder="0" applyAlignment="0" applyProtection="0">
      <alignment wrapText="1"/>
    </xf>
    <xf numFmtId="0" fontId="144" fillId="0" borderId="35" applyFill="0">
      <alignment horizontal="center"/>
    </xf>
    <xf numFmtId="213" fontId="144" fillId="0" borderId="35" applyFill="0">
      <alignment horizontal="center" vertical="center"/>
    </xf>
    <xf numFmtId="0" fontId="146" fillId="0" borderId="0" applyNumberFormat="0" applyFill="0" applyBorder="0" applyAlignment="0" applyProtection="0">
      <alignment vertical="top"/>
      <protection locked="0"/>
    </xf>
    <xf numFmtId="0" fontId="147" fillId="0" borderId="0" applyNumberFormat="0" applyFill="0" applyAlignment="0"/>
    <xf numFmtId="0" fontId="147" fillId="0" borderId="0" applyNumberFormat="0" applyFill="0" applyAlignment="0" applyProtection="0"/>
    <xf numFmtId="0" fontId="148" fillId="0" borderId="0" applyNumberFormat="0" applyFill="0" applyAlignment="0"/>
    <xf numFmtId="0" fontId="142" fillId="64" borderId="0" applyFill="0" applyBorder="0"/>
    <xf numFmtId="0" fontId="141" fillId="31" borderId="36" applyNumberFormat="0">
      <alignment horizontal="left"/>
    </xf>
    <xf numFmtId="0" fontId="150" fillId="0" borderId="0" applyNumberFormat="0" applyFill="0" applyBorder="0" applyAlignment="0" applyProtection="0">
      <alignment vertical="top"/>
      <protection locked="0"/>
    </xf>
    <xf numFmtId="0" fontId="152" fillId="0" borderId="0" applyFill="0" applyBorder="0">
      <alignment horizontal="centerContinuous" wrapText="1"/>
    </xf>
    <xf numFmtId="0" fontId="152" fillId="0" borderId="0" applyFill="0" applyBorder="0">
      <alignment horizontal="center" wrapText="1"/>
    </xf>
    <xf numFmtId="0" fontId="141" fillId="31" borderId="35" applyNumberFormat="0">
      <alignment horizontal="left"/>
    </xf>
    <xf numFmtId="0" fontId="141" fillId="31" borderId="38" applyNumberFormat="0">
      <alignment horizontal="left"/>
    </xf>
    <xf numFmtId="211" fontId="142" fillId="0" borderId="0" applyFont="0" applyFill="0" applyBorder="0" applyAlignment="0" applyProtection="0">
      <alignment horizontal="left"/>
      <protection locked="0"/>
    </xf>
    <xf numFmtId="0" fontId="142" fillId="63" borderId="0"/>
    <xf numFmtId="0" fontId="141" fillId="30" borderId="35">
      <alignment horizontal="left" vertical="top" wrapText="1" indent="1"/>
      <protection locked="0"/>
    </xf>
    <xf numFmtId="0" fontId="21" fillId="64" borderId="0"/>
    <xf numFmtId="0" fontId="21" fillId="0" borderId="0" applyBorder="0"/>
    <xf numFmtId="0" fontId="156" fillId="65" borderId="33" applyFill="0">
      <alignment horizontal="center"/>
    </xf>
    <xf numFmtId="213" fontId="156" fillId="65" borderId="33" applyFill="0">
      <alignment horizontal="center" vertical="center"/>
    </xf>
    <xf numFmtId="0" fontId="146" fillId="0" borderId="0" applyNumberFormat="0" applyFill="0" applyBorder="0" applyAlignment="0" applyProtection="0">
      <alignment vertical="top"/>
      <protection locked="0"/>
    </xf>
    <xf numFmtId="0" fontId="118" fillId="0" borderId="0" applyNumberFormat="0" applyFill="0" applyAlignment="0"/>
    <xf numFmtId="0" fontId="118" fillId="65" borderId="0" applyNumberFormat="0" applyFill="0" applyAlignment="0"/>
    <xf numFmtId="0" fontId="142" fillId="64" borderId="0" applyFill="0" applyBorder="0">
      <alignment wrapText="1"/>
    </xf>
    <xf numFmtId="0" fontId="141" fillId="31" borderId="36" applyNumberFormat="0" applyFill="0">
      <alignment horizontal="left"/>
    </xf>
    <xf numFmtId="0" fontId="150"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227" fontId="21" fillId="0" borderId="0" applyFont="0" applyFill="0" applyBorder="0" applyAlignment="0" applyProtection="0"/>
    <xf numFmtId="0" fontId="113" fillId="64" borderId="0" applyFill="0" applyBorder="0">
      <alignment horizontal="centerContinuous" wrapText="1"/>
    </xf>
    <xf numFmtId="0" fontId="141" fillId="31" borderId="35" applyNumberFormat="0">
      <alignment horizontal="left"/>
    </xf>
    <xf numFmtId="0" fontId="21" fillId="0" borderId="0"/>
    <xf numFmtId="0" fontId="1" fillId="0" borderId="0"/>
    <xf numFmtId="0" fontId="141" fillId="31" borderId="38" applyNumberFormat="0" applyFill="0">
      <alignment horizontal="left"/>
    </xf>
    <xf numFmtId="211" fontId="142" fillId="0" borderId="0" applyFont="0" applyFill="0" applyBorder="0" applyAlignment="0" applyProtection="0">
      <alignment horizontal="left"/>
      <protection locked="0"/>
    </xf>
    <xf numFmtId="0" fontId="158" fillId="0" borderId="0" applyNumberFormat="0" applyFill="0" applyBorder="0" applyAlignment="0" applyProtection="0"/>
    <xf numFmtId="0" fontId="21" fillId="65" borderId="0"/>
    <xf numFmtId="0" fontId="21" fillId="0" borderId="0"/>
    <xf numFmtId="174" fontId="1" fillId="0" borderId="0"/>
    <xf numFmtId="174" fontId="1" fillId="0" borderId="0"/>
    <xf numFmtId="174" fontId="1" fillId="0" borderId="0"/>
    <xf numFmtId="0" fontId="1" fillId="0" borderId="0"/>
    <xf numFmtId="0" fontId="53" fillId="0" borderId="0" applyNumberFormat="0" applyFill="0" applyBorder="0" applyAlignment="0" applyProtection="0"/>
    <xf numFmtId="178" fontId="141" fillId="0" borderId="0"/>
    <xf numFmtId="0" fontId="53" fillId="0" borderId="0" applyNumberFormat="0" applyFill="0" applyBorder="0" applyAlignment="0" applyProtection="0"/>
    <xf numFmtId="0" fontId="53" fillId="0" borderId="0" applyNumberFormat="0" applyFill="0" applyBorder="0" applyAlignment="0" applyProtection="0"/>
    <xf numFmtId="0" fontId="20" fillId="0" borderId="0"/>
    <xf numFmtId="0" fontId="21" fillId="0" borderId="0" applyFont="0" applyFill="0" applyBorder="0" applyAlignment="0" applyProtection="0"/>
    <xf numFmtId="0" fontId="1" fillId="0" borderId="0"/>
    <xf numFmtId="0" fontId="80" fillId="0" borderId="0"/>
    <xf numFmtId="0" fontId="41" fillId="0" borderId="0"/>
    <xf numFmtId="0" fontId="1" fillId="0" borderId="0"/>
    <xf numFmtId="0" fontId="21" fillId="0" borderId="0" applyNumberFormat="0" applyFill="0" applyBorder="0" applyAlignment="0" applyProtection="0"/>
    <xf numFmtId="0" fontId="41" fillId="0" borderId="4">
      <alignment horizontal="center" vertical="center"/>
    </xf>
    <xf numFmtId="0" fontId="48" fillId="0" borderId="0" applyNumberFormat="0" applyFill="0" applyBorder="0" applyAlignment="0" applyProtection="0">
      <alignment vertical="top"/>
      <protection locked="0"/>
    </xf>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6" borderId="0" applyNumberFormat="0" applyBorder="0" applyAlignment="0" applyProtection="0"/>
    <xf numFmtId="0" fontId="49" fillId="17"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50" fillId="8" borderId="0" applyNumberFormat="0" applyBorder="0" applyAlignment="0" applyProtection="0"/>
    <xf numFmtId="0" fontId="51" fillId="25" borderId="7" applyNumberFormat="0" applyAlignment="0" applyProtection="0"/>
    <xf numFmtId="0" fontId="52" fillId="26" borderId="8" applyNumberFormat="0" applyAlignment="0" applyProtection="0"/>
    <xf numFmtId="0" fontId="53" fillId="0" borderId="0" applyNumberFormat="0" applyFill="0" applyBorder="0" applyAlignment="0" applyProtection="0"/>
    <xf numFmtId="0" fontId="54" fillId="9" borderId="0" applyNumberFormat="0" applyBorder="0" applyAlignment="0" applyProtection="0"/>
    <xf numFmtId="0" fontId="58" fillId="12" borderId="7" applyNumberFormat="0" applyAlignment="0" applyProtection="0"/>
    <xf numFmtId="0" fontId="60" fillId="27" borderId="0" applyNumberFormat="0" applyBorder="0" applyAlignment="0" applyProtection="0"/>
    <xf numFmtId="0" fontId="21" fillId="28" borderId="11" applyNumberFormat="0" applyFont="0" applyAlignment="0" applyProtection="0"/>
    <xf numFmtId="0" fontId="61" fillId="25" borderId="12" applyNumberFormat="0" applyAlignment="0" applyProtection="0"/>
    <xf numFmtId="0" fontId="39" fillId="0" borderId="13" applyNumberFormat="0" applyFill="0" applyAlignment="0" applyProtection="0"/>
    <xf numFmtId="0" fontId="62" fillId="0" borderId="0" applyNumberFormat="0" applyFill="0" applyBorder="0" applyAlignment="0" applyProtection="0"/>
    <xf numFmtId="0" fontId="53" fillId="0" borderId="0" applyNumberFormat="0" applyFill="0" applyBorder="0" applyAlignment="0" applyProtection="0"/>
    <xf numFmtId="0" fontId="51" fillId="25" borderId="7" applyNumberFormat="0" applyAlignment="0" applyProtection="0"/>
    <xf numFmtId="0" fontId="53" fillId="0" borderId="0" applyNumberFormat="0" applyFill="0" applyBorder="0" applyAlignment="0" applyProtection="0"/>
    <xf numFmtId="0" fontId="58" fillId="12" borderId="7" applyNumberFormat="0" applyAlignment="0" applyProtection="0"/>
    <xf numFmtId="0" fontId="21" fillId="28" borderId="11" applyNumberFormat="0" applyFont="0" applyAlignment="0" applyProtection="0"/>
    <xf numFmtId="0" fontId="61" fillId="25" borderId="12" applyNumberFormat="0" applyAlignment="0" applyProtection="0"/>
    <xf numFmtId="0" fontId="39" fillId="0" borderId="13" applyNumberFormat="0" applyFill="0" applyAlignment="0" applyProtection="0"/>
    <xf numFmtId="213" fontId="142" fillId="0" borderId="0" applyFont="0" applyFill="0" applyBorder="0" applyProtection="0">
      <protection locked="0"/>
    </xf>
    <xf numFmtId="0" fontId="156" fillId="65" borderId="33" applyFill="0">
      <alignment horizontal="center"/>
    </xf>
    <xf numFmtId="213" fontId="156" fillId="65" borderId="33" applyFill="0">
      <alignment horizontal="center" vertical="center"/>
    </xf>
    <xf numFmtId="213" fontId="142" fillId="0" borderId="0" applyFont="0" applyFill="0" applyBorder="0" applyProtection="0">
      <protection locked="0"/>
    </xf>
    <xf numFmtId="213" fontId="156" fillId="65" borderId="33" applyFill="0">
      <alignment horizontal="center" vertical="center"/>
    </xf>
    <xf numFmtId="0" fontId="156" fillId="65" borderId="33" applyFill="0">
      <alignment horizontal="center"/>
    </xf>
    <xf numFmtId="0" fontId="51" fillId="25" borderId="7" applyNumberFormat="0" applyAlignment="0" applyProtection="0"/>
    <xf numFmtId="0" fontId="128" fillId="0" borderId="0" applyNumberFormat="0" applyFill="0" applyBorder="0" applyAlignment="0" applyProtection="0"/>
    <xf numFmtId="0" fontId="55" fillId="0" borderId="23" applyNumberFormat="0" applyFill="0" applyAlignment="0" applyProtection="0"/>
    <xf numFmtId="0" fontId="56" fillId="0" borderId="24" applyNumberFormat="0" applyFill="0" applyAlignment="0" applyProtection="0"/>
    <xf numFmtId="0" fontId="57" fillId="0" borderId="9" applyNumberFormat="0" applyFill="0" applyAlignment="0" applyProtection="0"/>
    <xf numFmtId="0" fontId="57" fillId="0" borderId="0" applyNumberFormat="0" applyFill="0" applyBorder="0" applyAlignment="0" applyProtection="0"/>
    <xf numFmtId="0" fontId="132" fillId="0" borderId="0" applyNumberFormat="0" applyFill="0" applyBorder="0" applyAlignment="0" applyProtection="0"/>
    <xf numFmtId="0" fontId="58" fillId="12" borderId="7" applyNumberFormat="0" applyAlignment="0" applyProtection="0"/>
    <xf numFmtId="0" fontId="21" fillId="0" borderId="0" applyBorder="0"/>
    <xf numFmtId="0" fontId="22" fillId="0" borderId="0"/>
    <xf numFmtId="0" fontId="21" fillId="28" borderId="11" applyNumberFormat="0" applyFont="0" applyAlignment="0" applyProtection="0"/>
    <xf numFmtId="0" fontId="61" fillId="25" borderId="12" applyNumberFormat="0" applyAlignment="0" applyProtection="0"/>
    <xf numFmtId="178" fontId="147" fillId="0" borderId="0" applyNumberFormat="0" applyFill="0" applyAlignment="0" applyProtection="0"/>
    <xf numFmtId="0" fontId="34" fillId="0" borderId="0" applyNumberFormat="0" applyFill="0" applyBorder="0" applyAlignment="0" applyProtection="0"/>
    <xf numFmtId="0" fontId="39" fillId="0" borderId="13" applyNumberFormat="0" applyFill="0" applyAlignment="0" applyProtection="0"/>
    <xf numFmtId="0" fontId="3" fillId="0" borderId="13" applyNumberFormat="0" applyFill="0" applyAlignment="0" applyProtection="0"/>
    <xf numFmtId="0" fontId="21" fillId="0" borderId="0"/>
    <xf numFmtId="0" fontId="21" fillId="0" borderId="0" applyBorder="0"/>
    <xf numFmtId="0" fontId="21" fillId="0" borderId="0" applyBorder="0"/>
    <xf numFmtId="0" fontId="21" fillId="0" borderId="0" applyBorder="0"/>
    <xf numFmtId="0" fontId="21" fillId="0" borderId="0" applyBorder="0"/>
    <xf numFmtId="0" fontId="21" fillId="0" borderId="0" applyBorder="0"/>
    <xf numFmtId="0" fontId="21" fillId="0" borderId="0" applyBorder="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166" fontId="3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8"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172" fillId="0" borderId="0"/>
    <xf numFmtId="9" fontId="172" fillId="0" borderId="0" applyFont="0" applyFill="0" applyBorder="0" applyAlignment="0" applyProtection="0"/>
    <xf numFmtId="178" fontId="141" fillId="31" borderId="0"/>
    <xf numFmtId="0" fontId="173" fillId="0" borderId="0" applyNumberFormat="0" applyFont="0" applyProtection="0">
      <alignment horizontal="right" vertical="center"/>
    </xf>
    <xf numFmtId="9" fontId="38" fillId="0" borderId="0" applyFont="0" applyFill="0" applyBorder="0" applyAlignment="0" applyProtection="0"/>
    <xf numFmtId="0" fontId="1" fillId="0" borderId="0"/>
    <xf numFmtId="0" fontId="141" fillId="0" borderId="0"/>
    <xf numFmtId="0" fontId="147" fillId="0" borderId="0" applyNumberFormat="0" applyFill="0" applyAlignment="0"/>
    <xf numFmtId="0" fontId="150" fillId="0" borderId="0" applyNumberFormat="0" applyFill="0" applyBorder="0" applyAlignment="0" applyProtection="0">
      <alignment vertical="top"/>
      <protection locked="0"/>
    </xf>
    <xf numFmtId="0" fontId="53" fillId="0" borderId="0" applyNumberFormat="0" applyFill="0" applyBorder="0" applyAlignment="0" applyProtection="0"/>
    <xf numFmtId="228" fontId="21" fillId="0" borderId="0" applyFont="0" applyFill="0" applyBorder="0" applyAlignment="0" applyProtection="0"/>
    <xf numFmtId="0" fontId="146" fillId="0" borderId="0" applyNumberFormat="0" applyFill="0" applyBorder="0" applyAlignment="0" applyProtection="0">
      <alignment vertical="top"/>
      <protection locked="0"/>
    </xf>
    <xf numFmtId="0" fontId="142" fillId="64" borderId="0" applyFill="0" applyBorder="0">
      <alignment wrapText="1"/>
    </xf>
    <xf numFmtId="0" fontId="158" fillId="0" borderId="0" applyNumberFormat="0" applyFill="0" applyBorder="0" applyAlignment="0" applyProtection="0"/>
    <xf numFmtId="0" fontId="53" fillId="0" borderId="0" applyNumberFormat="0" applyFill="0" applyBorder="0" applyAlignment="0" applyProtection="0"/>
    <xf numFmtId="229" fontId="21" fillId="0" borderId="0" applyFont="0" applyFill="0" applyBorder="0" applyAlignment="0" applyProtection="0"/>
    <xf numFmtId="0" fontId="59" fillId="0" borderId="10" applyNumberFormat="0" applyFill="0" applyAlignment="0" applyProtection="0"/>
    <xf numFmtId="0" fontId="21" fillId="0" borderId="0" applyBorder="0"/>
    <xf numFmtId="0" fontId="21" fillId="0" borderId="0" applyBorder="0"/>
    <xf numFmtId="0" fontId="21" fillId="0" borderId="0" applyBorder="0"/>
    <xf numFmtId="0" fontId="21" fillId="0" borderId="0" applyBorder="0"/>
    <xf numFmtId="0" fontId="21" fillId="0" borderId="0" applyBorder="0"/>
    <xf numFmtId="0" fontId="21" fillId="0" borderId="0" applyBorder="0"/>
    <xf numFmtId="0" fontId="120" fillId="37" borderId="28" applyNumberFormat="0" applyFont="0" applyAlignment="0" applyProtection="0"/>
    <xf numFmtId="0" fontId="21" fillId="0" borderId="0"/>
    <xf numFmtId="0" fontId="21" fillId="0" borderId="0" applyBorder="0"/>
    <xf numFmtId="0" fontId="21" fillId="0" borderId="0" applyBorder="0"/>
    <xf numFmtId="0" fontId="21" fillId="0" borderId="0" applyBorder="0"/>
    <xf numFmtId="0" fontId="21" fillId="0" borderId="0" applyBorder="0"/>
    <xf numFmtId="0" fontId="21" fillId="0" borderId="0" applyBorder="0"/>
    <xf numFmtId="0" fontId="21" fillId="0" borderId="0" applyBorder="0"/>
    <xf numFmtId="166" fontId="1" fillId="0" borderId="0" applyFont="0" applyFill="0" applyBorder="0" applyAlignment="0" applyProtection="0"/>
    <xf numFmtId="0" fontId="21" fillId="0" borderId="0" applyBorder="0"/>
    <xf numFmtId="9" fontId="38" fillId="0" borderId="0" applyFont="0" applyFill="0" applyBorder="0" applyAlignment="0" applyProtection="0"/>
    <xf numFmtId="178" fontId="147" fillId="0" borderId="0" applyNumberFormat="0" applyFill="0" applyAlignment="0"/>
    <xf numFmtId="40" fontId="21" fillId="0" borderId="33">
      <alignment vertical="top" wrapText="1"/>
    </xf>
    <xf numFmtId="0" fontId="21" fillId="0" borderId="0"/>
    <xf numFmtId="166" fontId="21" fillId="0" borderId="0" applyFont="0" applyFill="0" applyBorder="0" applyAlignment="0" applyProtection="0"/>
    <xf numFmtId="226" fontId="2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44" fillId="0" borderId="35" applyFill="0">
      <alignment horizontal="center"/>
    </xf>
    <xf numFmtId="226" fontId="21" fillId="0" borderId="0" applyFont="0" applyFill="0" applyBorder="0" applyAlignment="0" applyProtection="0"/>
    <xf numFmtId="166" fontId="1" fillId="0" borderId="0" applyFont="0" applyFill="0" applyBorder="0" applyAlignment="0" applyProtection="0"/>
    <xf numFmtId="227" fontId="21" fillId="0" borderId="0" applyFont="0" applyFill="0" applyBorder="0" applyAlignment="0" applyProtection="0"/>
    <xf numFmtId="0" fontId="21" fillId="0" borderId="0">
      <alignment horizontal="center" wrapText="1"/>
    </xf>
    <xf numFmtId="0" fontId="1" fillId="0" borderId="0"/>
    <xf numFmtId="226" fontId="21" fillId="0" borderId="0" applyFont="0" applyFill="0" applyBorder="0" applyAlignment="0" applyProtection="0"/>
    <xf numFmtId="0" fontId="1" fillId="0" borderId="0"/>
    <xf numFmtId="0" fontId="1" fillId="0" borderId="0"/>
    <xf numFmtId="0" fontId="1" fillId="0" borderId="0"/>
    <xf numFmtId="178" fontId="144" fillId="0" borderId="35" applyFill="0">
      <alignment horizontal="center"/>
    </xf>
    <xf numFmtId="9" fontId="21" fillId="0" borderId="0" applyFont="0" applyFill="0" applyBorder="0" applyAlignment="0" applyProtection="0"/>
    <xf numFmtId="9" fontId="21" fillId="0" borderId="0" applyFont="0" applyFill="0" applyBorder="0" applyAlignment="0" applyProtection="0"/>
    <xf numFmtId="174" fontId="1" fillId="0" borderId="0"/>
    <xf numFmtId="0" fontId="1" fillId="0" borderId="0"/>
    <xf numFmtId="9" fontId="21" fillId="0" borderId="0" applyFont="0" applyFill="0" applyBorder="0" applyAlignment="0" applyProtection="0"/>
    <xf numFmtId="166" fontId="1" fillId="0" borderId="0" applyFont="0" applyFill="0" applyBorder="0" applyAlignment="0" applyProtection="0"/>
    <xf numFmtId="0" fontId="21" fillId="0" borderId="0" applyBorder="0"/>
    <xf numFmtId="0" fontId="21" fillId="0" borderId="0"/>
    <xf numFmtId="0" fontId="21" fillId="0" borderId="0"/>
    <xf numFmtId="213" fontId="142" fillId="0" borderId="0" applyFont="0" applyFill="0" applyBorder="0" applyProtection="0">
      <protection locked="0"/>
    </xf>
    <xf numFmtId="213" fontId="142" fillId="0" borderId="0" applyFont="0" applyFill="0" applyBorder="0" applyProtection="0">
      <protection locked="0"/>
    </xf>
    <xf numFmtId="213" fontId="142" fillId="0" borderId="0" applyFont="0" applyFill="0" applyBorder="0" applyProtection="0">
      <protection locked="0"/>
    </xf>
    <xf numFmtId="213" fontId="142" fillId="0" borderId="0" applyFont="0" applyFill="0" applyBorder="0" applyProtection="0">
      <protection locked="0"/>
    </xf>
    <xf numFmtId="213" fontId="142" fillId="0" borderId="0" applyFont="0" applyFill="0" applyBorder="0" applyProtection="0">
      <protection locked="0"/>
    </xf>
    <xf numFmtId="0" fontId="21" fillId="0" borderId="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3" borderId="0" applyNumberFormat="0" applyBorder="0" applyAlignment="0" applyProtection="0"/>
    <xf numFmtId="0" fontId="63" fillId="16" borderId="0" applyNumberFormat="0" applyBorder="0" applyAlignment="0" applyProtection="0"/>
    <xf numFmtId="0" fontId="160" fillId="17" borderId="0" applyNumberFormat="0" applyBorder="0" applyAlignment="0" applyProtection="0"/>
    <xf numFmtId="0" fontId="160" fillId="14" borderId="0" applyNumberFormat="0" applyBorder="0" applyAlignment="0" applyProtection="0"/>
    <xf numFmtId="0" fontId="160" fillId="15" borderId="0" applyNumberFormat="0" applyBorder="0" applyAlignment="0" applyProtection="0"/>
    <xf numFmtId="0" fontId="160" fillId="18" borderId="0" applyNumberFormat="0" applyBorder="0" applyAlignment="0" applyProtection="0"/>
    <xf numFmtId="0" fontId="160" fillId="19" borderId="0" applyNumberFormat="0" applyBorder="0" applyAlignment="0" applyProtection="0"/>
    <xf numFmtId="0" fontId="160" fillId="20" borderId="0" applyNumberFormat="0" applyBorder="0" applyAlignment="0" applyProtection="0"/>
    <xf numFmtId="0" fontId="160" fillId="21" borderId="0" applyNumberFormat="0" applyBorder="0" applyAlignment="0" applyProtection="0"/>
    <xf numFmtId="0" fontId="160" fillId="22" borderId="0" applyNumberFormat="0" applyBorder="0" applyAlignment="0" applyProtection="0"/>
    <xf numFmtId="0" fontId="160" fillId="23" borderId="0" applyNumberFormat="0" applyBorder="0" applyAlignment="0" applyProtection="0"/>
    <xf numFmtId="0" fontId="160" fillId="18" borderId="0" applyNumberFormat="0" applyBorder="0" applyAlignment="0" applyProtection="0"/>
    <xf numFmtId="0" fontId="160" fillId="19" borderId="0" applyNumberFormat="0" applyBorder="0" applyAlignment="0" applyProtection="0"/>
    <xf numFmtId="0" fontId="160" fillId="24" borderId="0" applyNumberFormat="0" applyBorder="0" applyAlignment="0" applyProtection="0"/>
    <xf numFmtId="0" fontId="161" fillId="8" borderId="0" applyNumberFormat="0" applyBorder="0" applyAlignment="0" applyProtection="0"/>
    <xf numFmtId="0" fontId="162" fillId="25" borderId="7" applyNumberFormat="0" applyAlignment="0" applyProtection="0"/>
    <xf numFmtId="0" fontId="163" fillId="26" borderId="8" applyNumberFormat="0" applyAlignment="0" applyProtection="0"/>
    <xf numFmtId="0" fontId="164" fillId="0" borderId="0" applyNumberFormat="0" applyFill="0" applyBorder="0" applyAlignment="0" applyProtection="0"/>
    <xf numFmtId="0" fontId="165" fillId="9" borderId="0" applyNumberFormat="0" applyBorder="0" applyAlignment="0" applyProtection="0"/>
    <xf numFmtId="0" fontId="71" fillId="0" borderId="23" applyNumberFormat="0" applyFill="0" applyAlignment="0" applyProtection="0"/>
    <xf numFmtId="0" fontId="72" fillId="0" borderId="24" applyNumberFormat="0" applyFill="0" applyAlignment="0" applyProtection="0"/>
    <xf numFmtId="0" fontId="73" fillId="0" borderId="9" applyNumberFormat="0" applyFill="0" applyAlignment="0" applyProtection="0"/>
    <xf numFmtId="0" fontId="73" fillId="0" borderId="0" applyNumberFormat="0" applyFill="0" applyBorder="0" applyAlignment="0" applyProtection="0"/>
    <xf numFmtId="0" fontId="159" fillId="0" borderId="0" applyNumberFormat="0" applyFill="0" applyBorder="0" applyAlignment="0" applyProtection="0">
      <alignment vertical="top"/>
      <protection locked="0"/>
    </xf>
    <xf numFmtId="0" fontId="166" fillId="12" borderId="7" applyNumberFormat="0" applyAlignment="0" applyProtection="0"/>
    <xf numFmtId="0" fontId="167" fillId="0" borderId="10" applyNumberFormat="0" applyFill="0" applyAlignment="0" applyProtection="0"/>
    <xf numFmtId="0" fontId="168" fillId="27" borderId="0" applyNumberFormat="0" applyBorder="0" applyAlignment="0" applyProtection="0"/>
    <xf numFmtId="0" fontId="64" fillId="0" borderId="0"/>
    <xf numFmtId="0" fontId="63" fillId="0" borderId="0"/>
    <xf numFmtId="0" fontId="63" fillId="0" borderId="0"/>
    <xf numFmtId="0" fontId="63" fillId="0" borderId="0"/>
    <xf numFmtId="0" fontId="21" fillId="28" borderId="11" applyNumberFormat="0" applyFont="0" applyAlignment="0" applyProtection="0"/>
    <xf numFmtId="0" fontId="169" fillId="25" borderId="12" applyNumberFormat="0" applyAlignment="0" applyProtection="0"/>
    <xf numFmtId="0" fontId="170" fillId="0" borderId="13" applyNumberFormat="0" applyFill="0" applyAlignment="0" applyProtection="0"/>
    <xf numFmtId="0" fontId="171" fillId="0" borderId="0" applyNumberFormat="0" applyFill="0" applyBorder="0" applyAlignment="0" applyProtection="0"/>
    <xf numFmtId="174" fontId="38" fillId="0" borderId="0"/>
    <xf numFmtId="0" fontId="63" fillId="0" borderId="0"/>
    <xf numFmtId="0" fontId="63" fillId="0" borderId="0"/>
    <xf numFmtId="0" fontId="164" fillId="0" borderId="0" applyNumberFormat="0" applyFill="0" applyBorder="0" applyAlignment="0" applyProtection="0"/>
    <xf numFmtId="0" fontId="164" fillId="0" borderId="0" applyNumberFormat="0" applyFill="0" applyBorder="0" applyAlignment="0" applyProtection="0"/>
    <xf numFmtId="0" fontId="63" fillId="0" borderId="0"/>
    <xf numFmtId="0" fontId="63" fillId="0" borderId="0"/>
    <xf numFmtId="0" fontId="21" fillId="0" borderId="0"/>
    <xf numFmtId="0" fontId="21" fillId="28" borderId="11" applyNumberFormat="0" applyFont="0" applyAlignment="0" applyProtection="0"/>
    <xf numFmtId="0" fontId="25" fillId="25" borderId="7" applyNumberFormat="0" applyAlignment="0" applyProtection="0"/>
    <xf numFmtId="0" fontId="86" fillId="12" borderId="7" applyNumberFormat="0" applyAlignment="0" applyProtection="0"/>
    <xf numFmtId="0" fontId="22" fillId="28" borderId="11" applyNumberFormat="0" applyFont="0" applyAlignment="0" applyProtection="0"/>
    <xf numFmtId="0" fontId="33" fillId="25" borderId="12" applyNumberFormat="0" applyAlignment="0" applyProtection="0"/>
    <xf numFmtId="0" fontId="35" fillId="0" borderId="13" applyNumberFormat="0" applyFill="0" applyAlignment="0" applyProtection="0"/>
    <xf numFmtId="0" fontId="51" fillId="25" borderId="7" applyNumberFormat="0" applyAlignment="0" applyProtection="0"/>
    <xf numFmtId="0" fontId="58" fillId="12" borderId="7" applyNumberFormat="0" applyAlignment="0" applyProtection="0"/>
    <xf numFmtId="0" fontId="21" fillId="28" borderId="11" applyNumberFormat="0" applyFont="0" applyAlignment="0" applyProtection="0"/>
    <xf numFmtId="0" fontId="61" fillId="25" borderId="12" applyNumberFormat="0" applyAlignment="0" applyProtection="0"/>
    <xf numFmtId="0" fontId="39" fillId="0" borderId="13" applyNumberFormat="0" applyFill="0" applyAlignment="0" applyProtection="0"/>
    <xf numFmtId="0" fontId="51" fillId="25" borderId="7" applyNumberFormat="0" applyAlignment="0" applyProtection="0"/>
    <xf numFmtId="0" fontId="58" fillId="12" borderId="7" applyNumberFormat="0" applyAlignment="0" applyProtection="0"/>
    <xf numFmtId="0" fontId="21" fillId="28" borderId="11" applyNumberFormat="0" applyFont="0" applyAlignment="0" applyProtection="0"/>
    <xf numFmtId="0" fontId="61" fillId="25" borderId="12" applyNumberFormat="0" applyAlignment="0" applyProtection="0"/>
    <xf numFmtId="0" fontId="39" fillId="0" borderId="13" applyNumberFormat="0" applyFill="0" applyAlignment="0" applyProtection="0"/>
    <xf numFmtId="0" fontId="156" fillId="65" borderId="33" applyFill="0">
      <alignment horizontal="center"/>
    </xf>
    <xf numFmtId="213" fontId="156" fillId="65" borderId="33" applyFill="0">
      <alignment horizontal="center" vertical="center"/>
    </xf>
    <xf numFmtId="0" fontId="1" fillId="0" borderId="0"/>
    <xf numFmtId="0" fontId="21" fillId="0" borderId="0"/>
    <xf numFmtId="0" fontId="63" fillId="0" borderId="0"/>
    <xf numFmtId="0" fontId="63" fillId="0" borderId="0"/>
    <xf numFmtId="0" fontId="63" fillId="0" borderId="0"/>
    <xf numFmtId="0" fontId="63" fillId="0" borderId="0"/>
    <xf numFmtId="0" fontId="21" fillId="0" borderId="0"/>
    <xf numFmtId="0" fontId="38" fillId="0" borderId="0"/>
    <xf numFmtId="0" fontId="21" fillId="0" borderId="0"/>
    <xf numFmtId="0" fontId="1" fillId="0" borderId="0"/>
    <xf numFmtId="0" fontId="21" fillId="0" borderId="0"/>
    <xf numFmtId="0" fontId="1" fillId="0" borderId="0"/>
    <xf numFmtId="0" fontId="21" fillId="0" borderId="0"/>
    <xf numFmtId="0" fontId="21" fillId="0" borderId="0"/>
    <xf numFmtId="174" fontId="3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pplyBorder="0"/>
    <xf numFmtId="0" fontId="21" fillId="0" borderId="0"/>
    <xf numFmtId="0" fontId="21" fillId="0" borderId="0"/>
    <xf numFmtId="0" fontId="21" fillId="0" borderId="0"/>
    <xf numFmtId="0" fontId="21" fillId="0" borderId="0"/>
    <xf numFmtId="0" fontId="21" fillId="0" borderId="0"/>
    <xf numFmtId="0" fontId="21" fillId="28" borderId="11" applyNumberFormat="0" applyFont="0" applyAlignment="0" applyProtection="0"/>
    <xf numFmtId="0" fontId="21" fillId="0" borderId="0"/>
    <xf numFmtId="0" fontId="41" fillId="0" borderId="5">
      <alignment horizontal="center" vertical="center"/>
    </xf>
    <xf numFmtId="0" fontId="21" fillId="28" borderId="11" applyNumberFormat="0" applyFont="0" applyAlignment="0" applyProtection="0"/>
    <xf numFmtId="0" fontId="21" fillId="0" borderId="0"/>
    <xf numFmtId="0" fontId="21" fillId="0" borderId="0"/>
    <xf numFmtId="0" fontId="21" fillId="0" borderId="0"/>
    <xf numFmtId="0" fontId="39" fillId="0" borderId="13" applyNumberFormat="0" applyFill="0" applyAlignment="0" applyProtection="0"/>
    <xf numFmtId="0" fontId="51" fillId="25" borderId="7" applyNumberFormat="0" applyAlignment="0" applyProtection="0"/>
    <xf numFmtId="0" fontId="58" fillId="12" borderId="7" applyNumberFormat="0" applyAlignment="0" applyProtection="0"/>
    <xf numFmtId="0" fontId="33" fillId="25" borderId="12" applyNumberFormat="0" applyAlignment="0" applyProtection="0"/>
    <xf numFmtId="0" fontId="61" fillId="25" borderId="12" applyNumberFormat="0" applyAlignment="0" applyProtection="0"/>
    <xf numFmtId="0" fontId="35" fillId="0" borderId="13" applyNumberFormat="0" applyFill="0" applyAlignment="0" applyProtection="0"/>
    <xf numFmtId="0" fontId="86" fillId="12" borderId="7" applyNumberFormat="0" applyAlignment="0" applyProtection="0"/>
    <xf numFmtId="0" fontId="41" fillId="0" borderId="5">
      <alignment horizontal="center" vertical="center"/>
    </xf>
    <xf numFmtId="0" fontId="162" fillId="25" borderId="7" applyNumberFormat="0" applyAlignment="0" applyProtection="0"/>
    <xf numFmtId="0" fontId="51" fillId="25" borderId="7" applyNumberFormat="0" applyAlignment="0" applyProtection="0"/>
    <xf numFmtId="0" fontId="39" fillId="0" borderId="13" applyNumberFormat="0" applyFill="0" applyAlignment="0" applyProtection="0"/>
    <xf numFmtId="0" fontId="61" fillId="25" borderId="12" applyNumberFormat="0" applyAlignment="0" applyProtection="0"/>
    <xf numFmtId="0" fontId="58" fillId="12" borderId="7" applyNumberFormat="0" applyAlignment="0" applyProtection="0"/>
    <xf numFmtId="0" fontId="51" fillId="25" borderId="7" applyNumberFormat="0" applyAlignment="0" applyProtection="0"/>
    <xf numFmtId="0" fontId="58" fillId="12" borderId="7" applyNumberFormat="0" applyAlignment="0" applyProtection="0"/>
    <xf numFmtId="0" fontId="58" fillId="12" borderId="7" applyNumberFormat="0" applyAlignment="0" applyProtection="0"/>
    <xf numFmtId="0" fontId="35" fillId="0" borderId="13" applyNumberFormat="0" applyFill="0" applyAlignment="0" applyProtection="0"/>
    <xf numFmtId="0" fontId="33" fillId="25" borderId="12" applyNumberFormat="0" applyAlignment="0" applyProtection="0"/>
    <xf numFmtId="0" fontId="61" fillId="25" borderId="12" applyNumberFormat="0" applyAlignment="0" applyProtection="0"/>
    <xf numFmtId="0" fontId="21" fillId="28" borderId="11" applyNumberFormat="0" applyFont="0" applyAlignment="0" applyProtection="0"/>
    <xf numFmtId="0" fontId="61" fillId="25" borderId="12" applyNumberFormat="0" applyAlignment="0" applyProtection="0"/>
    <xf numFmtId="0" fontId="39" fillId="0" borderId="13" applyNumberFormat="0" applyFill="0" applyAlignment="0" applyProtection="0"/>
    <xf numFmtId="0" fontId="3" fillId="0" borderId="13" applyNumberFormat="0" applyFill="0" applyAlignment="0" applyProtection="0"/>
    <xf numFmtId="0" fontId="21" fillId="28" borderId="11" applyNumberFormat="0" applyFont="0" applyAlignment="0" applyProtection="0"/>
    <xf numFmtId="0" fontId="39" fillId="0" borderId="13" applyNumberFormat="0" applyFill="0" applyAlignment="0" applyProtection="0"/>
    <xf numFmtId="0" fontId="25" fillId="25" borderId="7" applyNumberFormat="0" applyAlignment="0" applyProtection="0"/>
    <xf numFmtId="0" fontId="170" fillId="0" borderId="13" applyNumberFormat="0" applyFill="0" applyAlignment="0" applyProtection="0"/>
    <xf numFmtId="0" fontId="25" fillId="25" borderId="7" applyNumberFormat="0" applyAlignment="0" applyProtection="0"/>
    <xf numFmtId="0" fontId="86" fillId="12" borderId="7" applyNumberFormat="0" applyAlignment="0" applyProtection="0"/>
    <xf numFmtId="0" fontId="25" fillId="25" borderId="7" applyNumberFormat="0" applyAlignment="0" applyProtection="0"/>
    <xf numFmtId="0" fontId="22" fillId="28" borderId="11" applyNumberFormat="0" applyFont="0" applyAlignment="0" applyProtection="0"/>
    <xf numFmtId="0" fontId="33" fillId="25" borderId="12" applyNumberFormat="0" applyAlignment="0" applyProtection="0"/>
    <xf numFmtId="0" fontId="35" fillId="0" borderId="13" applyNumberFormat="0" applyFill="0" applyAlignment="0" applyProtection="0"/>
    <xf numFmtId="0" fontId="41" fillId="0" borderId="4">
      <alignment horizontal="center" vertical="center"/>
    </xf>
    <xf numFmtId="0" fontId="61" fillId="25" borderId="12" applyNumberFormat="0" applyAlignment="0" applyProtection="0"/>
    <xf numFmtId="0" fontId="58" fillId="12" borderId="7" applyNumberFormat="0" applyAlignment="0" applyProtection="0"/>
    <xf numFmtId="0" fontId="169" fillId="25" borderId="12" applyNumberFormat="0" applyAlignment="0" applyProtection="0"/>
    <xf numFmtId="0" fontId="51" fillId="25" borderId="7" applyNumberFormat="0" applyAlignment="0" applyProtection="0"/>
    <xf numFmtId="0" fontId="58" fillId="12" borderId="7" applyNumberFormat="0" applyAlignment="0" applyProtection="0"/>
    <xf numFmtId="0" fontId="21" fillId="28" borderId="11" applyNumberFormat="0" applyFont="0" applyAlignment="0" applyProtection="0"/>
    <xf numFmtId="0" fontId="61" fillId="25" borderId="12" applyNumberFormat="0" applyAlignment="0" applyProtection="0"/>
    <xf numFmtId="0" fontId="39" fillId="0" borderId="13" applyNumberFormat="0" applyFill="0" applyAlignment="0" applyProtection="0"/>
    <xf numFmtId="0" fontId="3" fillId="0" borderId="13" applyNumberFormat="0" applyFill="0" applyAlignment="0" applyProtection="0"/>
    <xf numFmtId="0" fontId="51" fillId="25" borderId="7" applyNumberFormat="0" applyAlignment="0" applyProtection="0"/>
    <xf numFmtId="0" fontId="58" fillId="12" borderId="7" applyNumberFormat="0" applyAlignment="0" applyProtection="0"/>
    <xf numFmtId="0" fontId="21" fillId="28" borderId="11" applyNumberFormat="0" applyFont="0" applyAlignment="0" applyProtection="0"/>
    <xf numFmtId="0" fontId="61" fillId="25" borderId="12" applyNumberFormat="0" applyAlignment="0" applyProtection="0"/>
    <xf numFmtId="0" fontId="39" fillId="0" borderId="13" applyNumberFormat="0" applyFill="0" applyAlignment="0" applyProtection="0"/>
    <xf numFmtId="0" fontId="51" fillId="25" borderId="7" applyNumberFormat="0" applyAlignment="0" applyProtection="0"/>
    <xf numFmtId="0" fontId="58" fillId="12" borderId="7" applyNumberFormat="0" applyAlignment="0" applyProtection="0"/>
    <xf numFmtId="0" fontId="21" fillId="28" borderId="11" applyNumberFormat="0" applyFont="0" applyAlignment="0" applyProtection="0"/>
    <xf numFmtId="0" fontId="39" fillId="0" borderId="13" applyNumberFormat="0" applyFill="0" applyAlignment="0" applyProtection="0"/>
    <xf numFmtId="0" fontId="3" fillId="0" borderId="13" applyNumberFormat="0" applyFill="0" applyAlignment="0" applyProtection="0"/>
    <xf numFmtId="0" fontId="51" fillId="25" borderId="7" applyNumberFormat="0" applyAlignment="0" applyProtection="0"/>
    <xf numFmtId="0" fontId="86" fillId="12" borderId="7" applyNumberFormat="0" applyAlignment="0" applyProtection="0"/>
    <xf numFmtId="0" fontId="51" fillId="25" borderId="7" applyNumberFormat="0" applyAlignment="0" applyProtection="0"/>
    <xf numFmtId="0" fontId="61" fillId="25" borderId="12" applyNumberFormat="0" applyAlignment="0" applyProtection="0"/>
    <xf numFmtId="0" fontId="58" fillId="12" borderId="7" applyNumberFormat="0" applyAlignment="0" applyProtection="0"/>
    <xf numFmtId="0" fontId="3" fillId="0" borderId="13" applyNumberFormat="0" applyFill="0" applyAlignment="0" applyProtection="0"/>
    <xf numFmtId="0" fontId="51" fillId="25" borderId="7" applyNumberFormat="0" applyAlignment="0" applyProtection="0"/>
    <xf numFmtId="0" fontId="58" fillId="12" borderId="7" applyNumberFormat="0" applyAlignment="0" applyProtection="0"/>
    <xf numFmtId="0" fontId="39" fillId="0" borderId="13" applyNumberFormat="0" applyFill="0" applyAlignment="0" applyProtection="0"/>
    <xf numFmtId="0" fontId="39" fillId="0" borderId="13" applyNumberFormat="0" applyFill="0" applyAlignment="0" applyProtection="0"/>
    <xf numFmtId="0" fontId="61" fillId="25" borderId="12" applyNumberFormat="0" applyAlignment="0" applyProtection="0"/>
    <xf numFmtId="0" fontId="51" fillId="25" borderId="7" applyNumberFormat="0" applyAlignment="0" applyProtection="0"/>
    <xf numFmtId="0" fontId="166" fillId="12" borderId="7" applyNumberFormat="0" applyAlignment="0" applyProtection="0"/>
    <xf numFmtId="0" fontId="162" fillId="25" borderId="7" applyNumberFormat="0" applyAlignment="0" applyProtection="0"/>
    <xf numFmtId="0" fontId="41" fillId="0" borderId="4">
      <alignment horizontal="center" vertical="center"/>
    </xf>
    <xf numFmtId="0" fontId="166" fillId="12" borderId="7" applyNumberFormat="0" applyAlignment="0" applyProtection="0"/>
    <xf numFmtId="0" fontId="21" fillId="28" borderId="11" applyNumberFormat="0" applyFont="0" applyAlignment="0" applyProtection="0"/>
    <xf numFmtId="0" fontId="170" fillId="0" borderId="13" applyNumberFormat="0" applyFill="0" applyAlignment="0" applyProtection="0"/>
    <xf numFmtId="0" fontId="39" fillId="0" borderId="13" applyNumberFormat="0" applyFill="0" applyAlignment="0" applyProtection="0"/>
    <xf numFmtId="0" fontId="21" fillId="28" borderId="11" applyNumberFormat="0" applyFont="0" applyAlignment="0" applyProtection="0"/>
    <xf numFmtId="0" fontId="25" fillId="25" borderId="7" applyNumberFormat="0" applyAlignment="0" applyProtection="0"/>
    <xf numFmtId="0" fontId="86" fillId="12" borderId="7" applyNumberFormat="0" applyAlignment="0" applyProtection="0"/>
    <xf numFmtId="0" fontId="22" fillId="28" borderId="11" applyNumberFormat="0" applyFont="0" applyAlignment="0" applyProtection="0"/>
    <xf numFmtId="0" fontId="35" fillId="0" borderId="13" applyNumberFormat="0" applyFill="0" applyAlignment="0" applyProtection="0"/>
    <xf numFmtId="0" fontId="51" fillId="25" borderId="7" applyNumberFormat="0" applyAlignment="0" applyProtection="0"/>
    <xf numFmtId="0" fontId="58" fillId="12" borderId="7" applyNumberFormat="0" applyAlignment="0" applyProtection="0"/>
    <xf numFmtId="0" fontId="21" fillId="28" borderId="11" applyNumberFormat="0" applyFont="0" applyAlignment="0" applyProtection="0"/>
    <xf numFmtId="0" fontId="39" fillId="0" borderId="13" applyNumberFormat="0" applyFill="0" applyAlignment="0" applyProtection="0"/>
    <xf numFmtId="0" fontId="51" fillId="25" borderId="7" applyNumberFormat="0" applyAlignment="0" applyProtection="0"/>
    <xf numFmtId="0" fontId="58" fillId="12" borderId="7" applyNumberFormat="0" applyAlignment="0" applyProtection="0"/>
    <xf numFmtId="0" fontId="21" fillId="28" borderId="11" applyNumberFormat="0" applyFont="0" applyAlignment="0" applyProtection="0"/>
    <xf numFmtId="0" fontId="39" fillId="0" borderId="13" applyNumberFormat="0" applyFill="0" applyAlignment="0" applyProtection="0"/>
    <xf numFmtId="0" fontId="21" fillId="0" borderId="0"/>
    <xf numFmtId="0" fontId="21" fillId="0" borderId="0" applyBorder="0"/>
    <xf numFmtId="0" fontId="21" fillId="0" borderId="0" applyBorder="0"/>
    <xf numFmtId="0" fontId="21" fillId="0" borderId="0" applyBorder="0"/>
    <xf numFmtId="0" fontId="21" fillId="0" borderId="0" applyBorder="0"/>
    <xf numFmtId="0" fontId="21" fillId="0" borderId="0" applyBorder="0"/>
    <xf numFmtId="0" fontId="21" fillId="0" borderId="0" applyBorder="0"/>
    <xf numFmtId="0" fontId="53" fillId="0" borderId="0" applyNumberFormat="0" applyFill="0" applyBorder="0" applyAlignment="0" applyProtection="0"/>
    <xf numFmtId="166" fontId="1" fillId="0" borderId="0" applyFont="0" applyFill="0" applyBorder="0" applyAlignment="0" applyProtection="0"/>
    <xf numFmtId="0" fontId="21" fillId="0" borderId="0"/>
    <xf numFmtId="0" fontId="21" fillId="0" borderId="0"/>
    <xf numFmtId="0" fontId="42" fillId="0" borderId="0"/>
    <xf numFmtId="0" fontId="42" fillId="0" borderId="0"/>
    <xf numFmtId="166" fontId="1" fillId="0" borderId="0" applyFont="0" applyFill="0" applyBorder="0" applyAlignment="0" applyProtection="0"/>
    <xf numFmtId="0" fontId="1" fillId="0" borderId="0"/>
    <xf numFmtId="223" fontId="53" fillId="0" borderId="0" applyNumberFormat="0" applyFill="0" applyBorder="0" applyAlignment="0" applyProtection="0"/>
    <xf numFmtId="223" fontId="73"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73" fillId="0" borderId="9" applyNumberFormat="0" applyFill="0" applyAlignment="0" applyProtection="0"/>
    <xf numFmtId="0" fontId="73" fillId="0" borderId="9" applyNumberFormat="0" applyFill="0" applyAlignment="0" applyProtection="0"/>
    <xf numFmtId="223" fontId="57" fillId="0" borderId="9" applyNumberFormat="0" applyFill="0" applyAlignment="0" applyProtection="0"/>
    <xf numFmtId="0" fontId="57" fillId="0" borderId="9" applyNumberFormat="0" applyFill="0" applyAlignment="0" applyProtection="0"/>
    <xf numFmtId="223" fontId="57" fillId="0" borderId="9" applyNumberFormat="0" applyFill="0" applyAlignment="0" applyProtection="0"/>
    <xf numFmtId="223" fontId="29" fillId="0" borderId="9" applyNumberFormat="0" applyFill="0" applyAlignment="0" applyProtection="0"/>
    <xf numFmtId="166" fontId="1" fillId="0" borderId="0" applyFont="0" applyFill="0" applyBorder="0" applyAlignment="0" applyProtection="0"/>
    <xf numFmtId="0" fontId="29" fillId="0" borderId="9" applyNumberFormat="0" applyFill="0" applyAlignment="0" applyProtection="0"/>
    <xf numFmtId="0" fontId="73" fillId="0" borderId="9" applyNumberFormat="0" applyFill="0" applyAlignment="0" applyProtection="0"/>
    <xf numFmtId="223" fontId="57" fillId="0" borderId="9" applyNumberFormat="0" applyFill="0" applyAlignment="0" applyProtection="0"/>
    <xf numFmtId="0" fontId="57" fillId="0" borderId="9" applyNumberFormat="0" applyFill="0" applyAlignment="0" applyProtection="0"/>
    <xf numFmtId="0" fontId="73" fillId="0" borderId="9" applyNumberFormat="0" applyFill="0" applyAlignment="0" applyProtection="0"/>
    <xf numFmtId="0" fontId="29" fillId="0" borderId="9" applyNumberFormat="0" applyFill="0" applyAlignment="0" applyProtection="0"/>
    <xf numFmtId="0" fontId="57" fillId="0" borderId="9" applyNumberFormat="0" applyFill="0" applyAlignment="0" applyProtection="0"/>
    <xf numFmtId="166" fontId="1" fillId="0" borderId="0" applyFont="0" applyFill="0" applyBorder="0" applyAlignment="0" applyProtection="0"/>
    <xf numFmtId="223" fontId="73" fillId="0" borderId="9" applyNumberFormat="0" applyFill="0" applyAlignment="0" applyProtection="0"/>
    <xf numFmtId="0" fontId="57" fillId="0" borderId="9" applyNumberFormat="0" applyFill="0" applyAlignment="0" applyProtection="0"/>
    <xf numFmtId="0" fontId="73" fillId="0" borderId="9" applyNumberFormat="0" applyFill="0" applyAlignment="0" applyProtection="0"/>
    <xf numFmtId="0" fontId="57" fillId="0" borderId="9" applyNumberFormat="0" applyFill="0" applyAlignment="0" applyProtection="0"/>
    <xf numFmtId="0" fontId="29" fillId="0" borderId="9" applyNumberFormat="0" applyFill="0" applyAlignment="0" applyProtection="0"/>
    <xf numFmtId="0" fontId="57" fillId="0" borderId="9" applyNumberFormat="0" applyFill="0" applyAlignment="0" applyProtection="0"/>
    <xf numFmtId="0" fontId="73" fillId="0" borderId="9" applyNumberFormat="0" applyFill="0" applyAlignment="0" applyProtection="0"/>
    <xf numFmtId="223" fontId="57" fillId="0" borderId="9" applyNumberFormat="0" applyFill="0" applyAlignment="0" applyProtection="0"/>
    <xf numFmtId="223" fontId="73" fillId="0" borderId="9" applyNumberFormat="0" applyFill="0" applyAlignment="0" applyProtection="0"/>
    <xf numFmtId="223" fontId="57" fillId="0" borderId="9" applyNumberFormat="0" applyFill="0" applyAlignment="0" applyProtection="0"/>
    <xf numFmtId="223" fontId="29" fillId="0" borderId="9" applyNumberFormat="0" applyFill="0" applyAlignment="0" applyProtection="0"/>
    <xf numFmtId="223" fontId="57" fillId="0" borderId="9" applyNumberFormat="0" applyFill="0" applyAlignment="0" applyProtection="0"/>
    <xf numFmtId="223" fontId="73" fillId="0" borderId="9" applyNumberFormat="0" applyFill="0" applyAlignment="0" applyProtection="0"/>
    <xf numFmtId="0" fontId="57" fillId="0" borderId="9" applyNumberFormat="0" applyFill="0" applyAlignment="0" applyProtection="0"/>
    <xf numFmtId="0" fontId="73" fillId="0" borderId="9" applyNumberFormat="0" applyFill="0" applyAlignment="0" applyProtection="0"/>
    <xf numFmtId="0" fontId="57" fillId="0" borderId="9" applyNumberFormat="0" applyFill="0" applyAlignment="0" applyProtection="0"/>
    <xf numFmtId="0" fontId="29" fillId="0" borderId="9" applyNumberFormat="0" applyFill="0" applyAlignment="0" applyProtection="0"/>
    <xf numFmtId="0" fontId="57" fillId="0" borderId="9" applyNumberFormat="0" applyFill="0" applyAlignment="0" applyProtection="0"/>
    <xf numFmtId="0" fontId="73" fillId="0" borderId="9" applyNumberFormat="0" applyFill="0" applyAlignment="0" applyProtection="0"/>
    <xf numFmtId="0" fontId="73" fillId="0" borderId="9" applyNumberFormat="0" applyFill="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57" fillId="0" borderId="9" applyNumberFormat="0" applyFill="0" applyAlignment="0" applyProtection="0"/>
    <xf numFmtId="0" fontId="57" fillId="0" borderId="9" applyNumberFormat="0" applyFill="0" applyAlignment="0" applyProtection="0"/>
    <xf numFmtId="9" fontId="21" fillId="0" borderId="0" applyFont="0" applyFill="0" applyBorder="0" applyAlignment="0" applyProtection="0"/>
    <xf numFmtId="0" fontId="29" fillId="0" borderId="9" applyNumberFormat="0" applyFill="0" applyAlignment="0" applyProtection="0"/>
    <xf numFmtId="165"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1" fillId="0" borderId="0"/>
    <xf numFmtId="166" fontId="21" fillId="0" borderId="0" applyFont="0" applyFill="0" applyBorder="0" applyAlignment="0" applyProtection="0"/>
    <xf numFmtId="0" fontId="21" fillId="0" borderId="0" applyBorder="0"/>
    <xf numFmtId="0" fontId="21" fillId="0" borderId="0" applyBorder="0"/>
    <xf numFmtId="0" fontId="21" fillId="0" borderId="0" applyBorder="0"/>
    <xf numFmtId="0" fontId="21" fillId="0" borderId="0" applyBorder="0"/>
    <xf numFmtId="0" fontId="21" fillId="0" borderId="0" applyBorder="0"/>
    <xf numFmtId="0" fontId="21" fillId="0" borderId="0" applyBorder="0"/>
    <xf numFmtId="9" fontId="21" fillId="0" borderId="0" applyFont="0" applyFill="0" applyBorder="0" applyAlignment="0" applyProtection="0"/>
    <xf numFmtId="0" fontId="57" fillId="0" borderId="9" applyNumberFormat="0" applyFill="0" applyAlignment="0" applyProtection="0"/>
    <xf numFmtId="166" fontId="1" fillId="0" borderId="0" applyFont="0" applyFill="0" applyBorder="0" applyAlignment="0" applyProtection="0"/>
    <xf numFmtId="166" fontId="1" fillId="0" borderId="0" applyFont="0" applyFill="0" applyBorder="0" applyAlignment="0" applyProtection="0"/>
    <xf numFmtId="9"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28" fillId="0" borderId="0" applyNumberFormat="0" applyFill="0" applyBorder="0" applyAlignment="0" applyProtection="0"/>
    <xf numFmtId="0" fontId="57" fillId="0" borderId="9" applyNumberFormat="0" applyFill="0" applyAlignment="0" applyProtection="0"/>
    <xf numFmtId="0" fontId="57" fillId="0" borderId="9" applyNumberFormat="0" applyFill="0" applyAlignment="0" applyProtection="0"/>
    <xf numFmtId="223" fontId="29" fillId="0" borderId="9" applyNumberFormat="0" applyFill="0" applyAlignment="0" applyProtection="0"/>
    <xf numFmtId="0" fontId="29" fillId="0" borderId="9" applyNumberFormat="0" applyFill="0" applyAlignment="0" applyProtection="0"/>
    <xf numFmtId="0" fontId="73" fillId="0" borderId="9" applyNumberFormat="0" applyFill="0" applyAlignment="0" applyProtection="0"/>
    <xf numFmtId="0" fontId="57" fillId="0" borderId="9" applyNumberFormat="0" applyFill="0" applyAlignment="0" applyProtection="0"/>
    <xf numFmtId="0" fontId="73" fillId="0" borderId="9" applyNumberFormat="0" applyFill="0" applyAlignment="0" applyProtection="0"/>
    <xf numFmtId="0" fontId="73" fillId="0" borderId="9" applyNumberFormat="0" applyFill="0" applyAlignment="0" applyProtection="0"/>
    <xf numFmtId="0" fontId="174" fillId="0" borderId="0"/>
    <xf numFmtId="166" fontId="174" fillId="0" borderId="0" applyFont="0" applyFill="0" applyBorder="0" applyAlignment="0" applyProtection="0"/>
    <xf numFmtId="9" fontId="174" fillId="0" borderId="0" applyFont="0" applyFill="0" applyBorder="0" applyAlignment="0" applyProtection="0"/>
    <xf numFmtId="0" fontId="174" fillId="0" borderId="0"/>
    <xf numFmtId="166" fontId="174" fillId="0" borderId="0" applyFont="0" applyFill="0" applyBorder="0" applyAlignment="0" applyProtection="0"/>
    <xf numFmtId="9" fontId="174" fillId="0" borderId="0" applyFont="0" applyFill="0" applyBorder="0" applyAlignment="0" applyProtection="0"/>
    <xf numFmtId="0" fontId="38" fillId="7" borderId="0" applyNumberFormat="0" applyBorder="0" applyAlignment="0" applyProtection="0"/>
    <xf numFmtId="0" fontId="64" fillId="7"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64" fillId="8"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64" fillId="9"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64"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64" fillId="11"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64" fillId="12"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64" fillId="13"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64" fillId="14"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64" fillId="15"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64"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64" fillId="13" borderId="0" applyNumberFormat="0" applyBorder="0" applyAlignment="0" applyProtection="0"/>
    <xf numFmtId="0" fontId="38" fillId="13" borderId="0" applyNumberFormat="0" applyBorder="0" applyAlignment="0" applyProtection="0"/>
    <xf numFmtId="0" fontId="38" fillId="16" borderId="0" applyNumberFormat="0" applyBorder="0" applyAlignment="0" applyProtection="0"/>
    <xf numFmtId="0" fontId="64" fillId="16" borderId="0" applyNumberFormat="0" applyBorder="0" applyAlignment="0" applyProtection="0"/>
    <xf numFmtId="0" fontId="38" fillId="16" borderId="0" applyNumberFormat="0" applyBorder="0" applyAlignment="0" applyProtection="0"/>
    <xf numFmtId="0" fontId="65" fillId="17" borderId="0" applyNumberFormat="0" applyBorder="0" applyAlignment="0" applyProtection="0"/>
    <xf numFmtId="166" fontId="1" fillId="0" borderId="0" applyFont="0" applyFill="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4" borderId="0" applyNumberFormat="0" applyBorder="0" applyAlignment="0" applyProtection="0"/>
    <xf numFmtId="0" fontId="66" fillId="8" borderId="0" applyNumberFormat="0" applyBorder="0" applyAlignment="0" applyProtection="0"/>
    <xf numFmtId="0" fontId="67" fillId="25" borderId="7" applyNumberFormat="0" applyAlignment="0" applyProtection="0"/>
    <xf numFmtId="0" fontId="68" fillId="26" borderId="8" applyNumberFormat="0" applyAlignment="0" applyProtection="0"/>
    <xf numFmtId="166" fontId="1" fillId="0" borderId="0" applyFont="0" applyFill="0" applyBorder="0" applyAlignment="0" applyProtection="0"/>
    <xf numFmtId="166" fontId="21" fillId="0" borderId="0" applyFont="0" applyFill="0" applyBorder="0" applyAlignment="0" applyProtection="0"/>
    <xf numFmtId="166" fontId="38" fillId="0" borderId="0" applyFont="0" applyFill="0" applyBorder="0" applyAlignment="0" applyProtection="0"/>
    <xf numFmtId="0" fontId="53" fillId="0" borderId="0" applyNumberFormat="0" applyFill="0" applyBorder="0" applyAlignment="0" applyProtection="0"/>
    <xf numFmtId="0" fontId="69" fillId="0" borderId="0" applyNumberFormat="0" applyFill="0" applyBorder="0" applyAlignment="0" applyProtection="0"/>
    <xf numFmtId="0" fontId="70" fillId="9" borderId="0" applyNumberFormat="0" applyBorder="0" applyAlignment="0" applyProtection="0"/>
    <xf numFmtId="0" fontId="71" fillId="0" borderId="23" applyNumberFormat="0" applyFill="0" applyAlignment="0" applyProtection="0"/>
    <xf numFmtId="0" fontId="72" fillId="0" borderId="24" applyNumberFormat="0" applyFill="0" applyAlignment="0" applyProtection="0"/>
    <xf numFmtId="0" fontId="73" fillId="0" borderId="9" applyNumberFormat="0" applyFill="0" applyAlignment="0" applyProtection="0"/>
    <xf numFmtId="0" fontId="73" fillId="0" borderId="0" applyNumberFormat="0" applyFill="0" applyBorder="0" applyAlignment="0" applyProtection="0"/>
    <xf numFmtId="0" fontId="74" fillId="12" borderId="7" applyNumberFormat="0" applyAlignment="0" applyProtection="0"/>
    <xf numFmtId="0" fontId="75" fillId="0" borderId="10" applyNumberFormat="0" applyFill="0" applyAlignment="0" applyProtection="0"/>
    <xf numFmtId="166" fontId="1" fillId="0" borderId="0" applyFont="0" applyFill="0" applyBorder="0" applyAlignment="0" applyProtection="0"/>
    <xf numFmtId="0" fontId="76" fillId="27" borderId="0" applyNumberFormat="0" applyBorder="0" applyAlignment="0" applyProtection="0"/>
    <xf numFmtId="0" fontId="21" fillId="0" borderId="0"/>
    <xf numFmtId="166" fontId="1" fillId="0" borderId="0" applyFont="0" applyFill="0" applyBorder="0" applyAlignment="0" applyProtection="0"/>
    <xf numFmtId="0" fontId="21" fillId="0" borderId="0"/>
    <xf numFmtId="0" fontId="21" fillId="0" borderId="0"/>
    <xf numFmtId="174" fontId="38" fillId="0" borderId="0"/>
    <xf numFmtId="174" fontId="38" fillId="0" borderId="0"/>
    <xf numFmtId="0" fontId="64" fillId="0" borderId="0"/>
    <xf numFmtId="0" fontId="64" fillId="0" borderId="0"/>
    <xf numFmtId="0" fontId="64" fillId="0" borderId="0"/>
    <xf numFmtId="178" fontId="38" fillId="0" borderId="0"/>
    <xf numFmtId="0" fontId="21" fillId="0" borderId="0"/>
    <xf numFmtId="0" fontId="21" fillId="0" borderId="0"/>
    <xf numFmtId="0" fontId="22" fillId="0" borderId="0"/>
    <xf numFmtId="174" fontId="38" fillId="0" borderId="0"/>
    <xf numFmtId="178" fontId="21" fillId="0" borderId="0" applyBorder="0"/>
    <xf numFmtId="0" fontId="21" fillId="0" borderId="0" applyBorder="0"/>
    <xf numFmtId="178" fontId="21" fillId="0" borderId="0"/>
    <xf numFmtId="0" fontId="40" fillId="0" borderId="0"/>
    <xf numFmtId="0" fontId="21" fillId="0" borderId="0"/>
    <xf numFmtId="9" fontId="21" fillId="0" borderId="0" applyFont="0" applyFill="0" applyBorder="0" applyAlignment="0" applyProtection="0"/>
    <xf numFmtId="0" fontId="22" fillId="0" borderId="0"/>
    <xf numFmtId="166" fontId="1" fillId="0" borderId="0" applyFont="0" applyFill="0" applyBorder="0" applyAlignment="0" applyProtection="0"/>
    <xf numFmtId="0" fontId="21" fillId="28" borderId="11" applyNumberFormat="0" applyFont="0" applyAlignment="0" applyProtection="0"/>
    <xf numFmtId="0" fontId="21" fillId="28" borderId="11" applyNumberFormat="0" applyFont="0" applyAlignment="0" applyProtection="0"/>
    <xf numFmtId="0" fontId="64" fillId="28" borderId="11" applyNumberFormat="0" applyFont="0" applyAlignment="0" applyProtection="0"/>
    <xf numFmtId="0" fontId="21" fillId="28" borderId="11" applyNumberFormat="0" applyFont="0" applyAlignment="0" applyProtection="0"/>
    <xf numFmtId="0" fontId="21" fillId="28" borderId="11" applyNumberFormat="0" applyFont="0" applyAlignment="0" applyProtection="0"/>
    <xf numFmtId="0" fontId="77" fillId="25" borderId="12" applyNumberFormat="0" applyAlignment="0" applyProtection="0"/>
    <xf numFmtId="9" fontId="38"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39" fillId="0" borderId="13" applyNumberFormat="0" applyFill="0" applyAlignment="0" applyProtection="0"/>
    <xf numFmtId="0" fontId="78" fillId="0" borderId="13" applyNumberFormat="0" applyFill="0" applyAlignment="0" applyProtection="0"/>
    <xf numFmtId="0" fontId="79" fillId="0" borderId="0" applyNumberFormat="0" applyFill="0" applyBorder="0" applyAlignment="0" applyProtection="0"/>
    <xf numFmtId="9" fontId="142" fillId="0" borderId="0" applyFont="0" applyFill="0" applyBorder="0" applyAlignment="0" applyProtection="0"/>
    <xf numFmtId="166" fontId="1" fillId="0" borderId="0" applyFont="0" applyFill="0" applyBorder="0" applyAlignment="0" applyProtection="0"/>
    <xf numFmtId="9"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0" fontId="21" fillId="0" borderId="0"/>
    <xf numFmtId="166" fontId="1" fillId="0" borderId="0" applyFont="0" applyFill="0" applyBorder="0" applyAlignment="0" applyProtection="0"/>
    <xf numFmtId="9" fontId="14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74" fillId="0" borderId="0" applyFont="0" applyFill="0" applyBorder="0" applyAlignment="0" applyProtection="0"/>
    <xf numFmtId="0" fontId="20" fillId="0" borderId="0"/>
    <xf numFmtId="9" fontId="21" fillId="0" borderId="0" applyFont="0" applyFill="0" applyBorder="0" applyAlignment="0" applyProtection="0"/>
    <xf numFmtId="9" fontId="174"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9" fontId="142" fillId="0" borderId="0" applyFont="0" applyFill="0" applyBorder="0" applyAlignment="0" applyProtection="0"/>
    <xf numFmtId="0" fontId="29" fillId="0" borderId="9" applyNumberFormat="0" applyFill="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49" fontId="88" fillId="64" borderId="6">
      <alignment horizontal="right" indent="2"/>
    </xf>
    <xf numFmtId="0" fontId="174" fillId="0" borderId="0"/>
    <xf numFmtId="165" fontId="21" fillId="0" borderId="0" applyFont="0" applyFill="0" applyBorder="0" applyAlignment="0" applyProtection="0"/>
    <xf numFmtId="166" fontId="21" fillId="0" borderId="0" applyFont="0" applyFill="0" applyBorder="0" applyAlignment="0" applyProtection="0"/>
    <xf numFmtId="9" fontId="21" fillId="0" borderId="0" applyFont="0" applyFill="0" applyBorder="0" applyAlignment="0" applyProtection="0"/>
    <xf numFmtId="166" fontId="1" fillId="0" borderId="0" applyFont="0" applyFill="0" applyBorder="0" applyAlignment="0" applyProtection="0"/>
    <xf numFmtId="9"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9" fontId="120" fillId="0" borderId="0" applyFont="0" applyFill="0" applyBorder="0" applyAlignment="0" applyProtection="0"/>
    <xf numFmtId="166" fontId="1" fillId="0" borderId="0" applyFont="0" applyFill="0" applyBorder="0" applyAlignment="0" applyProtection="0"/>
    <xf numFmtId="9" fontId="21" fillId="0" borderId="0" applyFont="0" applyFill="0" applyBorder="0" applyAlignment="0" applyProtection="0"/>
    <xf numFmtId="0" fontId="21" fillId="0" borderId="0"/>
    <xf numFmtId="174"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1" fillId="0" borderId="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9" fontId="21" fillId="0" borderId="0" applyFont="0" applyFill="0" applyBorder="0" applyAlignment="0" applyProtection="0"/>
    <xf numFmtId="0" fontId="21" fillId="0" borderId="0"/>
    <xf numFmtId="9" fontId="21" fillId="0" borderId="0" applyFont="0" applyFill="0" applyBorder="0" applyAlignment="0" applyProtection="0"/>
    <xf numFmtId="0" fontId="21" fillId="0" borderId="0"/>
    <xf numFmtId="9" fontId="21" fillId="0" borderId="0" applyFont="0" applyFill="0" applyBorder="0" applyAlignment="0" applyProtection="0"/>
    <xf numFmtId="0" fontId="21" fillId="0" borderId="0"/>
    <xf numFmtId="166" fontId="21" fillId="0" borderId="0" applyFont="0" applyFill="0" applyBorder="0" applyAlignment="0" applyProtection="0"/>
    <xf numFmtId="0" fontId="21" fillId="0" borderId="0" applyBorder="0"/>
    <xf numFmtId="0" fontId="21" fillId="0" borderId="0" applyBorder="0"/>
    <xf numFmtId="0" fontId="21" fillId="0" borderId="0" applyBorder="0"/>
    <xf numFmtId="0" fontId="21" fillId="0" borderId="0" applyBorder="0"/>
    <xf numFmtId="0" fontId="21" fillId="0" borderId="0" applyBorder="0"/>
    <xf numFmtId="0" fontId="21" fillId="0" borderId="0" applyBorder="0"/>
    <xf numFmtId="9" fontId="21" fillId="0" borderId="0" applyFont="0" applyFill="0" applyBorder="0" applyAlignment="0" applyProtection="0"/>
    <xf numFmtId="166" fontId="38" fillId="0" borderId="0" applyFont="0" applyFill="0" applyBorder="0" applyAlignment="0" applyProtection="0"/>
    <xf numFmtId="49" fontId="88" fillId="64" borderId="6">
      <alignment horizontal="right" indent="2"/>
    </xf>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38" fillId="13" borderId="0" applyNumberFormat="0" applyBorder="0" applyAlignment="0" applyProtection="0"/>
    <xf numFmtId="0" fontId="175"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14" borderId="0" applyNumberFormat="0" applyBorder="0" applyAlignment="0" applyProtection="0"/>
    <xf numFmtId="0" fontId="175"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8" fillId="28" borderId="0" applyNumberFormat="0" applyBorder="0" applyAlignment="0" applyProtection="0"/>
    <xf numFmtId="0" fontId="175"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38" fillId="12" borderId="0" applyNumberFormat="0" applyBorder="0" applyAlignment="0" applyProtection="0"/>
    <xf numFmtId="0" fontId="175"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75"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38" fillId="28" borderId="0" applyNumberFormat="0" applyBorder="0" applyAlignment="0" applyProtection="0"/>
    <xf numFmtId="0" fontId="175"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38" fillId="11" borderId="0" applyNumberFormat="0" applyBorder="0" applyAlignment="0" applyProtection="0"/>
    <xf numFmtId="0" fontId="175"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75"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8" fillId="27" borderId="0" applyNumberFormat="0" applyBorder="0" applyAlignment="0" applyProtection="0"/>
    <xf numFmtId="0" fontId="175"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38" fillId="8" borderId="0" applyNumberFormat="0" applyBorder="0" applyAlignment="0" applyProtection="0"/>
    <xf numFmtId="0" fontId="175"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8" fillId="11" borderId="0" applyNumberFormat="0" applyBorder="0" applyAlignment="0" applyProtection="0"/>
    <xf numFmtId="0" fontId="175"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38" fillId="28" borderId="0" applyNumberFormat="0" applyBorder="0" applyAlignment="0" applyProtection="0"/>
    <xf numFmtId="0" fontId="175"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49" fillId="11" borderId="0" applyNumberFormat="0" applyBorder="0" applyAlignment="0" applyProtection="0"/>
    <xf numFmtId="0" fontId="176" fillId="41" borderId="0" applyNumberFormat="0" applyBorder="0" applyAlignment="0" applyProtection="0"/>
    <xf numFmtId="0" fontId="109" fillId="41" borderId="0" applyNumberFormat="0" applyBorder="0" applyAlignment="0" applyProtection="0"/>
    <xf numFmtId="0" fontId="49" fillId="24" borderId="0" applyNumberFormat="0" applyBorder="0" applyAlignment="0" applyProtection="0"/>
    <xf numFmtId="0" fontId="176" fillId="45" borderId="0" applyNumberFormat="0" applyBorder="0" applyAlignment="0" applyProtection="0"/>
    <xf numFmtId="0" fontId="109" fillId="45" borderId="0" applyNumberFormat="0" applyBorder="0" applyAlignment="0" applyProtection="0"/>
    <xf numFmtId="0" fontId="49" fillId="16" borderId="0" applyNumberFormat="0" applyBorder="0" applyAlignment="0" applyProtection="0"/>
    <xf numFmtId="0" fontId="176" fillId="49" borderId="0" applyNumberFormat="0" applyBorder="0" applyAlignment="0" applyProtection="0"/>
    <xf numFmtId="0" fontId="109" fillId="49" borderId="0" applyNumberFormat="0" applyBorder="0" applyAlignment="0" applyProtection="0"/>
    <xf numFmtId="0" fontId="49" fillId="8" borderId="0" applyNumberFormat="0" applyBorder="0" applyAlignment="0" applyProtection="0"/>
    <xf numFmtId="0" fontId="176" fillId="53" borderId="0" applyNumberFormat="0" applyBorder="0" applyAlignment="0" applyProtection="0"/>
    <xf numFmtId="0" fontId="109" fillId="53" borderId="0" applyNumberFormat="0" applyBorder="0" applyAlignment="0" applyProtection="0"/>
    <xf numFmtId="0" fontId="49" fillId="11" borderId="0" applyNumberFormat="0" applyBorder="0" applyAlignment="0" applyProtection="0"/>
    <xf numFmtId="0" fontId="176" fillId="57" borderId="0" applyNumberFormat="0" applyBorder="0" applyAlignment="0" applyProtection="0"/>
    <xf numFmtId="0" fontId="109" fillId="57" borderId="0" applyNumberFormat="0" applyBorder="0" applyAlignment="0" applyProtection="0"/>
    <xf numFmtId="0" fontId="49" fillId="14" borderId="0" applyNumberFormat="0" applyBorder="0" applyAlignment="0" applyProtection="0"/>
    <xf numFmtId="0" fontId="176" fillId="61" borderId="0" applyNumberFormat="0" applyBorder="0" applyAlignment="0" applyProtection="0"/>
    <xf numFmtId="0" fontId="109" fillId="61" borderId="0" applyNumberFormat="0" applyBorder="0" applyAlignment="0" applyProtection="0"/>
    <xf numFmtId="0" fontId="49" fillId="67" borderId="0" applyNumberFormat="0" applyBorder="0" applyAlignment="0" applyProtection="0"/>
    <xf numFmtId="0" fontId="176" fillId="38" borderId="0" applyNumberFormat="0" applyBorder="0" applyAlignment="0" applyProtection="0"/>
    <xf numFmtId="0" fontId="109" fillId="38" borderId="0" applyNumberFormat="0" applyBorder="0" applyAlignment="0" applyProtection="0"/>
    <xf numFmtId="0" fontId="49" fillId="24" borderId="0" applyNumberFormat="0" applyBorder="0" applyAlignment="0" applyProtection="0"/>
    <xf numFmtId="0" fontId="176" fillId="42" borderId="0" applyNumberFormat="0" applyBorder="0" applyAlignment="0" applyProtection="0"/>
    <xf numFmtId="0" fontId="109" fillId="42" borderId="0" applyNumberFormat="0" applyBorder="0" applyAlignment="0" applyProtection="0"/>
    <xf numFmtId="0" fontId="49" fillId="16" borderId="0" applyNumberFormat="0" applyBorder="0" applyAlignment="0" applyProtection="0"/>
    <xf numFmtId="0" fontId="176" fillId="46" borderId="0" applyNumberFormat="0" applyBorder="0" applyAlignment="0" applyProtection="0"/>
    <xf numFmtId="0" fontId="109" fillId="46" borderId="0" applyNumberFormat="0" applyBorder="0" applyAlignment="0" applyProtection="0"/>
    <xf numFmtId="0" fontId="49" fillId="68" borderId="0" applyNumberFormat="0" applyBorder="0" applyAlignment="0" applyProtection="0"/>
    <xf numFmtId="0" fontId="176" fillId="50" borderId="0" applyNumberFormat="0" applyBorder="0" applyAlignment="0" applyProtection="0"/>
    <xf numFmtId="0" fontId="109" fillId="50" borderId="0" applyNumberFormat="0" applyBorder="0" applyAlignment="0" applyProtection="0"/>
    <xf numFmtId="0" fontId="176" fillId="54" borderId="0" applyNumberFormat="0" applyBorder="0" applyAlignment="0" applyProtection="0"/>
    <xf numFmtId="0" fontId="109" fillId="54" borderId="0" applyNumberFormat="0" applyBorder="0" applyAlignment="0" applyProtection="0"/>
    <xf numFmtId="0" fontId="49" fillId="22" borderId="0" applyNumberFormat="0" applyBorder="0" applyAlignment="0" applyProtection="0"/>
    <xf numFmtId="0" fontId="176" fillId="58" borderId="0" applyNumberFormat="0" applyBorder="0" applyAlignment="0" applyProtection="0"/>
    <xf numFmtId="0" fontId="109" fillId="58" borderId="0" applyNumberFormat="0" applyBorder="0" applyAlignment="0" applyProtection="0"/>
    <xf numFmtId="0" fontId="50" fillId="10" borderId="0" applyNumberFormat="0" applyBorder="0" applyAlignment="0" applyProtection="0"/>
    <xf numFmtId="0" fontId="177" fillId="33" borderId="0" applyNumberFormat="0" applyBorder="0" applyAlignment="0" applyProtection="0"/>
    <xf numFmtId="0" fontId="101" fillId="33" borderId="0" applyNumberFormat="0" applyBorder="0" applyAlignment="0" applyProtection="0"/>
    <xf numFmtId="4" fontId="21" fillId="69" borderId="0" applyFont="0" applyBorder="0" applyAlignment="0">
      <alignment horizontal="right"/>
    </xf>
    <xf numFmtId="4" fontId="21" fillId="69" borderId="0" applyFont="0" applyBorder="0" applyAlignment="0">
      <alignment horizontal="right"/>
    </xf>
    <xf numFmtId="4" fontId="21" fillId="69" borderId="0" applyFont="0" applyBorder="0" applyAlignment="0">
      <alignment horizontal="right"/>
    </xf>
    <xf numFmtId="4" fontId="21" fillId="69" borderId="0" applyFont="0" applyBorder="0" applyAlignment="0">
      <alignment horizontal="right"/>
    </xf>
    <xf numFmtId="4" fontId="21" fillId="69" borderId="0" applyFont="0" applyBorder="0" applyAlignment="0">
      <alignment horizontal="right"/>
    </xf>
    <xf numFmtId="0" fontId="178" fillId="70" borderId="7" applyNumberFormat="0" applyAlignment="0" applyProtection="0"/>
    <xf numFmtId="0" fontId="179" fillId="35" borderId="2" applyNumberFormat="0" applyAlignment="0" applyProtection="0"/>
    <xf numFmtId="0" fontId="104" fillId="35" borderId="2" applyNumberFormat="0" applyAlignment="0" applyProtection="0"/>
    <xf numFmtId="0" fontId="180" fillId="36" borderId="27" applyNumberFormat="0" applyAlignment="0" applyProtection="0"/>
    <xf numFmtId="0" fontId="106" fillId="36" borderId="27" applyNumberFormat="0" applyAlignment="0" applyProtection="0"/>
    <xf numFmtId="0" fontId="21" fillId="66" borderId="0"/>
    <xf numFmtId="0" fontId="21" fillId="66" borderId="0"/>
    <xf numFmtId="0" fontId="21" fillId="66" borderId="0"/>
    <xf numFmtId="0" fontId="21" fillId="66" borderId="0"/>
    <xf numFmtId="0" fontId="21" fillId="66" borderId="0"/>
    <xf numFmtId="166" fontId="175"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30" fontId="21" fillId="0" borderId="0" applyFont="0" applyFill="0" applyBorder="0" applyAlignment="0" applyProtection="0"/>
    <xf numFmtId="230" fontId="21" fillId="0" borderId="0" applyFont="0" applyFill="0" applyBorder="0" applyAlignment="0" applyProtection="0"/>
    <xf numFmtId="230" fontId="21" fillId="0" borderId="0" applyFont="0" applyFill="0" applyBorder="0" applyAlignment="0" applyProtection="0"/>
    <xf numFmtId="230" fontId="21" fillId="0" borderId="0" applyFont="0" applyFill="0" applyBorder="0" applyAlignment="0" applyProtection="0"/>
    <xf numFmtId="230" fontId="21" fillId="0" borderId="0" applyFont="0" applyFill="0" applyBorder="0" applyAlignment="0" applyProtection="0"/>
    <xf numFmtId="0" fontId="181" fillId="0" borderId="0" applyNumberFormat="0" applyFill="0" applyBorder="0" applyAlignment="0" applyProtection="0"/>
    <xf numFmtId="0" fontId="108" fillId="0" borderId="0" applyNumberFormat="0" applyFill="0" applyBorder="0" applyAlignment="0" applyProtection="0"/>
    <xf numFmtId="0" fontId="54" fillId="11" borderId="0" applyNumberFormat="0" applyBorder="0" applyAlignment="0" applyProtection="0"/>
    <xf numFmtId="0" fontId="182" fillId="32" borderId="0" applyNumberFormat="0" applyBorder="0" applyAlignment="0" applyProtection="0"/>
    <xf numFmtId="0" fontId="100" fillId="32" borderId="0" applyNumberFormat="0" applyBorder="0" applyAlignment="0" applyProtection="0"/>
    <xf numFmtId="4" fontId="21" fillId="66" borderId="0"/>
    <xf numFmtId="4" fontId="21" fillId="66" borderId="0"/>
    <xf numFmtId="4" fontId="21" fillId="66" borderId="0"/>
    <xf numFmtId="4" fontId="21" fillId="66" borderId="0"/>
    <xf numFmtId="4" fontId="21" fillId="66" borderId="0"/>
    <xf numFmtId="0" fontId="183" fillId="0" borderId="39" applyNumberFormat="0" applyFill="0" applyAlignment="0" applyProtection="0"/>
    <xf numFmtId="0" fontId="130" fillId="0" borderId="30" applyNumberFormat="0" applyFill="0" applyAlignment="0" applyProtection="0"/>
    <xf numFmtId="0" fontId="111" fillId="0" borderId="30" applyNumberFormat="0" applyFill="0" applyAlignment="0" applyProtection="0"/>
    <xf numFmtId="0" fontId="184" fillId="0" borderId="40" applyNumberFormat="0" applyFill="0" applyAlignment="0" applyProtection="0"/>
    <xf numFmtId="0" fontId="131" fillId="0" borderId="31" applyNumberFormat="0" applyFill="0" applyAlignment="0" applyProtection="0"/>
    <xf numFmtId="0" fontId="112" fillId="0" borderId="31" applyNumberFormat="0" applyFill="0" applyAlignment="0" applyProtection="0"/>
    <xf numFmtId="0" fontId="185" fillId="0" borderId="41" applyNumberFormat="0" applyFill="0" applyAlignment="0" applyProtection="0"/>
    <xf numFmtId="0" fontId="132" fillId="0" borderId="32" applyNumberFormat="0" applyFill="0" applyAlignment="0" applyProtection="0"/>
    <xf numFmtId="0" fontId="185" fillId="0" borderId="41" applyNumberFormat="0" applyFill="0" applyAlignment="0" applyProtection="0"/>
    <xf numFmtId="0" fontId="99" fillId="0" borderId="32" applyNumberFormat="0" applyFill="0" applyAlignment="0" applyProtection="0"/>
    <xf numFmtId="0" fontId="185" fillId="0" borderId="0" applyNumberFormat="0" applyFill="0" applyBorder="0" applyAlignment="0" applyProtection="0"/>
    <xf numFmtId="0" fontId="132" fillId="0" borderId="0" applyNumberFormat="0" applyFill="0" applyBorder="0" applyAlignment="0" applyProtection="0"/>
    <xf numFmtId="0" fontId="99" fillId="0" borderId="0" applyNumberFormat="0" applyFill="0" applyBorder="0" applyAlignment="0" applyProtection="0"/>
    <xf numFmtId="0" fontId="58" fillId="27" borderId="7" applyNumberFormat="0" applyAlignment="0" applyProtection="0"/>
    <xf numFmtId="0" fontId="186" fillId="62" borderId="2" applyNumberFormat="0" applyAlignment="0" applyProtection="0"/>
    <xf numFmtId="0" fontId="2" fillId="62" borderId="2" applyNumberFormat="0" applyAlignment="0" applyProtection="0"/>
    <xf numFmtId="4" fontId="21" fillId="71" borderId="0">
      <alignment horizontal="right"/>
    </xf>
    <xf numFmtId="4" fontId="21" fillId="71" borderId="0">
      <alignment horizontal="right"/>
    </xf>
    <xf numFmtId="4" fontId="21" fillId="71" borderId="0">
      <alignment horizontal="right"/>
    </xf>
    <xf numFmtId="4" fontId="21" fillId="71" borderId="0">
      <alignment horizontal="right"/>
    </xf>
    <xf numFmtId="4" fontId="21" fillId="71" borderId="0">
      <alignment horizontal="right"/>
    </xf>
    <xf numFmtId="0" fontId="62" fillId="0" borderId="42" applyNumberFormat="0" applyFill="0" applyAlignment="0" applyProtection="0"/>
    <xf numFmtId="0" fontId="187" fillId="0" borderId="26" applyNumberFormat="0" applyFill="0" applyAlignment="0" applyProtection="0"/>
    <xf numFmtId="0" fontId="105" fillId="0" borderId="26" applyNumberFormat="0" applyFill="0" applyAlignment="0" applyProtection="0"/>
    <xf numFmtId="0" fontId="188" fillId="27" borderId="0" applyNumberFormat="0" applyBorder="0" applyAlignment="0" applyProtection="0"/>
    <xf numFmtId="0" fontId="189" fillId="34" borderId="0" applyNumberFormat="0" applyBorder="0" applyAlignment="0" applyProtection="0"/>
    <xf numFmtId="0" fontId="102" fillId="3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75"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40" fillId="0" borderId="0"/>
    <xf numFmtId="0" fontId="190" fillId="0" borderId="0"/>
    <xf numFmtId="0" fontId="1" fillId="0" borderId="0"/>
    <xf numFmtId="0" fontId="1" fillId="0" borderId="0"/>
    <xf numFmtId="0" fontId="175" fillId="37" borderId="28" applyNumberFormat="0" applyFont="0" applyAlignment="0" applyProtection="0"/>
    <xf numFmtId="0" fontId="1" fillId="37" borderId="28" applyNumberFormat="0" applyFont="0" applyAlignment="0" applyProtection="0"/>
    <xf numFmtId="0" fontId="1" fillId="37" borderId="28" applyNumberFormat="0" applyFont="0" applyAlignment="0" applyProtection="0"/>
    <xf numFmtId="0" fontId="1" fillId="37" borderId="28" applyNumberFormat="0" applyFont="0" applyAlignment="0" applyProtection="0"/>
    <xf numFmtId="0" fontId="61" fillId="70" borderId="12" applyNumberFormat="0" applyAlignment="0" applyProtection="0"/>
    <xf numFmtId="0" fontId="191" fillId="35" borderId="25" applyNumberFormat="0" applyAlignment="0" applyProtection="0"/>
    <xf numFmtId="0" fontId="103" fillId="35" borderId="2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15"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0" fontId="192" fillId="0" borderId="19">
      <alignment horizontal="center"/>
    </xf>
    <xf numFmtId="0" fontId="192" fillId="0" borderId="19">
      <alignment horizontal="center"/>
    </xf>
    <xf numFmtId="0" fontId="192" fillId="0" borderId="19">
      <alignment horizontal="center"/>
    </xf>
    <xf numFmtId="0" fontId="192" fillId="0" borderId="19">
      <alignment horizontal="center"/>
    </xf>
    <xf numFmtId="0" fontId="192" fillId="0" borderId="19">
      <alignment horizontal="center"/>
    </xf>
    <xf numFmtId="0" fontId="192" fillId="0" borderId="19">
      <alignment horizontal="center"/>
    </xf>
    <xf numFmtId="0" fontId="192" fillId="0" borderId="19">
      <alignment horizontal="center"/>
    </xf>
    <xf numFmtId="0" fontId="192" fillId="0" borderId="19">
      <alignment horizontal="center"/>
    </xf>
    <xf numFmtId="0" fontId="192" fillId="0" borderId="19">
      <alignment horizontal="center"/>
    </xf>
    <xf numFmtId="0" fontId="192" fillId="0" borderId="19">
      <alignment horizontal="center"/>
    </xf>
    <xf numFmtId="0" fontId="192" fillId="0" borderId="19">
      <alignment horizontal="center"/>
    </xf>
    <xf numFmtId="0" fontId="192" fillId="0" borderId="19">
      <alignment horizontal="center"/>
    </xf>
    <xf numFmtId="0" fontId="192" fillId="0" borderId="19">
      <alignment horizontal="center"/>
    </xf>
    <xf numFmtId="0" fontId="192" fillId="0" borderId="19">
      <alignment horizontal="center"/>
    </xf>
    <xf numFmtId="0" fontId="192" fillId="0" borderId="19">
      <alignment horizontal="center"/>
    </xf>
    <xf numFmtId="0" fontId="192" fillId="0" borderId="19">
      <alignment horizontal="center"/>
    </xf>
    <xf numFmtId="0" fontId="192" fillId="0" borderId="19">
      <alignment horizontal="center"/>
    </xf>
    <xf numFmtId="0" fontId="192" fillId="0" borderId="19">
      <alignment horizontal="center"/>
    </xf>
    <xf numFmtId="0" fontId="192" fillId="0" borderId="19">
      <alignment horizontal="center"/>
    </xf>
    <xf numFmtId="0" fontId="192" fillId="0" borderId="19">
      <alignment horizontal="center"/>
    </xf>
    <xf numFmtId="0" fontId="192" fillId="0" borderId="19">
      <alignment horizontal="center"/>
    </xf>
    <xf numFmtId="0" fontId="192" fillId="0" borderId="19">
      <alignment horizontal="center"/>
    </xf>
    <xf numFmtId="0" fontId="192" fillId="0" borderId="19">
      <alignment horizontal="center"/>
    </xf>
    <xf numFmtId="0" fontId="192" fillId="0" borderId="19">
      <alignment horizontal="center"/>
    </xf>
    <xf numFmtId="0" fontId="192" fillId="0" borderId="19">
      <alignment horizontal="center"/>
    </xf>
    <xf numFmtId="0" fontId="192" fillId="0" borderId="19">
      <alignment horizontal="center"/>
    </xf>
    <xf numFmtId="0" fontId="192" fillId="0" borderId="19">
      <alignment horizontal="center"/>
    </xf>
    <xf numFmtId="0" fontId="192" fillId="0" borderId="19">
      <alignment horizontal="center"/>
    </xf>
    <xf numFmtId="0" fontId="192" fillId="0" borderId="19">
      <alignment horizontal="center"/>
    </xf>
    <xf numFmtId="0" fontId="192" fillId="0" borderId="19">
      <alignment horizontal="center"/>
    </xf>
    <xf numFmtId="0" fontId="192" fillId="0" borderId="19">
      <alignment horizontal="center"/>
    </xf>
    <xf numFmtId="0" fontId="192" fillId="0" borderId="19">
      <alignment horizontal="center"/>
    </xf>
    <xf numFmtId="0" fontId="192" fillId="0" borderId="19">
      <alignment horizontal="center"/>
    </xf>
    <xf numFmtId="0" fontId="192" fillId="0" borderId="19">
      <alignment horizontal="center"/>
    </xf>
    <xf numFmtId="0" fontId="192" fillId="0" borderId="19">
      <alignment horizontal="center"/>
    </xf>
    <xf numFmtId="0" fontId="192" fillId="0" borderId="19">
      <alignment horizontal="center"/>
    </xf>
    <xf numFmtId="0" fontId="192" fillId="0" borderId="19">
      <alignment horizontal="center"/>
    </xf>
    <xf numFmtId="0" fontId="192" fillId="0" borderId="19">
      <alignment horizontal="center"/>
    </xf>
    <xf numFmtId="0" fontId="192" fillId="0" borderId="19">
      <alignment horizontal="center"/>
    </xf>
    <xf numFmtId="0" fontId="192" fillId="0" borderId="19">
      <alignment horizontal="center"/>
    </xf>
    <xf numFmtId="0" fontId="192" fillId="0" borderId="19">
      <alignment horizontal="center"/>
    </xf>
    <xf numFmtId="0" fontId="192" fillId="0" borderId="19">
      <alignment horizontal="center"/>
    </xf>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0" fontId="40" fillId="72" borderId="0" applyNumberFormat="0" applyFont="0" applyBorder="0" applyAlignment="0" applyProtection="0"/>
    <xf numFmtId="0" fontId="40" fillId="72" borderId="0" applyNumberFormat="0" applyFont="0" applyBorder="0" applyAlignment="0" applyProtection="0"/>
    <xf numFmtId="0" fontId="40" fillId="72" borderId="0" applyNumberFormat="0" applyFont="0" applyBorder="0" applyAlignment="0" applyProtection="0"/>
    <xf numFmtId="0" fontId="40" fillId="72" borderId="0" applyNumberFormat="0" applyFont="0" applyBorder="0" applyAlignment="0" applyProtection="0"/>
    <xf numFmtId="0" fontId="40" fillId="72" borderId="0" applyNumberFormat="0" applyFont="0" applyBorder="0" applyAlignment="0" applyProtection="0"/>
    <xf numFmtId="0" fontId="40" fillId="72" borderId="0" applyNumberFormat="0" applyFont="0" applyBorder="0" applyAlignment="0" applyProtection="0"/>
    <xf numFmtId="0" fontId="40" fillId="72" borderId="0" applyNumberFormat="0" applyFont="0" applyBorder="0" applyAlignment="0" applyProtection="0"/>
    <xf numFmtId="0" fontId="40" fillId="72" borderId="0" applyNumberFormat="0" applyFont="0" applyBorder="0" applyAlignment="0" applyProtection="0"/>
    <xf numFmtId="0" fontId="40" fillId="72" borderId="0" applyNumberFormat="0" applyFont="0" applyBorder="0" applyAlignment="0" applyProtection="0"/>
    <xf numFmtId="0" fontId="40" fillId="72" borderId="0" applyNumberFormat="0" applyFont="0" applyBorder="0" applyAlignment="0" applyProtection="0"/>
    <xf numFmtId="0" fontId="40" fillId="72" borderId="0" applyNumberFormat="0" applyFont="0" applyBorder="0" applyAlignment="0" applyProtection="0"/>
    <xf numFmtId="0" fontId="40" fillId="72" borderId="0" applyNumberFormat="0" applyFont="0" applyBorder="0" applyAlignment="0" applyProtection="0"/>
    <xf numFmtId="0" fontId="40" fillId="72" borderId="0" applyNumberFormat="0" applyFont="0" applyBorder="0" applyAlignment="0" applyProtection="0"/>
    <xf numFmtId="0" fontId="40" fillId="72" borderId="0" applyNumberFormat="0" applyFont="0" applyBorder="0" applyAlignment="0" applyProtection="0"/>
    <xf numFmtId="0" fontId="40" fillId="72" borderId="0" applyNumberFormat="0" applyFont="0" applyBorder="0" applyAlignment="0" applyProtection="0"/>
    <xf numFmtId="0" fontId="40" fillId="72" borderId="0" applyNumberFormat="0" applyFont="0" applyBorder="0" applyAlignment="0" applyProtection="0"/>
    <xf numFmtId="0" fontId="40" fillId="72" borderId="0" applyNumberFormat="0" applyFont="0" applyBorder="0" applyAlignment="0" applyProtection="0"/>
    <xf numFmtId="0" fontId="40" fillId="72" borderId="0" applyNumberFormat="0" applyFont="0" applyBorder="0" applyAlignment="0" applyProtection="0"/>
    <xf numFmtId="0" fontId="40" fillId="72" borderId="0" applyNumberFormat="0" applyFont="0" applyBorder="0" applyAlignment="0" applyProtection="0"/>
    <xf numFmtId="0" fontId="40" fillId="72" borderId="0" applyNumberFormat="0" applyFont="0" applyBorder="0" applyAlignment="0" applyProtection="0"/>
    <xf numFmtId="0" fontId="40" fillId="72" borderId="0" applyNumberFormat="0" applyFont="0" applyBorder="0" applyAlignment="0" applyProtection="0"/>
    <xf numFmtId="0" fontId="193" fillId="0" borderId="0" applyNumberFormat="0" applyFill="0" applyBorder="0" applyAlignment="0" applyProtection="0"/>
    <xf numFmtId="0" fontId="39" fillId="0" borderId="43" applyNumberFormat="0" applyFill="0" applyAlignment="0" applyProtection="0"/>
    <xf numFmtId="0" fontId="194" fillId="0" borderId="29" applyNumberFormat="0" applyFill="0" applyAlignment="0" applyProtection="0"/>
    <xf numFmtId="0" fontId="3" fillId="0" borderId="29" applyNumberFormat="0" applyFill="0" applyAlignment="0" applyProtection="0"/>
    <xf numFmtId="0" fontId="195" fillId="0" borderId="0" applyNumberFormat="0" applyFill="0" applyBorder="0" applyAlignment="0" applyProtection="0"/>
    <xf numFmtId="0" fontId="107" fillId="0" borderId="0" applyNumberFormat="0" applyFill="0" applyBorder="0" applyAlignment="0" applyProtection="0"/>
    <xf numFmtId="0" fontId="41" fillId="0" borderId="5">
      <alignment horizontal="center" vertical="center"/>
    </xf>
    <xf numFmtId="49" fontId="88" fillId="64" borderId="6">
      <alignment horizontal="right" indent="2"/>
    </xf>
    <xf numFmtId="49" fontId="88" fillId="64" borderId="6">
      <alignment horizontal="right" indent="2"/>
    </xf>
    <xf numFmtId="0" fontId="35" fillId="0" borderId="13" applyNumberFormat="0" applyFill="0" applyAlignment="0" applyProtection="0"/>
    <xf numFmtId="0" fontId="25" fillId="25" borderId="7" applyNumberFormat="0" applyAlignment="0" applyProtection="0"/>
    <xf numFmtId="0" fontId="39" fillId="0" borderId="13" applyNumberFormat="0" applyFill="0" applyAlignment="0" applyProtection="0"/>
    <xf numFmtId="0" fontId="3" fillId="0" borderId="13" applyNumberFormat="0" applyFill="0" applyAlignment="0" applyProtection="0"/>
    <xf numFmtId="0" fontId="33" fillId="25" borderId="12" applyNumberFormat="0" applyAlignment="0" applyProtection="0"/>
    <xf numFmtId="0" fontId="41" fillId="0" borderId="5">
      <alignment horizontal="center" vertical="center"/>
    </xf>
    <xf numFmtId="0" fontId="86" fillId="12" borderId="7" applyNumberFormat="0" applyAlignment="0" applyProtection="0"/>
    <xf numFmtId="0" fontId="53" fillId="0" borderId="0" applyNumberFormat="0" applyFill="0" applyBorder="0" applyAlignment="0" applyProtection="0"/>
    <xf numFmtId="0" fontId="67" fillId="25" borderId="7" applyNumberFormat="0" applyAlignment="0" applyProtection="0"/>
    <xf numFmtId="0" fontId="74" fillId="12" borderId="7" applyNumberFormat="0" applyAlignment="0" applyProtection="0"/>
    <xf numFmtId="0" fontId="77" fillId="25" borderId="12" applyNumberFormat="0" applyAlignment="0" applyProtection="0"/>
    <xf numFmtId="0" fontId="39" fillId="0" borderId="13" applyNumberFormat="0" applyFill="0" applyAlignment="0" applyProtection="0"/>
    <xf numFmtId="0" fontId="78" fillId="0" borderId="13" applyNumberFormat="0" applyFill="0" applyAlignment="0" applyProtection="0"/>
    <xf numFmtId="0" fontId="53" fillId="0" borderId="0" applyNumberFormat="0" applyFill="0" applyBorder="0" applyAlignment="0" applyProtection="0"/>
    <xf numFmtId="49" fontId="88" fillId="64" borderId="6">
      <alignment horizontal="right" indent="2"/>
    </xf>
    <xf numFmtId="0" fontId="41" fillId="0" borderId="5">
      <alignment horizontal="center" vertical="center"/>
    </xf>
    <xf numFmtId="0" fontId="41" fillId="0" borderId="5">
      <alignment horizontal="center" vertical="center"/>
    </xf>
    <xf numFmtId="49" fontId="88" fillId="64" borderId="6">
      <alignment horizontal="right" indent="2"/>
    </xf>
    <xf numFmtId="0" fontId="25" fillId="25" borderId="7" applyNumberFormat="0" applyAlignment="0" applyProtection="0"/>
    <xf numFmtId="0" fontId="86" fillId="12" borderId="7" applyNumberFormat="0" applyAlignment="0" applyProtection="0"/>
    <xf numFmtId="0" fontId="33" fillId="25" borderId="12" applyNumberFormat="0" applyAlignment="0" applyProtection="0"/>
    <xf numFmtId="0" fontId="35" fillId="0" borderId="13" applyNumberFormat="0" applyFill="0" applyAlignment="0" applyProtection="0"/>
    <xf numFmtId="0" fontId="39" fillId="0" borderId="13" applyNumberFormat="0" applyFill="0" applyAlignment="0" applyProtection="0"/>
    <xf numFmtId="0" fontId="128" fillId="0" borderId="0" applyNumberFormat="0" applyFill="0" applyBorder="0" applyAlignment="0" applyProtection="0"/>
    <xf numFmtId="9" fontId="21" fillId="0" borderId="0" applyFont="0" applyFill="0" applyBorder="0" applyAlignment="0" applyProtection="0"/>
    <xf numFmtId="0" fontId="38" fillId="7" borderId="0" applyNumberFormat="0" applyBorder="0" applyAlignment="0" applyProtection="0"/>
    <xf numFmtId="0" fontId="64" fillId="7"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64" fillId="8"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64" fillId="9"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64"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64" fillId="11"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64" fillId="12"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64" fillId="13"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64" fillId="14"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64" fillId="15"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64"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64" fillId="13" borderId="0" applyNumberFormat="0" applyBorder="0" applyAlignment="0" applyProtection="0"/>
    <xf numFmtId="0" fontId="38" fillId="13" borderId="0" applyNumberFormat="0" applyBorder="0" applyAlignment="0" applyProtection="0"/>
    <xf numFmtId="0" fontId="38" fillId="16" borderId="0" applyNumberFormat="0" applyBorder="0" applyAlignment="0" applyProtection="0"/>
    <xf numFmtId="0" fontId="64" fillId="16" borderId="0" applyNumberFormat="0" applyBorder="0" applyAlignment="0" applyProtection="0"/>
    <xf numFmtId="0" fontId="38" fillId="16" borderId="0" applyNumberFormat="0" applyBorder="0" applyAlignment="0" applyProtection="0"/>
    <xf numFmtId="0" fontId="65" fillId="17"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4" borderId="0" applyNumberFormat="0" applyBorder="0" applyAlignment="0" applyProtection="0"/>
    <xf numFmtId="0" fontId="66" fillId="8" borderId="0" applyNumberFormat="0" applyBorder="0" applyAlignment="0" applyProtection="0"/>
    <xf numFmtId="0" fontId="67" fillId="25" borderId="7" applyNumberFormat="0" applyAlignment="0" applyProtection="0"/>
    <xf numFmtId="0" fontId="68" fillId="26" borderId="8" applyNumberFormat="0" applyAlignment="0" applyProtection="0"/>
    <xf numFmtId="166" fontId="21" fillId="0" borderId="0" applyFont="0" applyFill="0" applyBorder="0" applyAlignment="0" applyProtection="0"/>
    <xf numFmtId="166" fontId="38" fillId="0" borderId="0" applyFont="0" applyFill="0" applyBorder="0" applyAlignment="0" applyProtection="0"/>
    <xf numFmtId="0" fontId="53" fillId="0" borderId="0" applyNumberFormat="0" applyFill="0" applyBorder="0" applyAlignment="0" applyProtection="0"/>
    <xf numFmtId="0" fontId="69" fillId="0" borderId="0" applyNumberFormat="0" applyFill="0" applyBorder="0" applyAlignment="0" applyProtection="0"/>
    <xf numFmtId="0" fontId="70" fillId="9" borderId="0" applyNumberFormat="0" applyBorder="0" applyAlignment="0" applyProtection="0"/>
    <xf numFmtId="0" fontId="71" fillId="0" borderId="23" applyNumberFormat="0" applyFill="0" applyAlignment="0" applyProtection="0"/>
    <xf numFmtId="0" fontId="72" fillId="0" borderId="24" applyNumberFormat="0" applyFill="0" applyAlignment="0" applyProtection="0"/>
    <xf numFmtId="0" fontId="73" fillId="0" borderId="9" applyNumberFormat="0" applyFill="0" applyAlignment="0" applyProtection="0"/>
    <xf numFmtId="0" fontId="73" fillId="0" borderId="0" applyNumberFormat="0" applyFill="0" applyBorder="0" applyAlignment="0" applyProtection="0"/>
    <xf numFmtId="0" fontId="74" fillId="12" borderId="7" applyNumberFormat="0" applyAlignment="0" applyProtection="0"/>
    <xf numFmtId="0" fontId="75" fillId="0" borderId="10" applyNumberFormat="0" applyFill="0" applyAlignment="0" applyProtection="0"/>
    <xf numFmtId="0" fontId="76" fillId="27" borderId="0" applyNumberFormat="0" applyBorder="0" applyAlignment="0" applyProtection="0"/>
    <xf numFmtId="0" fontId="21" fillId="0" borderId="0"/>
    <xf numFmtId="0" fontId="21" fillId="0" borderId="0"/>
    <xf numFmtId="0" fontId="21" fillId="0" borderId="0"/>
    <xf numFmtId="174" fontId="38" fillId="0" borderId="0"/>
    <xf numFmtId="174" fontId="38" fillId="0" borderId="0"/>
    <xf numFmtId="0" fontId="64" fillId="0" borderId="0"/>
    <xf numFmtId="0" fontId="64" fillId="0" borderId="0"/>
    <xf numFmtId="0" fontId="64" fillId="0" borderId="0"/>
    <xf numFmtId="178" fontId="38" fillId="0" borderId="0"/>
    <xf numFmtId="0" fontId="21" fillId="0" borderId="0"/>
    <xf numFmtId="0" fontId="21" fillId="0" borderId="0"/>
    <xf numFmtId="0" fontId="22" fillId="0" borderId="0"/>
    <xf numFmtId="0" fontId="41" fillId="0" borderId="5">
      <alignment horizontal="center" vertical="center"/>
    </xf>
    <xf numFmtId="174" fontId="38" fillId="0" borderId="0"/>
    <xf numFmtId="178" fontId="21" fillId="0" borderId="0" applyBorder="0"/>
    <xf numFmtId="0" fontId="21" fillId="0" borderId="0" applyBorder="0"/>
    <xf numFmtId="178" fontId="21" fillId="0" borderId="0"/>
    <xf numFmtId="0" fontId="40" fillId="0" borderId="0"/>
    <xf numFmtId="0" fontId="21" fillId="0" borderId="0"/>
    <xf numFmtId="9" fontId="21" fillId="0" borderId="0" applyFont="0" applyFill="0" applyBorder="0" applyAlignment="0" applyProtection="0"/>
    <xf numFmtId="0" fontId="22" fillId="0" borderId="0"/>
    <xf numFmtId="0" fontId="21" fillId="28" borderId="11" applyNumberFormat="0" applyFont="0" applyAlignment="0" applyProtection="0"/>
    <xf numFmtId="0" fontId="21" fillId="28" borderId="11" applyNumberFormat="0" applyFont="0" applyAlignment="0" applyProtection="0"/>
    <xf numFmtId="0" fontId="64" fillId="28" borderId="11" applyNumberFormat="0" applyFont="0" applyAlignment="0" applyProtection="0"/>
    <xf numFmtId="0" fontId="21" fillId="28" borderId="11" applyNumberFormat="0" applyFont="0" applyAlignment="0" applyProtection="0"/>
    <xf numFmtId="0" fontId="21" fillId="28" borderId="11" applyNumberFormat="0" applyFont="0" applyAlignment="0" applyProtection="0"/>
    <xf numFmtId="0" fontId="77" fillId="25" borderId="12" applyNumberFormat="0" applyAlignment="0" applyProtection="0"/>
    <xf numFmtId="9" fontId="38"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39" fillId="0" borderId="13" applyNumberFormat="0" applyFill="0" applyAlignment="0" applyProtection="0"/>
    <xf numFmtId="0" fontId="78" fillId="0" borderId="13" applyNumberFormat="0" applyFill="0" applyAlignment="0" applyProtection="0"/>
    <xf numFmtId="0" fontId="79" fillId="0" borderId="0" applyNumberFormat="0" applyFill="0" applyBorder="0" applyAlignment="0" applyProtection="0"/>
    <xf numFmtId="0" fontId="21" fillId="0" borderId="0"/>
    <xf numFmtId="49" fontId="88" fillId="64" borderId="6">
      <alignment horizontal="right" indent="2"/>
    </xf>
    <xf numFmtId="9" fontId="21" fillId="0" borderId="0" applyFont="0" applyFill="0" applyBorder="0" applyAlignment="0" applyProtection="0"/>
    <xf numFmtId="166" fontId="21" fillId="0" borderId="0" applyFont="0" applyFill="0" applyBorder="0" applyAlignment="0" applyProtection="0"/>
    <xf numFmtId="0" fontId="21" fillId="0" borderId="0"/>
    <xf numFmtId="0" fontId="41" fillId="0" borderId="5">
      <alignment horizontal="center" vertical="center"/>
    </xf>
    <xf numFmtId="0" fontId="21" fillId="0" borderId="0"/>
    <xf numFmtId="0" fontId="21" fillId="28" borderId="11" applyNumberFormat="0" applyFont="0" applyAlignment="0" applyProtection="0"/>
    <xf numFmtId="9"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49" fontId="88" fillId="64" borderId="6">
      <alignment horizontal="right" indent="2"/>
    </xf>
    <xf numFmtId="166" fontId="21" fillId="0" borderId="0" applyFont="0" applyFill="0" applyBorder="0" applyAlignment="0" applyProtection="0"/>
    <xf numFmtId="49" fontId="88" fillId="64" borderId="6">
      <alignment horizontal="right" indent="2"/>
    </xf>
    <xf numFmtId="165" fontId="21" fillId="0" borderId="0" applyFont="0" applyFill="0" applyBorder="0" applyAlignment="0" applyProtection="0"/>
    <xf numFmtId="166"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1" fillId="0" borderId="0"/>
    <xf numFmtId="0" fontId="21" fillId="28" borderId="11" applyNumberFormat="0" applyFont="0" applyAlignment="0" applyProtection="0"/>
    <xf numFmtId="0" fontId="21" fillId="0" borderId="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9" fontId="21" fillId="0" borderId="0" applyFont="0" applyFill="0" applyBorder="0" applyAlignment="0" applyProtection="0"/>
    <xf numFmtId="0" fontId="21" fillId="0" borderId="0"/>
    <xf numFmtId="9" fontId="21" fillId="0" borderId="0" applyFont="0" applyFill="0" applyBorder="0" applyAlignment="0" applyProtection="0"/>
    <xf numFmtId="0" fontId="21" fillId="0" borderId="0"/>
    <xf numFmtId="9" fontId="21" fillId="0" borderId="0" applyFont="0" applyFill="0" applyBorder="0" applyAlignment="0" applyProtection="0"/>
    <xf numFmtId="0" fontId="21" fillId="0" borderId="0"/>
    <xf numFmtId="166" fontId="21" fillId="0" borderId="0" applyFont="0" applyFill="0" applyBorder="0" applyAlignment="0" applyProtection="0"/>
    <xf numFmtId="0" fontId="21" fillId="0" borderId="0" applyBorder="0"/>
    <xf numFmtId="0" fontId="21" fillId="0" borderId="0" applyBorder="0"/>
    <xf numFmtId="0" fontId="21" fillId="0" borderId="0" applyBorder="0"/>
    <xf numFmtId="0" fontId="21" fillId="0" borderId="0" applyBorder="0"/>
    <xf numFmtId="0" fontId="21" fillId="0" borderId="0" applyBorder="0"/>
    <xf numFmtId="0" fontId="21" fillId="0" borderId="0" applyBorder="0"/>
    <xf numFmtId="9" fontId="21" fillId="0" borderId="0" applyFont="0" applyFill="0" applyBorder="0" applyAlignment="0" applyProtection="0"/>
    <xf numFmtId="0" fontId="41" fillId="0" borderId="5">
      <alignment horizontal="center" vertical="center"/>
    </xf>
    <xf numFmtId="49" fontId="88" fillId="64" borderId="6">
      <alignment horizontal="right" indent="2"/>
    </xf>
    <xf numFmtId="0" fontId="25" fillId="25" borderId="7" applyNumberFormat="0" applyAlignment="0" applyProtection="0"/>
    <xf numFmtId="0" fontId="86" fillId="12" borderId="7" applyNumberFormat="0" applyAlignment="0" applyProtection="0"/>
    <xf numFmtId="0" fontId="33" fillId="25" borderId="12" applyNumberFormat="0" applyAlignment="0" applyProtection="0"/>
    <xf numFmtId="0" fontId="35" fillId="0" borderId="13" applyNumberFormat="0" applyFill="0" applyAlignment="0" applyProtection="0"/>
    <xf numFmtId="0" fontId="39" fillId="0" borderId="13" applyNumberFormat="0" applyFill="0" applyAlignment="0" applyProtection="0"/>
    <xf numFmtId="0" fontId="178" fillId="70" borderId="7" applyNumberFormat="0" applyAlignment="0" applyProtection="0"/>
    <xf numFmtId="0" fontId="58" fillId="27" borderId="7" applyNumberFormat="0" applyAlignment="0" applyProtection="0"/>
    <xf numFmtId="0" fontId="61" fillId="70" borderId="12" applyNumberFormat="0" applyAlignment="0" applyProtection="0"/>
    <xf numFmtId="0" fontId="41" fillId="0" borderId="5">
      <alignment horizontal="center" vertical="center"/>
    </xf>
    <xf numFmtId="49" fontId="88" fillId="64" borderId="6">
      <alignment horizontal="right" indent="2"/>
    </xf>
    <xf numFmtId="0" fontId="53" fillId="0" borderId="0" applyNumberFormat="0" applyFill="0" applyBorder="0" applyAlignment="0" applyProtection="0"/>
    <xf numFmtId="0" fontId="64" fillId="28" borderId="11" applyNumberFormat="0" applyFont="0" applyAlignment="0" applyProtection="0"/>
    <xf numFmtId="0" fontId="21" fillId="28" borderId="11" applyNumberFormat="0" applyFont="0" applyAlignment="0" applyProtection="0"/>
    <xf numFmtId="0" fontId="21" fillId="28" borderId="11" applyNumberFormat="0" applyFont="0" applyAlignment="0" applyProtection="0"/>
    <xf numFmtId="0" fontId="22" fillId="28" borderId="11" applyNumberFormat="0" applyFont="0" applyAlignment="0" applyProtection="0"/>
    <xf numFmtId="0" fontId="21" fillId="28" borderId="11" applyNumberFormat="0" applyFont="0" applyAlignment="0" applyProtection="0"/>
    <xf numFmtId="0" fontId="22" fillId="28" borderId="11" applyNumberFormat="0" applyFont="0" applyAlignment="0" applyProtection="0"/>
    <xf numFmtId="0" fontId="21" fillId="28" borderId="11" applyNumberFormat="0" applyFont="0" applyAlignment="0" applyProtection="0"/>
    <xf numFmtId="0" fontId="21" fillId="28" borderId="11" applyNumberFormat="0" applyFont="0" applyAlignment="0" applyProtection="0"/>
    <xf numFmtId="0" fontId="64" fillId="28" borderId="11" applyNumberFormat="0" applyFont="0" applyAlignment="0" applyProtection="0"/>
    <xf numFmtId="0" fontId="21" fillId="28" borderId="11" applyNumberFormat="0" applyFont="0" applyAlignment="0" applyProtection="0"/>
    <xf numFmtId="0" fontId="21" fillId="28" borderId="11" applyNumberFormat="0" applyFont="0" applyAlignment="0" applyProtection="0"/>
    <xf numFmtId="0" fontId="77" fillId="25" borderId="12" applyNumberFormat="0" applyAlignment="0" applyProtection="0"/>
    <xf numFmtId="0" fontId="21" fillId="28" borderId="11" applyNumberFormat="0" applyFont="0" applyAlignment="0" applyProtection="0"/>
    <xf numFmtId="0" fontId="21" fillId="28" borderId="11" applyNumberFormat="0" applyFont="0" applyAlignment="0" applyProtection="0"/>
    <xf numFmtId="0" fontId="22" fillId="28" borderId="11" applyNumberFormat="0" applyFont="0" applyAlignment="0" applyProtection="0"/>
    <xf numFmtId="0" fontId="21" fillId="28" borderId="11" applyNumberFormat="0" applyFont="0" applyAlignment="0" applyProtection="0"/>
    <xf numFmtId="0" fontId="22" fillId="28" borderId="11" applyNumberFormat="0" applyFont="0" applyAlignment="0" applyProtection="0"/>
    <xf numFmtId="0" fontId="39" fillId="0" borderId="43" applyNumberFormat="0" applyFill="0" applyAlignment="0" applyProtection="0"/>
    <xf numFmtId="0" fontId="61" fillId="25" borderId="12" applyNumberFormat="0" applyAlignment="0" applyProtection="0"/>
    <xf numFmtId="0" fontId="169" fillId="25" borderId="12" applyNumberFormat="0" applyAlignment="0" applyProtection="0"/>
    <xf numFmtId="0" fontId="41" fillId="0" borderId="4">
      <alignment horizontal="center" vertical="center"/>
    </xf>
    <xf numFmtId="0" fontId="41" fillId="0" borderId="4">
      <alignment horizontal="center" vertical="center"/>
    </xf>
    <xf numFmtId="0" fontId="61" fillId="25" borderId="12" applyNumberFormat="0" applyAlignment="0" applyProtection="0"/>
    <xf numFmtId="0" fontId="61" fillId="25" borderId="12" applyNumberFormat="0" applyAlignment="0" applyProtection="0"/>
    <xf numFmtId="0" fontId="61" fillId="25" borderId="12" applyNumberFormat="0" applyAlignment="0" applyProtection="0"/>
    <xf numFmtId="0" fontId="33" fillId="25" borderId="12" applyNumberFormat="0" applyAlignment="0" applyProtection="0"/>
    <xf numFmtId="0" fontId="61" fillId="25" borderId="12" applyNumberFormat="0" applyAlignment="0" applyProtection="0"/>
    <xf numFmtId="0" fontId="33" fillId="25" borderId="12" applyNumberFormat="0" applyAlignment="0" applyProtection="0"/>
    <xf numFmtId="0" fontId="61" fillId="25" borderId="12" applyNumberFormat="0" applyAlignment="0" applyProtection="0"/>
    <xf numFmtId="223" fontId="1" fillId="0" borderId="0"/>
    <xf numFmtId="223" fontId="67" fillId="25" borderId="7" applyNumberFormat="0" applyAlignment="0" applyProtection="0"/>
    <xf numFmtId="223" fontId="21" fillId="0" borderId="0" applyFont="0" applyFill="0" applyBorder="0" applyAlignment="0" applyProtection="0"/>
    <xf numFmtId="223" fontId="53" fillId="0" borderId="0" applyNumberFormat="0" applyFill="0" applyBorder="0" applyAlignment="0" applyProtection="0"/>
    <xf numFmtId="223" fontId="57" fillId="0" borderId="9" applyNumberFormat="0" applyFill="0" applyAlignment="0" applyProtection="0"/>
    <xf numFmtId="223" fontId="73" fillId="0" borderId="9" applyNumberFormat="0" applyFill="0" applyAlignment="0" applyProtection="0"/>
    <xf numFmtId="223" fontId="74" fillId="12" borderId="7" applyNumberFormat="0" applyAlignment="0" applyProtection="0"/>
    <xf numFmtId="223" fontId="64" fillId="28" borderId="11" applyNumberFormat="0" applyFont="0" applyAlignment="0" applyProtection="0"/>
    <xf numFmtId="223" fontId="77" fillId="25" borderId="12" applyNumberFormat="0" applyAlignment="0" applyProtection="0"/>
    <xf numFmtId="223" fontId="53" fillId="0" borderId="0" applyNumberFormat="0" applyFill="0" applyBorder="0" applyAlignment="0" applyProtection="0"/>
    <xf numFmtId="223" fontId="41" fillId="0" borderId="4">
      <alignment horizontal="center" vertical="center"/>
    </xf>
    <xf numFmtId="223" fontId="41" fillId="0" borderId="5">
      <alignment horizontal="center" vertical="center"/>
    </xf>
    <xf numFmtId="223" fontId="39" fillId="0" borderId="13" applyNumberFormat="0" applyFill="0" applyAlignment="0" applyProtection="0"/>
    <xf numFmtId="223" fontId="39" fillId="0" borderId="13" applyNumberFormat="0" applyFill="0" applyAlignment="0" applyProtection="0"/>
    <xf numFmtId="223" fontId="78" fillId="0" borderId="13" applyNumberFormat="0" applyFill="0" applyAlignment="0" applyProtection="0"/>
    <xf numFmtId="223" fontId="37" fillId="0" borderId="0" applyNumberFormat="0" applyFill="0" applyBorder="0" applyAlignment="0" applyProtection="0">
      <alignment vertical="top"/>
      <protection locked="0"/>
    </xf>
    <xf numFmtId="165" fontId="1" fillId="0" borderId="0" applyFont="0" applyFill="0" applyBorder="0" applyAlignment="0" applyProtection="0"/>
    <xf numFmtId="223" fontId="21" fillId="0" borderId="0"/>
    <xf numFmtId="223" fontId="21" fillId="0" borderId="0"/>
    <xf numFmtId="166" fontId="41" fillId="0" borderId="0" applyFont="0" applyFill="0" applyBorder="0" applyAlignment="0" applyProtection="0"/>
    <xf numFmtId="223" fontId="41" fillId="0" borderId="0"/>
    <xf numFmtId="223" fontId="41" fillId="0" borderId="0"/>
    <xf numFmtId="166" fontId="41" fillId="0" borderId="0" applyFont="0" applyFill="0" applyBorder="0" applyAlignment="0" applyProtection="0"/>
    <xf numFmtId="4" fontId="42" fillId="0" borderId="0" applyFont="0" applyFill="0" applyBorder="0" applyAlignment="0" applyProtection="0"/>
    <xf numFmtId="223" fontId="38" fillId="7" borderId="0" applyNumberFormat="0" applyBorder="0" applyAlignment="0" applyProtection="0"/>
    <xf numFmtId="223" fontId="83" fillId="39" borderId="0" applyNumberFormat="0" applyBorder="0" applyAlignment="0" applyProtection="0"/>
    <xf numFmtId="223" fontId="38" fillId="8" borderId="0" applyNumberFormat="0" applyBorder="0" applyAlignment="0" applyProtection="0"/>
    <xf numFmtId="223" fontId="83" fillId="43" borderId="0" applyNumberFormat="0" applyBorder="0" applyAlignment="0" applyProtection="0"/>
    <xf numFmtId="223" fontId="38" fillId="9" borderId="0" applyNumberFormat="0" applyBorder="0" applyAlignment="0" applyProtection="0"/>
    <xf numFmtId="223" fontId="83" fillId="47" borderId="0" applyNumberFormat="0" applyBorder="0" applyAlignment="0" applyProtection="0"/>
    <xf numFmtId="223" fontId="38" fillId="10" borderId="0" applyNumberFormat="0" applyBorder="0" applyAlignment="0" applyProtection="0"/>
    <xf numFmtId="223" fontId="83" fillId="51" borderId="0" applyNumberFormat="0" applyBorder="0" applyAlignment="0" applyProtection="0"/>
    <xf numFmtId="223" fontId="38" fillId="11" borderId="0" applyNumberFormat="0" applyBorder="0" applyAlignment="0" applyProtection="0"/>
    <xf numFmtId="223" fontId="38" fillId="12" borderId="0" applyNumberFormat="0" applyBorder="0" applyAlignment="0" applyProtection="0"/>
    <xf numFmtId="223" fontId="83" fillId="59" borderId="0" applyNumberFormat="0" applyBorder="0" applyAlignment="0" applyProtection="0"/>
    <xf numFmtId="223" fontId="38" fillId="13" borderId="0" applyNumberFormat="0" applyBorder="0" applyAlignment="0" applyProtection="0"/>
    <xf numFmtId="223" fontId="83" fillId="40" borderId="0" applyNumberFormat="0" applyBorder="0" applyAlignment="0" applyProtection="0"/>
    <xf numFmtId="223" fontId="38" fillId="14" borderId="0" applyNumberFormat="0" applyBorder="0" applyAlignment="0" applyProtection="0"/>
    <xf numFmtId="223" fontId="38" fillId="15" borderId="0" applyNumberFormat="0" applyBorder="0" applyAlignment="0" applyProtection="0"/>
    <xf numFmtId="223" fontId="83" fillId="48" borderId="0" applyNumberFormat="0" applyBorder="0" applyAlignment="0" applyProtection="0"/>
    <xf numFmtId="223" fontId="38" fillId="10" borderId="0" applyNumberFormat="0" applyBorder="0" applyAlignment="0" applyProtection="0"/>
    <xf numFmtId="223" fontId="83" fillId="52" borderId="0" applyNumberFormat="0" applyBorder="0" applyAlignment="0" applyProtection="0"/>
    <xf numFmtId="223" fontId="38" fillId="13" borderId="0" applyNumberFormat="0" applyBorder="0" applyAlignment="0" applyProtection="0"/>
    <xf numFmtId="223" fontId="83" fillId="56" borderId="0" applyNumberFormat="0" applyBorder="0" applyAlignment="0" applyProtection="0"/>
    <xf numFmtId="223" fontId="38" fillId="16" borderId="0" applyNumberFormat="0" applyBorder="0" applyAlignment="0" applyProtection="0"/>
    <xf numFmtId="223" fontId="83" fillId="60" borderId="0" applyNumberFormat="0" applyBorder="0" applyAlignment="0" applyProtection="0"/>
    <xf numFmtId="223" fontId="128" fillId="0" borderId="0" applyNumberFormat="0" applyFill="0" applyBorder="0" applyAlignment="0" applyProtection="0"/>
    <xf numFmtId="223" fontId="57" fillId="0" borderId="9" applyNumberFormat="0" applyFill="0" applyAlignment="0" applyProtection="0"/>
    <xf numFmtId="223" fontId="21" fillId="0" borderId="0" applyBorder="0"/>
    <xf numFmtId="223" fontId="21" fillId="0" borderId="0"/>
    <xf numFmtId="223" fontId="1" fillId="0" borderId="0"/>
    <xf numFmtId="223" fontId="1" fillId="0" borderId="0"/>
    <xf numFmtId="223" fontId="21" fillId="0" borderId="0"/>
    <xf numFmtId="223" fontId="120" fillId="37" borderId="28" applyNumberFormat="0" applyFont="0" applyAlignment="0" applyProtection="0"/>
    <xf numFmtId="223" fontId="21" fillId="0" borderId="0"/>
    <xf numFmtId="223" fontId="21" fillId="28" borderId="11" applyNumberFormat="0" applyFont="0" applyAlignment="0" applyProtection="0"/>
    <xf numFmtId="223" fontId="22" fillId="7" borderId="0" applyNumberFormat="0" applyBorder="0" applyAlignment="0" applyProtection="0"/>
    <xf numFmtId="223" fontId="22" fillId="8" borderId="0" applyNumberFormat="0" applyBorder="0" applyAlignment="0" applyProtection="0"/>
    <xf numFmtId="223" fontId="22" fillId="9" borderId="0" applyNumberFormat="0" applyBorder="0" applyAlignment="0" applyProtection="0"/>
    <xf numFmtId="223" fontId="22" fillId="10" borderId="0" applyNumberFormat="0" applyBorder="0" applyAlignment="0" applyProtection="0"/>
    <xf numFmtId="223" fontId="22" fillId="11" borderId="0" applyNumberFormat="0" applyBorder="0" applyAlignment="0" applyProtection="0"/>
    <xf numFmtId="223" fontId="22" fillId="12" borderId="0" applyNumberFormat="0" applyBorder="0" applyAlignment="0" applyProtection="0"/>
    <xf numFmtId="223" fontId="22" fillId="13" borderId="0" applyNumberFormat="0" applyBorder="0" applyAlignment="0" applyProtection="0"/>
    <xf numFmtId="223" fontId="22" fillId="14" borderId="0" applyNumberFormat="0" applyBorder="0" applyAlignment="0" applyProtection="0"/>
    <xf numFmtId="223" fontId="22" fillId="15" borderId="0" applyNumberFormat="0" applyBorder="0" applyAlignment="0" applyProtection="0"/>
    <xf numFmtId="223" fontId="22" fillId="10" borderId="0" applyNumberFormat="0" applyBorder="0" applyAlignment="0" applyProtection="0"/>
    <xf numFmtId="223" fontId="22" fillId="13" borderId="0" applyNumberFormat="0" applyBorder="0" applyAlignment="0" applyProtection="0"/>
    <xf numFmtId="223" fontId="22" fillId="16" borderId="0" applyNumberFormat="0" applyBorder="0" applyAlignment="0" applyProtection="0"/>
    <xf numFmtId="223" fontId="23" fillId="17" borderId="0" applyNumberFormat="0" applyBorder="0" applyAlignment="0" applyProtection="0"/>
    <xf numFmtId="223" fontId="23" fillId="14" borderId="0" applyNumberFormat="0" applyBorder="0" applyAlignment="0" applyProtection="0"/>
    <xf numFmtId="223" fontId="23" fillId="15" borderId="0" applyNumberFormat="0" applyBorder="0" applyAlignment="0" applyProtection="0"/>
    <xf numFmtId="223" fontId="23" fillId="18" borderId="0" applyNumberFormat="0" applyBorder="0" applyAlignment="0" applyProtection="0"/>
    <xf numFmtId="223" fontId="23" fillId="19" borderId="0" applyNumberFormat="0" applyBorder="0" applyAlignment="0" applyProtection="0"/>
    <xf numFmtId="223" fontId="23" fillId="20" borderId="0" applyNumberFormat="0" applyBorder="0" applyAlignment="0" applyProtection="0"/>
    <xf numFmtId="223" fontId="23" fillId="21" borderId="0" applyNumberFormat="0" applyBorder="0" applyAlignment="0" applyProtection="0"/>
    <xf numFmtId="223" fontId="23" fillId="22" borderId="0" applyNumberFormat="0" applyBorder="0" applyAlignment="0" applyProtection="0"/>
    <xf numFmtId="223" fontId="23" fillId="23" borderId="0" applyNumberFormat="0" applyBorder="0" applyAlignment="0" applyProtection="0"/>
    <xf numFmtId="223" fontId="23" fillId="18" borderId="0" applyNumberFormat="0" applyBorder="0" applyAlignment="0" applyProtection="0"/>
    <xf numFmtId="223" fontId="23" fillId="19" borderId="0" applyNumberFormat="0" applyBorder="0" applyAlignment="0" applyProtection="0"/>
    <xf numFmtId="223" fontId="23" fillId="24" borderId="0" applyNumberFormat="0" applyBorder="0" applyAlignment="0" applyProtection="0"/>
    <xf numFmtId="223" fontId="24" fillId="8" borderId="0" applyNumberFormat="0" applyBorder="0" applyAlignment="0" applyProtection="0"/>
    <xf numFmtId="223" fontId="26" fillId="26" borderId="8" applyNumberFormat="0" applyAlignment="0" applyProtection="0"/>
    <xf numFmtId="223" fontId="27" fillId="0" borderId="0" applyNumberFormat="0" applyFill="0" applyBorder="0" applyAlignment="0" applyProtection="0"/>
    <xf numFmtId="223" fontId="28" fillId="9" borderId="0" applyNumberFormat="0" applyBorder="0" applyAlignment="0" applyProtection="0"/>
    <xf numFmtId="223" fontId="84" fillId="0" borderId="23" applyNumberFormat="0" applyFill="0" applyAlignment="0" applyProtection="0"/>
    <xf numFmtId="223" fontId="85" fillId="0" borderId="24" applyNumberFormat="0" applyFill="0" applyAlignment="0" applyProtection="0"/>
    <xf numFmtId="223" fontId="29" fillId="0" borderId="9" applyNumberFormat="0" applyFill="0" applyAlignment="0" applyProtection="0"/>
    <xf numFmtId="223" fontId="29" fillId="0" borderId="0" applyNumberFormat="0" applyFill="0" applyBorder="0" applyAlignment="0" applyProtection="0"/>
    <xf numFmtId="223" fontId="30" fillId="0" borderId="10" applyNumberFormat="0" applyFill="0" applyAlignment="0" applyProtection="0"/>
    <xf numFmtId="223" fontId="31" fillId="27" borderId="0" applyNumberFormat="0" applyBorder="0" applyAlignment="0" applyProtection="0"/>
    <xf numFmtId="223" fontId="20" fillId="0" borderId="0"/>
    <xf numFmtId="223" fontId="20" fillId="0" borderId="0"/>
    <xf numFmtId="223" fontId="36" fillId="0" borderId="0" applyNumberFormat="0" applyFill="0" applyBorder="0" applyAlignment="0" applyProtection="0"/>
    <xf numFmtId="223" fontId="41" fillId="0" borderId="0"/>
    <xf numFmtId="223" fontId="38" fillId="7" borderId="0" applyNumberFormat="0" applyBorder="0" applyAlignment="0" applyProtection="0"/>
    <xf numFmtId="223" fontId="38" fillId="8" borderId="0" applyNumberFormat="0" applyBorder="0" applyAlignment="0" applyProtection="0"/>
    <xf numFmtId="223" fontId="38" fillId="9" borderId="0" applyNumberFormat="0" applyBorder="0" applyAlignment="0" applyProtection="0"/>
    <xf numFmtId="223" fontId="38" fillId="10" borderId="0" applyNumberFormat="0" applyBorder="0" applyAlignment="0" applyProtection="0"/>
    <xf numFmtId="223" fontId="38" fillId="11" borderId="0" applyNumberFormat="0" applyBorder="0" applyAlignment="0" applyProtection="0"/>
    <xf numFmtId="223" fontId="38" fillId="12" borderId="0" applyNumberFormat="0" applyBorder="0" applyAlignment="0" applyProtection="0"/>
    <xf numFmtId="223" fontId="38" fillId="13" borderId="0" applyNumberFormat="0" applyBorder="0" applyAlignment="0" applyProtection="0"/>
    <xf numFmtId="223" fontId="38" fillId="14" borderId="0" applyNumberFormat="0" applyBorder="0" applyAlignment="0" applyProtection="0"/>
    <xf numFmtId="223" fontId="38" fillId="15" borderId="0" applyNumberFormat="0" applyBorder="0" applyAlignment="0" applyProtection="0"/>
    <xf numFmtId="223" fontId="38" fillId="10" borderId="0" applyNumberFormat="0" applyBorder="0" applyAlignment="0" applyProtection="0"/>
    <xf numFmtId="223" fontId="38" fillId="13" borderId="0" applyNumberFormat="0" applyBorder="0" applyAlignment="0" applyProtection="0"/>
    <xf numFmtId="223" fontId="38" fillId="16" borderId="0" applyNumberFormat="0" applyBorder="0" applyAlignment="0" applyProtection="0"/>
    <xf numFmtId="223" fontId="114" fillId="0" borderId="0" applyFont="0" applyFill="0" applyBorder="0" applyAlignment="0" applyProtection="0"/>
    <xf numFmtId="223" fontId="57" fillId="0" borderId="9" applyNumberFormat="0" applyFill="0" applyAlignment="0" applyProtection="0"/>
    <xf numFmtId="223" fontId="1" fillId="0" borderId="0"/>
    <xf numFmtId="223" fontId="21" fillId="0" borderId="0" applyBorder="0"/>
    <xf numFmtId="223" fontId="120" fillId="37" borderId="28" applyNumberFormat="0" applyFont="0" applyAlignment="0" applyProtection="0"/>
    <xf numFmtId="223" fontId="1" fillId="0" borderId="0"/>
    <xf numFmtId="49" fontId="88" fillId="64" borderId="6">
      <alignment horizontal="right" indent="2"/>
    </xf>
    <xf numFmtId="223" fontId="41" fillId="0" borderId="4">
      <alignment horizontal="center" vertical="center"/>
    </xf>
    <xf numFmtId="49" fontId="88" fillId="64" borderId="6">
      <alignment horizontal="right" indent="2"/>
    </xf>
    <xf numFmtId="0" fontId="41" fillId="0" borderId="5">
      <alignment horizontal="center" vertical="center"/>
    </xf>
    <xf numFmtId="223" fontId="63" fillId="7" borderId="0" applyNumberFormat="0" applyBorder="0" applyAlignment="0" applyProtection="0"/>
    <xf numFmtId="223" fontId="63" fillId="8" borderId="0" applyNumberFormat="0" applyBorder="0" applyAlignment="0" applyProtection="0"/>
    <xf numFmtId="223" fontId="63" fillId="9" borderId="0" applyNumberFormat="0" applyBorder="0" applyAlignment="0" applyProtection="0"/>
    <xf numFmtId="223" fontId="63" fillId="10" borderId="0" applyNumberFormat="0" applyBorder="0" applyAlignment="0" applyProtection="0"/>
    <xf numFmtId="223" fontId="63" fillId="11" borderId="0" applyNumberFormat="0" applyBorder="0" applyAlignment="0" applyProtection="0"/>
    <xf numFmtId="223" fontId="63" fillId="12" borderId="0" applyNumberFormat="0" applyBorder="0" applyAlignment="0" applyProtection="0"/>
    <xf numFmtId="223" fontId="63" fillId="13" borderId="0" applyNumberFormat="0" applyBorder="0" applyAlignment="0" applyProtection="0"/>
    <xf numFmtId="223" fontId="63" fillId="14" borderId="0" applyNumberFormat="0" applyBorder="0" applyAlignment="0" applyProtection="0"/>
    <xf numFmtId="223" fontId="63" fillId="15" borderId="0" applyNumberFormat="0" applyBorder="0" applyAlignment="0" applyProtection="0"/>
    <xf numFmtId="223" fontId="63" fillId="10" borderId="0" applyNumberFormat="0" applyBorder="0" applyAlignment="0" applyProtection="0"/>
    <xf numFmtId="223" fontId="63" fillId="13" borderId="0" applyNumberFormat="0" applyBorder="0" applyAlignment="0" applyProtection="0"/>
    <xf numFmtId="223" fontId="63" fillId="16" borderId="0" applyNumberFormat="0" applyBorder="0" applyAlignment="0" applyProtection="0"/>
    <xf numFmtId="223" fontId="73" fillId="0" borderId="9" applyNumberFormat="0" applyFill="0" applyAlignment="0" applyProtection="0"/>
    <xf numFmtId="223" fontId="64" fillId="0" borderId="0"/>
    <xf numFmtId="223" fontId="21" fillId="28" borderId="11" applyNumberFormat="0" applyFont="0" applyAlignment="0" applyProtection="0"/>
    <xf numFmtId="223" fontId="21" fillId="0" borderId="0"/>
    <xf numFmtId="223" fontId="41" fillId="0" borderId="5">
      <alignment horizontal="center" vertical="center"/>
    </xf>
    <xf numFmtId="223" fontId="41" fillId="0" borderId="5">
      <alignment horizontal="center" vertical="center"/>
    </xf>
    <xf numFmtId="223" fontId="25" fillId="25" borderId="7" applyNumberFormat="0" applyAlignment="0" applyProtection="0"/>
    <xf numFmtId="223" fontId="86" fillId="12" borderId="7" applyNumberFormat="0" applyAlignment="0" applyProtection="0"/>
    <xf numFmtId="223" fontId="22" fillId="28" borderId="11" applyNumberFormat="0" applyFont="0" applyAlignment="0" applyProtection="0"/>
    <xf numFmtId="223" fontId="33" fillId="25" borderId="12" applyNumberFormat="0" applyAlignment="0" applyProtection="0"/>
    <xf numFmtId="223" fontId="35" fillId="0" borderId="13" applyNumberFormat="0" applyFill="0" applyAlignment="0" applyProtection="0"/>
    <xf numFmtId="223" fontId="21" fillId="28" borderId="11" applyNumberFormat="0" applyFont="0" applyAlignment="0" applyProtection="0"/>
    <xf numFmtId="223" fontId="39" fillId="0" borderId="13" applyNumberFormat="0" applyFill="0" applyAlignment="0" applyProtection="0"/>
    <xf numFmtId="223" fontId="22" fillId="28" borderId="11" applyNumberFormat="0" applyFont="0" applyAlignment="0" applyProtection="0"/>
    <xf numFmtId="223" fontId="21" fillId="0" borderId="0"/>
    <xf numFmtId="223" fontId="21" fillId="0" borderId="0" applyBorder="0"/>
    <xf numFmtId="223" fontId="21" fillId="0" borderId="0" applyBorder="0"/>
    <xf numFmtId="223" fontId="21" fillId="0" borderId="0" applyBorder="0"/>
    <xf numFmtId="223" fontId="21" fillId="0" borderId="0" applyBorder="0"/>
    <xf numFmtId="4" fontId="42" fillId="0" borderId="0" applyFont="0" applyFill="0" applyBorder="0" applyAlignment="0" applyProtection="0"/>
    <xf numFmtId="4" fontId="42" fillId="0" borderId="0" applyFont="0" applyFill="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49" fillId="17" borderId="0" applyNumberFormat="0" applyBorder="0" applyAlignment="0" applyProtection="0"/>
    <xf numFmtId="0" fontId="65" fillId="17" borderId="0" applyNumberFormat="0" applyBorder="0" applyAlignment="0" applyProtection="0"/>
    <xf numFmtId="0" fontId="49" fillId="14" borderId="0" applyNumberFormat="0" applyBorder="0" applyAlignment="0" applyProtection="0"/>
    <xf numFmtId="0" fontId="65" fillId="14" borderId="0" applyNumberFormat="0" applyBorder="0" applyAlignment="0" applyProtection="0"/>
    <xf numFmtId="0" fontId="49" fillId="15" borderId="0" applyNumberFormat="0" applyBorder="0" applyAlignment="0" applyProtection="0"/>
    <xf numFmtId="0" fontId="65" fillId="15" borderId="0" applyNumberFormat="0" applyBorder="0" applyAlignment="0" applyProtection="0"/>
    <xf numFmtId="0" fontId="49" fillId="18" borderId="0" applyNumberFormat="0" applyBorder="0" applyAlignment="0" applyProtection="0"/>
    <xf numFmtId="0" fontId="65" fillId="18" borderId="0" applyNumberFormat="0" applyBorder="0" applyAlignment="0" applyProtection="0"/>
    <xf numFmtId="0" fontId="49" fillId="19" borderId="0" applyNumberFormat="0" applyBorder="0" applyAlignment="0" applyProtection="0"/>
    <xf numFmtId="0" fontId="65" fillId="19" borderId="0" applyNumberFormat="0" applyBorder="0" applyAlignment="0" applyProtection="0"/>
    <xf numFmtId="0" fontId="49" fillId="20" borderId="0" applyNumberFormat="0" applyBorder="0" applyAlignment="0" applyProtection="0"/>
    <xf numFmtId="0" fontId="65" fillId="20" borderId="0" applyNumberFormat="0" applyBorder="0" applyAlignment="0" applyProtection="0"/>
    <xf numFmtId="0" fontId="49" fillId="21" borderId="0" applyNumberFormat="0" applyBorder="0" applyAlignment="0" applyProtection="0"/>
    <xf numFmtId="0" fontId="65" fillId="21" borderId="0" applyNumberFormat="0" applyBorder="0" applyAlignment="0" applyProtection="0"/>
    <xf numFmtId="0" fontId="49" fillId="22" borderId="0" applyNumberFormat="0" applyBorder="0" applyAlignment="0" applyProtection="0"/>
    <xf numFmtId="0" fontId="65" fillId="22" borderId="0" applyNumberFormat="0" applyBorder="0" applyAlignment="0" applyProtection="0"/>
    <xf numFmtId="0" fontId="49" fillId="23" borderId="0" applyNumberFormat="0" applyBorder="0" applyAlignment="0" applyProtection="0"/>
    <xf numFmtId="0" fontId="65" fillId="23" borderId="0" applyNumberFormat="0" applyBorder="0" applyAlignment="0" applyProtection="0"/>
    <xf numFmtId="0" fontId="49" fillId="18"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49" fillId="24" borderId="0" applyNumberFormat="0" applyBorder="0" applyAlignment="0" applyProtection="0"/>
    <xf numFmtId="0" fontId="65" fillId="24" borderId="0" applyNumberFormat="0" applyBorder="0" applyAlignment="0" applyProtection="0"/>
    <xf numFmtId="0" fontId="50" fillId="8" borderId="0" applyNumberFormat="0" applyBorder="0" applyAlignment="0" applyProtection="0"/>
    <xf numFmtId="0" fontId="66" fillId="8" borderId="0" applyNumberFormat="0" applyBorder="0" applyAlignment="0" applyProtection="0"/>
    <xf numFmtId="0" fontId="51" fillId="25" borderId="7" applyNumberFormat="0" applyAlignment="0" applyProtection="0"/>
    <xf numFmtId="0" fontId="67" fillId="25" borderId="7" applyNumberFormat="0" applyAlignment="0" applyProtection="0"/>
    <xf numFmtId="0" fontId="68" fillId="26" borderId="8" applyNumberFormat="0" applyAlignment="0" applyProtection="0"/>
    <xf numFmtId="0" fontId="21" fillId="0" borderId="0" applyFont="0" applyFill="0" applyBorder="0" applyAlignment="0" applyProtection="0"/>
    <xf numFmtId="0" fontId="69" fillId="0" borderId="0" applyNumberFormat="0" applyFill="0" applyBorder="0" applyAlignment="0" applyProtection="0"/>
    <xf numFmtId="0" fontId="54" fillId="9" borderId="0" applyNumberFormat="0" applyBorder="0" applyAlignment="0" applyProtection="0"/>
    <xf numFmtId="0" fontId="70" fillId="9" borderId="0" applyNumberFormat="0" applyBorder="0" applyAlignment="0" applyProtection="0"/>
    <xf numFmtId="0" fontId="55" fillId="0" borderId="23" applyNumberFormat="0" applyFill="0" applyAlignment="0" applyProtection="0"/>
    <xf numFmtId="0" fontId="71" fillId="0" borderId="23" applyNumberFormat="0" applyFill="0" applyAlignment="0" applyProtection="0"/>
    <xf numFmtId="0" fontId="56" fillId="0" borderId="24" applyNumberFormat="0" applyFill="0" applyAlignment="0" applyProtection="0"/>
    <xf numFmtId="0" fontId="72" fillId="0" borderId="24" applyNumberFormat="0" applyFill="0" applyAlignment="0" applyProtection="0"/>
    <xf numFmtId="0" fontId="57" fillId="0" borderId="9" applyNumberFormat="0" applyFill="0" applyAlignment="0" applyProtection="0"/>
    <xf numFmtId="0" fontId="73" fillId="0" borderId="9" applyNumberFormat="0" applyFill="0" applyAlignment="0" applyProtection="0"/>
    <xf numFmtId="0" fontId="57" fillId="0" borderId="0" applyNumberFormat="0" applyFill="0" applyBorder="0" applyAlignment="0" applyProtection="0"/>
    <xf numFmtId="0" fontId="73" fillId="0" borderId="0" applyNumberFormat="0" applyFill="0" applyBorder="0" applyAlignment="0" applyProtection="0"/>
    <xf numFmtId="0" fontId="58" fillId="12" borderId="7" applyNumberFormat="0" applyAlignment="0" applyProtection="0"/>
    <xf numFmtId="0" fontId="74" fillId="12" borderId="7" applyNumberFormat="0" applyAlignment="0" applyProtection="0"/>
    <xf numFmtId="0" fontId="59" fillId="0" borderId="10" applyNumberFormat="0" applyFill="0" applyAlignment="0" applyProtection="0"/>
    <xf numFmtId="0" fontId="75" fillId="0" borderId="10" applyNumberFormat="0" applyFill="0" applyAlignment="0" applyProtection="0"/>
    <xf numFmtId="0" fontId="60" fillId="27" borderId="0" applyNumberFormat="0" applyBorder="0" applyAlignment="0" applyProtection="0"/>
    <xf numFmtId="0" fontId="76" fillId="27" borderId="0" applyNumberFormat="0" applyBorder="0" applyAlignment="0" applyProtection="0"/>
    <xf numFmtId="0" fontId="21" fillId="0" borderId="0"/>
    <xf numFmtId="0" fontId="21" fillId="0" borderId="0"/>
    <xf numFmtId="0" fontId="21" fillId="0" borderId="0"/>
    <xf numFmtId="0" fontId="21" fillId="0" borderId="0"/>
    <xf numFmtId="0" fontId="41" fillId="0" borderId="0"/>
    <xf numFmtId="0" fontId="21" fillId="0" borderId="0"/>
    <xf numFmtId="0" fontId="20" fillId="0" borderId="0"/>
    <xf numFmtId="0" fontId="20" fillId="0" borderId="0"/>
    <xf numFmtId="0" fontId="64" fillId="28" borderId="11" applyNumberFormat="0" applyFont="0" applyAlignment="0" applyProtection="0"/>
    <xf numFmtId="0" fontId="61" fillId="25" borderId="12" applyNumberFormat="0" applyAlignment="0" applyProtection="0"/>
    <xf numFmtId="0" fontId="77" fillId="25" borderId="12" applyNumberFormat="0" applyAlignment="0" applyProtection="0"/>
    <xf numFmtId="0" fontId="34" fillId="0" borderId="0" applyNumberFormat="0" applyFill="0" applyBorder="0" applyAlignment="0" applyProtection="0"/>
    <xf numFmtId="0" fontId="39" fillId="0" borderId="13" applyNumberFormat="0" applyFill="0" applyAlignment="0" applyProtection="0"/>
    <xf numFmtId="0" fontId="39" fillId="0" borderId="13" applyNumberFormat="0" applyFill="0" applyAlignment="0" applyProtection="0"/>
    <xf numFmtId="0" fontId="78" fillId="0" borderId="13" applyNumberFormat="0" applyFill="0" applyAlignment="0" applyProtection="0"/>
    <xf numFmtId="0" fontId="79" fillId="0" borderId="0" applyNumberFormat="0" applyFill="0" applyBorder="0" applyAlignment="0" applyProtection="0"/>
    <xf numFmtId="0" fontId="128" fillId="0" borderId="0" applyNumberFormat="0" applyFill="0" applyBorder="0" applyAlignment="0" applyProtection="0"/>
    <xf numFmtId="0" fontId="41" fillId="0" borderId="0"/>
    <xf numFmtId="0" fontId="41" fillId="0" borderId="0"/>
    <xf numFmtId="0" fontId="41" fillId="0" borderId="0"/>
    <xf numFmtId="223" fontId="114" fillId="0" borderId="0" applyFont="0" applyFill="0" applyBorder="0" applyAlignment="0" applyProtection="0"/>
    <xf numFmtId="0" fontId="21" fillId="0" borderId="0"/>
    <xf numFmtId="0" fontId="20" fillId="0" borderId="0"/>
    <xf numFmtId="0" fontId="41" fillId="0" borderId="0"/>
    <xf numFmtId="0" fontId="20" fillId="0" borderId="0"/>
    <xf numFmtId="0" fontId="21" fillId="0" borderId="0"/>
    <xf numFmtId="0" fontId="41" fillId="0" borderId="0"/>
    <xf numFmtId="0" fontId="41" fillId="0" borderId="0"/>
    <xf numFmtId="0" fontId="42" fillId="0" borderId="0"/>
    <xf numFmtId="0" fontId="38" fillId="7" borderId="0" applyNumberFormat="0" applyBorder="0" applyAlignment="0" applyProtection="0"/>
    <xf numFmtId="0" fontId="83" fillId="39" borderId="0" applyNumberFormat="0" applyBorder="0" applyAlignment="0" applyProtection="0"/>
    <xf numFmtId="0" fontId="38" fillId="8" borderId="0" applyNumberFormat="0" applyBorder="0" applyAlignment="0" applyProtection="0"/>
    <xf numFmtId="0" fontId="83" fillId="43" borderId="0" applyNumberFormat="0" applyBorder="0" applyAlignment="0" applyProtection="0"/>
    <xf numFmtId="0" fontId="38" fillId="9" borderId="0" applyNumberFormat="0" applyBorder="0" applyAlignment="0" applyProtection="0"/>
    <xf numFmtId="0" fontId="83" fillId="47" borderId="0" applyNumberFormat="0" applyBorder="0" applyAlignment="0" applyProtection="0"/>
    <xf numFmtId="0" fontId="38" fillId="10" borderId="0" applyNumberFormat="0" applyBorder="0" applyAlignment="0" applyProtection="0"/>
    <xf numFmtId="0" fontId="83" fillId="51"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83" fillId="59" borderId="0" applyNumberFormat="0" applyBorder="0" applyAlignment="0" applyProtection="0"/>
    <xf numFmtId="0" fontId="38" fillId="13" borderId="0" applyNumberFormat="0" applyBorder="0" applyAlignment="0" applyProtection="0"/>
    <xf numFmtId="0" fontId="83" fillId="40"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83" fillId="48" borderId="0" applyNumberFormat="0" applyBorder="0" applyAlignment="0" applyProtection="0"/>
    <xf numFmtId="0" fontId="38" fillId="10" borderId="0" applyNumberFormat="0" applyBorder="0" applyAlignment="0" applyProtection="0"/>
    <xf numFmtId="0" fontId="83" fillId="52" borderId="0" applyNumberFormat="0" applyBorder="0" applyAlignment="0" applyProtection="0"/>
    <xf numFmtId="0" fontId="38" fillId="13" borderId="0" applyNumberFormat="0" applyBorder="0" applyAlignment="0" applyProtection="0"/>
    <xf numFmtId="0" fontId="83" fillId="56" borderId="0" applyNumberFormat="0" applyBorder="0" applyAlignment="0" applyProtection="0"/>
    <xf numFmtId="0" fontId="38" fillId="16" borderId="0" applyNumberFormat="0" applyBorder="0" applyAlignment="0" applyProtection="0"/>
    <xf numFmtId="0" fontId="83" fillId="60" borderId="0" applyNumberFormat="0" applyBorder="0" applyAlignment="0" applyProtection="0"/>
    <xf numFmtId="0" fontId="123" fillId="41" borderId="0" applyNumberFormat="0" applyBorder="0" applyAlignment="0" applyProtection="0"/>
    <xf numFmtId="0" fontId="123" fillId="45" borderId="0" applyNumberFormat="0" applyBorder="0" applyAlignment="0" applyProtection="0"/>
    <xf numFmtId="0" fontId="123" fillId="49" borderId="0" applyNumberFormat="0" applyBorder="0" applyAlignment="0" applyProtection="0"/>
    <xf numFmtId="0" fontId="123" fillId="53" borderId="0" applyNumberFormat="0" applyBorder="0" applyAlignment="0" applyProtection="0"/>
    <xf numFmtId="0" fontId="123" fillId="57" borderId="0" applyNumberFormat="0" applyBorder="0" applyAlignment="0" applyProtection="0"/>
    <xf numFmtId="0" fontId="123" fillId="61" borderId="0" applyNumberFormat="0" applyBorder="0" applyAlignment="0" applyProtection="0"/>
    <xf numFmtId="0" fontId="123" fillId="38" borderId="0" applyNumberFormat="0" applyBorder="0" applyAlignment="0" applyProtection="0"/>
    <xf numFmtId="0" fontId="123" fillId="42" borderId="0" applyNumberFormat="0" applyBorder="0" applyAlignment="0" applyProtection="0"/>
    <xf numFmtId="0" fontId="123" fillId="46" borderId="0" applyNumberFormat="0" applyBorder="0" applyAlignment="0" applyProtection="0"/>
    <xf numFmtId="0" fontId="123" fillId="50" borderId="0" applyNumberFormat="0" applyBorder="0" applyAlignment="0" applyProtection="0"/>
    <xf numFmtId="0" fontId="49" fillId="19" borderId="0" applyNumberFormat="0" applyBorder="0" applyAlignment="0" applyProtection="0"/>
    <xf numFmtId="0" fontId="123" fillId="58" borderId="0" applyNumberFormat="0" applyBorder="0" applyAlignment="0" applyProtection="0"/>
    <xf numFmtId="0" fontId="124" fillId="33" borderId="0" applyNumberFormat="0" applyBorder="0" applyAlignment="0" applyProtection="0"/>
    <xf numFmtId="0" fontId="126" fillId="35" borderId="2" applyNumberFormat="0" applyAlignment="0" applyProtection="0"/>
    <xf numFmtId="0" fontId="52" fillId="26" borderId="8" applyNumberFormat="0" applyAlignment="0" applyProtection="0"/>
    <xf numFmtId="0" fontId="53" fillId="0" borderId="0" applyNumberFormat="0" applyFill="0" applyBorder="0" applyAlignment="0" applyProtection="0"/>
    <xf numFmtId="0" fontId="129" fillId="32" borderId="0" applyNumberFormat="0" applyBorder="0" applyAlignment="0" applyProtection="0"/>
    <xf numFmtId="0" fontId="57" fillId="0" borderId="9" applyNumberFormat="0" applyFill="0" applyAlignment="0" applyProtection="0"/>
    <xf numFmtId="0" fontId="132" fillId="0" borderId="32" applyNumberFormat="0" applyFill="0" applyAlignment="0" applyProtection="0"/>
    <xf numFmtId="0" fontId="132" fillId="0" borderId="0" applyNumberFormat="0" applyFill="0" applyBorder="0" applyAlignment="0" applyProtection="0"/>
    <xf numFmtId="0" fontId="133" fillId="62" borderId="2" applyNumberFormat="0" applyAlignment="0" applyProtection="0"/>
    <xf numFmtId="0" fontId="134" fillId="0" borderId="26" applyNumberFormat="0" applyFill="0" applyAlignment="0" applyProtection="0"/>
    <xf numFmtId="0" fontId="136" fillId="34" borderId="0" applyNumberFormat="0" applyBorder="0" applyAlignment="0" applyProtection="0"/>
    <xf numFmtId="0" fontId="137" fillId="35" borderId="25" applyNumberFormat="0" applyAlignment="0" applyProtection="0"/>
    <xf numFmtId="0" fontId="39" fillId="0" borderId="13" applyNumberFormat="0" applyFill="0" applyAlignment="0" applyProtection="0"/>
    <xf numFmtId="0" fontId="3" fillId="0" borderId="13" applyNumberFormat="0" applyFill="0" applyAlignment="0" applyProtection="0"/>
    <xf numFmtId="0" fontId="62" fillId="0" borderId="0" applyNumberFormat="0" applyFill="0" applyBorder="0" applyAlignment="0" applyProtection="0"/>
    <xf numFmtId="223" fontId="53" fillId="0" borderId="0" applyNumberFormat="0" applyFill="0" applyBorder="0" applyAlignment="0" applyProtection="0"/>
    <xf numFmtId="0" fontId="33" fillId="25" borderId="12" applyNumberFormat="0" applyAlignment="0" applyProtection="0"/>
    <xf numFmtId="0" fontId="35" fillId="0" borderId="1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57" fillId="0" borderId="9" applyNumberFormat="0" applyFill="0" applyAlignment="0" applyProtection="0"/>
    <xf numFmtId="0" fontId="39" fillId="0" borderId="13" applyNumberFormat="0" applyFill="0" applyAlignment="0" applyProtection="0"/>
    <xf numFmtId="0" fontId="3" fillId="0" borderId="13" applyNumberFormat="0" applyFill="0" applyAlignment="0" applyProtection="0"/>
    <xf numFmtId="9" fontId="172" fillId="0" borderId="0" applyFont="0" applyFill="0" applyBorder="0" applyAlignment="0" applyProtection="0"/>
    <xf numFmtId="228" fontId="21" fillId="0" borderId="0" applyFont="0" applyFill="0" applyBorder="0" applyAlignment="0" applyProtection="0"/>
    <xf numFmtId="0" fontId="73" fillId="0" borderId="9" applyNumberFormat="0" applyFill="0" applyAlignment="0" applyProtection="0"/>
    <xf numFmtId="0" fontId="170" fillId="0" borderId="13" applyNumberFormat="0" applyFill="0" applyAlignment="0" applyProtection="0"/>
    <xf numFmtId="0" fontId="35" fillId="0" borderId="1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33" fillId="25" borderId="12" applyNumberFormat="0" applyAlignment="0" applyProtection="0"/>
    <xf numFmtId="0" fontId="61" fillId="25" borderId="12" applyNumberFormat="0" applyAlignment="0" applyProtection="0"/>
    <xf numFmtId="0" fontId="35" fillId="0" borderId="13" applyNumberFormat="0" applyFill="0" applyAlignment="0" applyProtection="0"/>
    <xf numFmtId="0" fontId="39" fillId="0" borderId="13" applyNumberFormat="0" applyFill="0" applyAlignment="0" applyProtection="0"/>
    <xf numFmtId="0" fontId="61" fillId="25" borderId="12" applyNumberFormat="0" applyAlignment="0" applyProtection="0"/>
    <xf numFmtId="0" fontId="35" fillId="0" borderId="13" applyNumberFormat="0" applyFill="0" applyAlignment="0" applyProtection="0"/>
    <xf numFmtId="0" fontId="33" fillId="25" borderId="12" applyNumberFormat="0" applyAlignment="0" applyProtection="0"/>
    <xf numFmtId="0" fontId="61" fillId="25" borderId="12" applyNumberFormat="0" applyAlignment="0" applyProtection="0"/>
    <xf numFmtId="0" fontId="61" fillId="25" borderId="12" applyNumberFormat="0" applyAlignment="0" applyProtection="0"/>
    <xf numFmtId="0" fontId="39" fillId="0" borderId="13" applyNumberFormat="0" applyFill="0" applyAlignment="0" applyProtection="0"/>
    <xf numFmtId="0" fontId="3" fillId="0" borderId="13" applyNumberFormat="0" applyFill="0" applyAlignment="0" applyProtection="0"/>
    <xf numFmtId="0" fontId="39" fillId="0" borderId="13" applyNumberFormat="0" applyFill="0" applyAlignment="0" applyProtection="0"/>
    <xf numFmtId="0" fontId="170" fillId="0" borderId="13" applyNumberFormat="0" applyFill="0" applyAlignment="0" applyProtection="0"/>
    <xf numFmtId="0" fontId="61" fillId="25" borderId="12" applyNumberFormat="0" applyAlignment="0" applyProtection="0"/>
    <xf numFmtId="0" fontId="169" fillId="25" borderId="12" applyNumberFormat="0" applyAlignment="0" applyProtection="0"/>
    <xf numFmtId="0" fontId="61" fillId="25" borderId="12" applyNumberFormat="0" applyAlignment="0" applyProtection="0"/>
    <xf numFmtId="0" fontId="3" fillId="0" borderId="13" applyNumberFormat="0" applyFill="0" applyAlignment="0" applyProtection="0"/>
    <xf numFmtId="0" fontId="61" fillId="25" borderId="12" applyNumberFormat="0" applyAlignment="0" applyProtection="0"/>
    <xf numFmtId="0" fontId="39" fillId="0" borderId="13" applyNumberFormat="0" applyFill="0" applyAlignment="0" applyProtection="0"/>
    <xf numFmtId="0" fontId="39" fillId="0" borderId="13" applyNumberFormat="0" applyFill="0" applyAlignment="0" applyProtection="0"/>
    <xf numFmtId="0" fontId="3" fillId="0" borderId="13" applyNumberFormat="0" applyFill="0" applyAlignment="0" applyProtection="0"/>
    <xf numFmtId="0" fontId="61" fillId="25" borderId="12" applyNumberFormat="0" applyAlignment="0" applyProtection="0"/>
    <xf numFmtId="0" fontId="3" fillId="0" borderId="1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61" fillId="25" borderId="12" applyNumberFormat="0" applyAlignment="0" applyProtection="0"/>
    <xf numFmtId="0" fontId="170" fillId="0" borderId="13" applyNumberFormat="0" applyFill="0" applyAlignment="0" applyProtection="0"/>
    <xf numFmtId="0" fontId="39" fillId="0" borderId="13" applyNumberFormat="0" applyFill="0" applyAlignment="0" applyProtection="0"/>
    <xf numFmtId="0" fontId="35" fillId="0" borderId="1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174" fillId="0" borderId="0"/>
    <xf numFmtId="166" fontId="174" fillId="0" borderId="0" applyFont="0" applyFill="0" applyBorder="0" applyAlignment="0" applyProtection="0"/>
    <xf numFmtId="0" fontId="196" fillId="0" borderId="0" applyNumberFormat="0" applyFill="0" applyBorder="0" applyAlignment="0" applyProtection="0">
      <alignment vertical="top"/>
      <protection locked="0"/>
    </xf>
    <xf numFmtId="0" fontId="174" fillId="0" borderId="0"/>
    <xf numFmtId="166" fontId="174" fillId="0" borderId="0" applyFont="0" applyFill="0" applyBorder="0" applyAlignment="0" applyProtection="0"/>
    <xf numFmtId="0" fontId="1" fillId="0" borderId="0"/>
    <xf numFmtId="0" fontId="53" fillId="0" borderId="0" applyNumberFormat="0" applyFill="0" applyBorder="0" applyAlignment="0" applyProtection="0"/>
    <xf numFmtId="0" fontId="1" fillId="0" borderId="0"/>
    <xf numFmtId="49" fontId="88" fillId="64" borderId="6">
      <alignment horizontal="right" indent="2"/>
    </xf>
    <xf numFmtId="0" fontId="41" fillId="0" borderId="5">
      <alignment horizontal="center" vertical="center"/>
    </xf>
    <xf numFmtId="0" fontId="41" fillId="0" borderId="5">
      <alignment horizontal="center" vertical="center"/>
    </xf>
    <xf numFmtId="49" fontId="88" fillId="64" borderId="6">
      <alignment horizontal="right" indent="2"/>
    </xf>
    <xf numFmtId="223" fontId="41" fillId="0" borderId="4">
      <alignment horizontal="center" vertical="center"/>
    </xf>
    <xf numFmtId="223" fontId="41" fillId="0" borderId="4">
      <alignment horizontal="center" vertical="center"/>
    </xf>
    <xf numFmtId="49" fontId="88" fillId="64" borderId="6">
      <alignment horizontal="right" indent="2"/>
    </xf>
    <xf numFmtId="49" fontId="88" fillId="64" borderId="6">
      <alignment horizontal="right" indent="2"/>
    </xf>
    <xf numFmtId="0" fontId="41" fillId="0" borderId="5">
      <alignment horizontal="center" vertical="center"/>
    </xf>
    <xf numFmtId="49" fontId="88" fillId="64" borderId="6">
      <alignment horizontal="right" indent="2"/>
    </xf>
    <xf numFmtId="223" fontId="41" fillId="0" borderId="5">
      <alignment horizontal="center" vertical="center"/>
    </xf>
    <xf numFmtId="49" fontId="88" fillId="64" borderId="6">
      <alignment horizontal="right" indent="2"/>
    </xf>
    <xf numFmtId="223" fontId="41" fillId="0" borderId="5">
      <alignment horizontal="center" vertical="center"/>
    </xf>
    <xf numFmtId="0" fontId="41" fillId="0" borderId="4">
      <alignment horizontal="center" vertical="center"/>
    </xf>
    <xf numFmtId="0" fontId="41" fillId="0" borderId="4">
      <alignment horizontal="center" vertical="center"/>
    </xf>
    <xf numFmtId="0" fontId="41" fillId="0" borderId="5">
      <alignment horizontal="center" vertical="center"/>
    </xf>
    <xf numFmtId="223" fontId="53" fillId="0" borderId="0" applyNumberFormat="0" applyFill="0" applyBorder="0" applyAlignment="0" applyProtection="0"/>
    <xf numFmtId="0" fontId="1" fillId="0" borderId="0"/>
    <xf numFmtId="0" fontId="128" fillId="0" borderId="0" applyNumberFormat="0" applyFill="0" applyBorder="0" applyAlignment="0" applyProtection="0"/>
    <xf numFmtId="0" fontId="114" fillId="0" borderId="0" applyFont="0" applyFill="0" applyBorder="0" applyAlignment="0" applyProtection="0"/>
    <xf numFmtId="0" fontId="53" fillId="0" borderId="0" applyNumberFormat="0" applyFill="0" applyBorder="0" applyAlignment="0" applyProtection="0"/>
    <xf numFmtId="0" fontId="21" fillId="0" borderId="0" applyBorder="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74" fillId="0" borderId="0"/>
    <xf numFmtId="0" fontId="174" fillId="0" borderId="0"/>
    <xf numFmtId="0" fontId="38" fillId="7" borderId="0" applyNumberFormat="0" applyBorder="0" applyAlignment="0" applyProtection="0"/>
    <xf numFmtId="0" fontId="64" fillId="7"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64" fillId="8"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64" fillId="9"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64"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64" fillId="11"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64" fillId="12"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64" fillId="13"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64" fillId="14"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64" fillId="15"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64"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64" fillId="13" borderId="0" applyNumberFormat="0" applyBorder="0" applyAlignment="0" applyProtection="0"/>
    <xf numFmtId="0" fontId="38" fillId="13" borderId="0" applyNumberFormat="0" applyBorder="0" applyAlignment="0" applyProtection="0"/>
    <xf numFmtId="0" fontId="38" fillId="16" borderId="0" applyNumberFormat="0" applyBorder="0" applyAlignment="0" applyProtection="0"/>
    <xf numFmtId="0" fontId="64" fillId="16" borderId="0" applyNumberFormat="0" applyBorder="0" applyAlignment="0" applyProtection="0"/>
    <xf numFmtId="0" fontId="38" fillId="16" borderId="0" applyNumberFormat="0" applyBorder="0" applyAlignment="0" applyProtection="0"/>
    <xf numFmtId="0" fontId="65" fillId="17"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4" borderId="0" applyNumberFormat="0" applyBorder="0" applyAlignment="0" applyProtection="0"/>
    <xf numFmtId="0" fontId="66" fillId="8" borderId="0" applyNumberFormat="0" applyBorder="0" applyAlignment="0" applyProtection="0"/>
    <xf numFmtId="0" fontId="67" fillId="25" borderId="7" applyNumberFormat="0" applyAlignment="0" applyProtection="0"/>
    <xf numFmtId="0" fontId="68" fillId="26" borderId="8" applyNumberFormat="0" applyAlignment="0" applyProtection="0"/>
    <xf numFmtId="166" fontId="21" fillId="0" borderId="0" applyFont="0" applyFill="0" applyBorder="0" applyAlignment="0" applyProtection="0"/>
    <xf numFmtId="166" fontId="38" fillId="0" borderId="0" applyFont="0" applyFill="0" applyBorder="0" applyAlignment="0" applyProtection="0"/>
    <xf numFmtId="0" fontId="53" fillId="0" borderId="0" applyNumberFormat="0" applyFill="0" applyBorder="0" applyAlignment="0" applyProtection="0"/>
    <xf numFmtId="0" fontId="69" fillId="0" borderId="0" applyNumberFormat="0" applyFill="0" applyBorder="0" applyAlignment="0" applyProtection="0"/>
    <xf numFmtId="0" fontId="70" fillId="9" borderId="0" applyNumberFormat="0" applyBorder="0" applyAlignment="0" applyProtection="0"/>
    <xf numFmtId="0" fontId="71" fillId="0" borderId="23" applyNumberFormat="0" applyFill="0" applyAlignment="0" applyProtection="0"/>
    <xf numFmtId="0" fontId="72" fillId="0" borderId="24" applyNumberFormat="0" applyFill="0" applyAlignment="0" applyProtection="0"/>
    <xf numFmtId="0" fontId="73" fillId="0" borderId="9" applyNumberFormat="0" applyFill="0" applyAlignment="0" applyProtection="0"/>
    <xf numFmtId="0" fontId="73" fillId="0" borderId="0" applyNumberFormat="0" applyFill="0" applyBorder="0" applyAlignment="0" applyProtection="0"/>
    <xf numFmtId="0" fontId="74" fillId="12" borderId="7" applyNumberFormat="0" applyAlignment="0" applyProtection="0"/>
    <xf numFmtId="0" fontId="75" fillId="0" borderId="10" applyNumberFormat="0" applyFill="0" applyAlignment="0" applyProtection="0"/>
    <xf numFmtId="0" fontId="76" fillId="27" borderId="0" applyNumberFormat="0" applyBorder="0" applyAlignment="0" applyProtection="0"/>
    <xf numFmtId="0" fontId="21" fillId="0" borderId="0"/>
    <xf numFmtId="0" fontId="21" fillId="0" borderId="0"/>
    <xf numFmtId="0" fontId="21" fillId="0" borderId="0"/>
    <xf numFmtId="174" fontId="38" fillId="0" borderId="0"/>
    <xf numFmtId="174" fontId="38" fillId="0" borderId="0"/>
    <xf numFmtId="0" fontId="64" fillId="0" borderId="0"/>
    <xf numFmtId="0" fontId="64" fillId="0" borderId="0"/>
    <xf numFmtId="0" fontId="64" fillId="0" borderId="0"/>
    <xf numFmtId="178" fontId="38" fillId="0" borderId="0"/>
    <xf numFmtId="0" fontId="21" fillId="0" borderId="0"/>
    <xf numFmtId="0" fontId="21" fillId="0" borderId="0"/>
    <xf numFmtId="0" fontId="22" fillId="0" borderId="0"/>
    <xf numFmtId="174" fontId="38" fillId="0" borderId="0"/>
    <xf numFmtId="178" fontId="21" fillId="0" borderId="0" applyBorder="0"/>
    <xf numFmtId="0" fontId="21" fillId="0" borderId="0" applyBorder="0"/>
    <xf numFmtId="178" fontId="21" fillId="0" borderId="0"/>
    <xf numFmtId="0" fontId="40" fillId="0" borderId="0"/>
    <xf numFmtId="0" fontId="21" fillId="0" borderId="0"/>
    <xf numFmtId="0" fontId="22" fillId="0" borderId="0"/>
    <xf numFmtId="0" fontId="21" fillId="28" borderId="11" applyNumberFormat="0" applyFont="0" applyAlignment="0" applyProtection="0"/>
    <xf numFmtId="0" fontId="21" fillId="28" borderId="11" applyNumberFormat="0" applyFont="0" applyAlignment="0" applyProtection="0"/>
    <xf numFmtId="0" fontId="64" fillId="28" borderId="11" applyNumberFormat="0" applyFont="0" applyAlignment="0" applyProtection="0"/>
    <xf numFmtId="0" fontId="21" fillId="28" borderId="11" applyNumberFormat="0" applyFont="0" applyAlignment="0" applyProtection="0"/>
    <xf numFmtId="0" fontId="21" fillId="28" borderId="11" applyNumberFormat="0" applyFont="0" applyAlignment="0" applyProtection="0"/>
    <xf numFmtId="0" fontId="77" fillId="25" borderId="12" applyNumberFormat="0" applyAlignment="0" applyProtection="0"/>
    <xf numFmtId="9" fontId="38"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39" fillId="0" borderId="13" applyNumberFormat="0" applyFill="0" applyAlignment="0" applyProtection="0"/>
    <xf numFmtId="0" fontId="78" fillId="0" borderId="13" applyNumberFormat="0" applyFill="0" applyAlignment="0" applyProtection="0"/>
    <xf numFmtId="0" fontId="79" fillId="0" borderId="0" applyNumberFormat="0" applyFill="0" applyBorder="0" applyAlignment="0" applyProtection="0"/>
    <xf numFmtId="0" fontId="174" fillId="0" borderId="0"/>
    <xf numFmtId="174" fontId="1" fillId="0" borderId="0"/>
    <xf numFmtId="0" fontId="21" fillId="0" borderId="0"/>
    <xf numFmtId="0" fontId="21" fillId="0" borderId="0"/>
    <xf numFmtId="0" fontId="21" fillId="0" borderId="0" applyBorder="0"/>
    <xf numFmtId="49" fontId="88" fillId="64" borderId="6">
      <alignment horizontal="right" indent="2"/>
    </xf>
    <xf numFmtId="0" fontId="38" fillId="13" borderId="0" applyNumberFormat="0" applyBorder="0" applyAlignment="0" applyProtection="0"/>
    <xf numFmtId="0" fontId="175"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14" borderId="0" applyNumberFormat="0" applyBorder="0" applyAlignment="0" applyProtection="0"/>
    <xf numFmtId="0" fontId="175"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8" fillId="28" borderId="0" applyNumberFormat="0" applyBorder="0" applyAlignment="0" applyProtection="0"/>
    <xf numFmtId="0" fontId="175"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38" fillId="12" borderId="0" applyNumberFormat="0" applyBorder="0" applyAlignment="0" applyProtection="0"/>
    <xf numFmtId="0" fontId="175"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75" fillId="55" borderId="0" applyNumberFormat="0" applyBorder="0" applyAlignment="0" applyProtection="0"/>
    <xf numFmtId="0" fontId="1" fillId="55" borderId="0" applyNumberFormat="0" applyBorder="0" applyAlignment="0" applyProtection="0"/>
    <xf numFmtId="0" fontId="38" fillId="28" borderId="0" applyNumberFormat="0" applyBorder="0" applyAlignment="0" applyProtection="0"/>
    <xf numFmtId="0" fontId="175"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38" fillId="11" borderId="0" applyNumberFormat="0" applyBorder="0" applyAlignment="0" applyProtection="0"/>
    <xf numFmtId="0" fontId="175"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75" fillId="44" borderId="0" applyNumberFormat="0" applyBorder="0" applyAlignment="0" applyProtection="0"/>
    <xf numFmtId="0" fontId="1" fillId="44" borderId="0" applyNumberFormat="0" applyBorder="0" applyAlignment="0" applyProtection="0"/>
    <xf numFmtId="0" fontId="38" fillId="27" borderId="0" applyNumberFormat="0" applyBorder="0" applyAlignment="0" applyProtection="0"/>
    <xf numFmtId="0" fontId="175"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38" fillId="8" borderId="0" applyNumberFormat="0" applyBorder="0" applyAlignment="0" applyProtection="0"/>
    <xf numFmtId="0" fontId="175"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8" fillId="11" borderId="0" applyNumberFormat="0" applyBorder="0" applyAlignment="0" applyProtection="0"/>
    <xf numFmtId="0" fontId="175"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38" fillId="28" borderId="0" applyNumberFormat="0" applyBorder="0" applyAlignment="0" applyProtection="0"/>
    <xf numFmtId="0" fontId="175"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49" fillId="11" borderId="0" applyNumberFormat="0" applyBorder="0" applyAlignment="0" applyProtection="0"/>
    <xf numFmtId="0" fontId="176" fillId="41" borderId="0" applyNumberFormat="0" applyBorder="0" applyAlignment="0" applyProtection="0"/>
    <xf numFmtId="0" fontId="109" fillId="41" borderId="0" applyNumberFormat="0" applyBorder="0" applyAlignment="0" applyProtection="0"/>
    <xf numFmtId="0" fontId="49" fillId="24" borderId="0" applyNumberFormat="0" applyBorder="0" applyAlignment="0" applyProtection="0"/>
    <xf numFmtId="0" fontId="176" fillId="45" borderId="0" applyNumberFormat="0" applyBorder="0" applyAlignment="0" applyProtection="0"/>
    <xf numFmtId="0" fontId="109" fillId="45" borderId="0" applyNumberFormat="0" applyBorder="0" applyAlignment="0" applyProtection="0"/>
    <xf numFmtId="0" fontId="49" fillId="16" borderId="0" applyNumberFormat="0" applyBorder="0" applyAlignment="0" applyProtection="0"/>
    <xf numFmtId="0" fontId="176" fillId="49" borderId="0" applyNumberFormat="0" applyBorder="0" applyAlignment="0" applyProtection="0"/>
    <xf numFmtId="0" fontId="109" fillId="49" borderId="0" applyNumberFormat="0" applyBorder="0" applyAlignment="0" applyProtection="0"/>
    <xf numFmtId="0" fontId="49" fillId="8" borderId="0" applyNumberFormat="0" applyBorder="0" applyAlignment="0" applyProtection="0"/>
    <xf numFmtId="0" fontId="176" fillId="53" borderId="0" applyNumberFormat="0" applyBorder="0" applyAlignment="0" applyProtection="0"/>
    <xf numFmtId="0" fontId="109" fillId="53" borderId="0" applyNumberFormat="0" applyBorder="0" applyAlignment="0" applyProtection="0"/>
    <xf numFmtId="0" fontId="49" fillId="11" borderId="0" applyNumberFormat="0" applyBorder="0" applyAlignment="0" applyProtection="0"/>
    <xf numFmtId="0" fontId="176" fillId="57" borderId="0" applyNumberFormat="0" applyBorder="0" applyAlignment="0" applyProtection="0"/>
    <xf numFmtId="0" fontId="109" fillId="57" borderId="0" applyNumberFormat="0" applyBorder="0" applyAlignment="0" applyProtection="0"/>
    <xf numFmtId="0" fontId="49" fillId="14" borderId="0" applyNumberFormat="0" applyBorder="0" applyAlignment="0" applyProtection="0"/>
    <xf numFmtId="0" fontId="176" fillId="61" borderId="0" applyNumberFormat="0" applyBorder="0" applyAlignment="0" applyProtection="0"/>
    <xf numFmtId="0" fontId="109" fillId="61" borderId="0" applyNumberFormat="0" applyBorder="0" applyAlignment="0" applyProtection="0"/>
    <xf numFmtId="0" fontId="49" fillId="67" borderId="0" applyNumberFormat="0" applyBorder="0" applyAlignment="0" applyProtection="0"/>
    <xf numFmtId="0" fontId="176" fillId="38" borderId="0" applyNumberFormat="0" applyBorder="0" applyAlignment="0" applyProtection="0"/>
    <xf numFmtId="0" fontId="109" fillId="38" borderId="0" applyNumberFormat="0" applyBorder="0" applyAlignment="0" applyProtection="0"/>
    <xf numFmtId="0" fontId="49" fillId="24" borderId="0" applyNumberFormat="0" applyBorder="0" applyAlignment="0" applyProtection="0"/>
    <xf numFmtId="0" fontId="176" fillId="42" borderId="0" applyNumberFormat="0" applyBorder="0" applyAlignment="0" applyProtection="0"/>
    <xf numFmtId="0" fontId="109" fillId="42" borderId="0" applyNumberFormat="0" applyBorder="0" applyAlignment="0" applyProtection="0"/>
    <xf numFmtId="0" fontId="49" fillId="16" borderId="0" applyNumberFormat="0" applyBorder="0" applyAlignment="0" applyProtection="0"/>
    <xf numFmtId="0" fontId="176" fillId="46" borderId="0" applyNumberFormat="0" applyBorder="0" applyAlignment="0" applyProtection="0"/>
    <xf numFmtId="0" fontId="109" fillId="46" borderId="0" applyNumberFormat="0" applyBorder="0" applyAlignment="0" applyProtection="0"/>
    <xf numFmtId="0" fontId="49" fillId="68" borderId="0" applyNumberFormat="0" applyBorder="0" applyAlignment="0" applyProtection="0"/>
    <xf numFmtId="0" fontId="176" fillId="50" borderId="0" applyNumberFormat="0" applyBorder="0" applyAlignment="0" applyProtection="0"/>
    <xf numFmtId="0" fontId="109" fillId="50" borderId="0" applyNumberFormat="0" applyBorder="0" applyAlignment="0" applyProtection="0"/>
    <xf numFmtId="0" fontId="176" fillId="54" borderId="0" applyNumberFormat="0" applyBorder="0" applyAlignment="0" applyProtection="0"/>
    <xf numFmtId="0" fontId="109" fillId="54" borderId="0" applyNumberFormat="0" applyBorder="0" applyAlignment="0" applyProtection="0"/>
    <xf numFmtId="0" fontId="49" fillId="22" borderId="0" applyNumberFormat="0" applyBorder="0" applyAlignment="0" applyProtection="0"/>
    <xf numFmtId="0" fontId="176" fillId="58" borderId="0" applyNumberFormat="0" applyBorder="0" applyAlignment="0" applyProtection="0"/>
    <xf numFmtId="0" fontId="109" fillId="58" borderId="0" applyNumberFormat="0" applyBorder="0" applyAlignment="0" applyProtection="0"/>
    <xf numFmtId="0" fontId="50" fillId="10" borderId="0" applyNumberFormat="0" applyBorder="0" applyAlignment="0" applyProtection="0"/>
    <xf numFmtId="0" fontId="177" fillId="33" borderId="0" applyNumberFormat="0" applyBorder="0" applyAlignment="0" applyProtection="0"/>
    <xf numFmtId="0" fontId="101" fillId="33" borderId="0" applyNumberFormat="0" applyBorder="0" applyAlignment="0" applyProtection="0"/>
    <xf numFmtId="0" fontId="178" fillId="70" borderId="7" applyNumberFormat="0" applyAlignment="0" applyProtection="0"/>
    <xf numFmtId="0" fontId="179" fillId="35" borderId="2" applyNumberFormat="0" applyAlignment="0" applyProtection="0"/>
    <xf numFmtId="0" fontId="104" fillId="35" borderId="2" applyNumberFormat="0" applyAlignment="0" applyProtection="0"/>
    <xf numFmtId="0" fontId="180" fillId="36" borderId="27" applyNumberFormat="0" applyAlignment="0" applyProtection="0"/>
    <xf numFmtId="0" fontId="106" fillId="36" borderId="27" applyNumberFormat="0" applyAlignment="0" applyProtection="0"/>
    <xf numFmtId="166" fontId="1" fillId="0" borderId="0" applyFont="0" applyFill="0" applyBorder="0" applyAlignment="0" applyProtection="0"/>
    <xf numFmtId="230" fontId="21" fillId="0" borderId="0" applyFont="0" applyFill="0" applyBorder="0" applyAlignment="0" applyProtection="0"/>
    <xf numFmtId="0" fontId="181" fillId="0" borderId="0" applyNumberFormat="0" applyFill="0" applyBorder="0" applyAlignment="0" applyProtection="0"/>
    <xf numFmtId="0" fontId="108" fillId="0" borderId="0" applyNumberFormat="0" applyFill="0" applyBorder="0" applyAlignment="0" applyProtection="0"/>
    <xf numFmtId="0" fontId="54" fillId="11" borderId="0" applyNumberFormat="0" applyBorder="0" applyAlignment="0" applyProtection="0"/>
    <xf numFmtId="0" fontId="182" fillId="32" borderId="0" applyNumberFormat="0" applyBorder="0" applyAlignment="0" applyProtection="0"/>
    <xf numFmtId="0" fontId="100" fillId="32" borderId="0" applyNumberFormat="0" applyBorder="0" applyAlignment="0" applyProtection="0"/>
    <xf numFmtId="0" fontId="183" fillId="0" borderId="39" applyNumberFormat="0" applyFill="0" applyAlignment="0" applyProtection="0"/>
    <xf numFmtId="0" fontId="130" fillId="0" borderId="30" applyNumberFormat="0" applyFill="0" applyAlignment="0" applyProtection="0"/>
    <xf numFmtId="0" fontId="111" fillId="0" borderId="30" applyNumberFormat="0" applyFill="0" applyAlignment="0" applyProtection="0"/>
    <xf numFmtId="0" fontId="184" fillId="0" borderId="40" applyNumberFormat="0" applyFill="0" applyAlignment="0" applyProtection="0"/>
    <xf numFmtId="0" fontId="131" fillId="0" borderId="31" applyNumberFormat="0" applyFill="0" applyAlignment="0" applyProtection="0"/>
    <xf numFmtId="0" fontId="112" fillId="0" borderId="31" applyNumberFormat="0" applyFill="0" applyAlignment="0" applyProtection="0"/>
    <xf numFmtId="0" fontId="185" fillId="0" borderId="41" applyNumberFormat="0" applyFill="0" applyAlignment="0" applyProtection="0"/>
    <xf numFmtId="0" fontId="132" fillId="0" borderId="32" applyNumberFormat="0" applyFill="0" applyAlignment="0" applyProtection="0"/>
    <xf numFmtId="0" fontId="99" fillId="0" borderId="32" applyNumberFormat="0" applyFill="0" applyAlignment="0" applyProtection="0"/>
    <xf numFmtId="0" fontId="185" fillId="0" borderId="0" applyNumberFormat="0" applyFill="0" applyBorder="0" applyAlignment="0" applyProtection="0"/>
    <xf numFmtId="0" fontId="132" fillId="0" borderId="0" applyNumberFormat="0" applyFill="0" applyBorder="0" applyAlignment="0" applyProtection="0"/>
    <xf numFmtId="0" fontId="99" fillId="0" borderId="0" applyNumberFormat="0" applyFill="0" applyBorder="0" applyAlignment="0" applyProtection="0"/>
    <xf numFmtId="0" fontId="58" fillId="27" borderId="7" applyNumberFormat="0" applyAlignment="0" applyProtection="0"/>
    <xf numFmtId="0" fontId="186" fillId="62" borderId="2" applyNumberFormat="0" applyAlignment="0" applyProtection="0"/>
    <xf numFmtId="0" fontId="2" fillId="62" borderId="2" applyNumberFormat="0" applyAlignment="0" applyProtection="0"/>
    <xf numFmtId="0" fontId="62" fillId="0" borderId="42" applyNumberFormat="0" applyFill="0" applyAlignment="0" applyProtection="0"/>
    <xf numFmtId="0" fontId="187" fillId="0" borderId="26" applyNumberFormat="0" applyFill="0" applyAlignment="0" applyProtection="0"/>
    <xf numFmtId="0" fontId="105" fillId="0" borderId="26" applyNumberFormat="0" applyFill="0" applyAlignment="0" applyProtection="0"/>
    <xf numFmtId="0" fontId="188" fillId="27" borderId="0" applyNumberFormat="0" applyBorder="0" applyAlignment="0" applyProtection="0"/>
    <xf numFmtId="0" fontId="189" fillId="34" borderId="0" applyNumberFormat="0" applyBorder="0" applyAlignment="0" applyProtection="0"/>
    <xf numFmtId="0" fontId="102" fillId="3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75"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40" fillId="0" borderId="0"/>
    <xf numFmtId="0" fontId="190" fillId="0" borderId="0"/>
    <xf numFmtId="0" fontId="1" fillId="0" borderId="0"/>
    <xf numFmtId="0" fontId="1" fillId="0" borderId="0"/>
    <xf numFmtId="0" fontId="175" fillId="37" borderId="28" applyNumberFormat="0" applyFont="0" applyAlignment="0" applyProtection="0"/>
    <xf numFmtId="0" fontId="61" fillId="70" borderId="12" applyNumberFormat="0" applyAlignment="0" applyProtection="0"/>
    <xf numFmtId="0" fontId="191" fillId="35" borderId="25" applyNumberFormat="0" applyAlignment="0" applyProtection="0"/>
    <xf numFmtId="0" fontId="103" fillId="35" borderId="25" applyNumberFormat="0" applyAlignment="0" applyProtection="0"/>
    <xf numFmtId="9" fontId="1" fillId="0" borderId="0" applyFont="0" applyFill="0" applyBorder="0" applyAlignment="0" applyProtection="0"/>
    <xf numFmtId="0" fontId="193" fillId="0" borderId="0" applyNumberFormat="0" applyFill="0" applyBorder="0" applyAlignment="0" applyProtection="0"/>
    <xf numFmtId="0" fontId="39" fillId="0" borderId="43" applyNumberFormat="0" applyFill="0" applyAlignment="0" applyProtection="0"/>
    <xf numFmtId="0" fontId="194" fillId="0" borderId="29" applyNumberFormat="0" applyFill="0" applyAlignment="0" applyProtection="0"/>
    <xf numFmtId="0" fontId="3" fillId="0" borderId="29" applyNumberFormat="0" applyFill="0" applyAlignment="0" applyProtection="0"/>
    <xf numFmtId="0" fontId="195" fillId="0" borderId="0" applyNumberFormat="0" applyFill="0" applyBorder="0" applyAlignment="0" applyProtection="0"/>
    <xf numFmtId="0" fontId="107" fillId="0" borderId="0" applyNumberFormat="0" applyFill="0" applyBorder="0" applyAlignment="0" applyProtection="0"/>
    <xf numFmtId="0" fontId="35" fillId="0" borderId="13" applyNumberFormat="0" applyFill="0" applyAlignment="0" applyProtection="0"/>
    <xf numFmtId="0" fontId="39" fillId="0" borderId="13" applyNumberFormat="0" applyFill="0" applyAlignment="0" applyProtection="0"/>
    <xf numFmtId="0" fontId="3" fillId="0" borderId="13" applyNumberFormat="0" applyFill="0" applyAlignment="0" applyProtection="0"/>
    <xf numFmtId="0" fontId="77" fillId="25" borderId="12" applyNumberFormat="0" applyAlignment="0" applyProtection="0"/>
    <xf numFmtId="0" fontId="39" fillId="0" borderId="13" applyNumberFormat="0" applyFill="0" applyAlignment="0" applyProtection="0"/>
    <xf numFmtId="0" fontId="78" fillId="0" borderId="13" applyNumberFormat="0" applyFill="0" applyAlignment="0" applyProtection="0"/>
    <xf numFmtId="0" fontId="33" fillId="25" borderId="12" applyNumberFormat="0" applyAlignment="0" applyProtection="0"/>
    <xf numFmtId="0" fontId="35" fillId="0" borderId="13" applyNumberFormat="0" applyFill="0" applyAlignment="0" applyProtection="0"/>
    <xf numFmtId="0" fontId="39" fillId="0" borderId="13" applyNumberFormat="0" applyFill="0" applyAlignment="0" applyProtection="0"/>
    <xf numFmtId="0" fontId="128" fillId="0" borderId="0" applyNumberFormat="0" applyFill="0" applyBorder="0" applyAlignment="0" applyProtection="0"/>
    <xf numFmtId="0" fontId="41" fillId="0" borderId="5">
      <alignment horizontal="center" vertical="center"/>
    </xf>
    <xf numFmtId="0" fontId="21" fillId="0" borderId="0"/>
    <xf numFmtId="0" fontId="64" fillId="0" borderId="0"/>
    <xf numFmtId="0" fontId="64" fillId="0" borderId="0"/>
    <xf numFmtId="0" fontId="22" fillId="0" borderId="0"/>
    <xf numFmtId="174" fontId="38" fillId="0" borderId="0"/>
    <xf numFmtId="0" fontId="21" fillId="0" borderId="0" applyBorder="0"/>
    <xf numFmtId="0" fontId="21" fillId="0" borderId="0"/>
    <xf numFmtId="0" fontId="22" fillId="0" borderId="0"/>
    <xf numFmtId="0" fontId="39" fillId="0" borderId="13" applyNumberFormat="0" applyFill="0" applyAlignment="0" applyProtection="0"/>
    <xf numFmtId="0" fontId="78" fillId="0" borderId="13" applyNumberFormat="0" applyFill="0" applyAlignment="0" applyProtection="0"/>
    <xf numFmtId="0" fontId="41" fillId="0" borderId="5">
      <alignment horizontal="center" vertical="center"/>
    </xf>
    <xf numFmtId="0" fontId="21" fillId="28" borderId="11" applyNumberFormat="0" applyFont="0" applyAlignment="0" applyProtection="0"/>
    <xf numFmtId="0" fontId="21" fillId="28" borderId="11" applyNumberFormat="0" applyFont="0" applyAlignment="0" applyProtection="0"/>
    <xf numFmtId="0" fontId="33" fillId="25" borderId="12" applyNumberFormat="0" applyAlignment="0" applyProtection="0"/>
    <xf numFmtId="0" fontId="35" fillId="0" borderId="13" applyNumberFormat="0" applyFill="0" applyAlignment="0" applyProtection="0"/>
    <xf numFmtId="0" fontId="39" fillId="0" borderId="13" applyNumberFormat="0" applyFill="0" applyAlignment="0" applyProtection="0"/>
    <xf numFmtId="0" fontId="61" fillId="70" borderId="12" applyNumberFormat="0" applyAlignment="0" applyProtection="0"/>
    <xf numFmtId="0" fontId="39" fillId="0" borderId="43" applyNumberFormat="0" applyFill="0" applyAlignment="0" applyProtection="0"/>
    <xf numFmtId="49" fontId="88" fillId="64" borderId="6">
      <alignment horizontal="right" indent="2"/>
    </xf>
    <xf numFmtId="223" fontId="41" fillId="0" borderId="4">
      <alignment horizontal="center" vertical="center"/>
    </xf>
    <xf numFmtId="0" fontId="41" fillId="0" borderId="5">
      <alignment horizontal="center" vertical="center"/>
    </xf>
    <xf numFmtId="223" fontId="41" fillId="0" borderId="5">
      <alignment horizontal="center" vertical="center"/>
    </xf>
    <xf numFmtId="49" fontId="88" fillId="64" borderId="6">
      <alignment horizontal="right" indent="2"/>
    </xf>
    <xf numFmtId="49" fontId="88" fillId="64" borderId="6">
      <alignment horizontal="right" indent="2"/>
    </xf>
    <xf numFmtId="223" fontId="41" fillId="0" borderId="5">
      <alignment horizontal="center" vertical="center"/>
    </xf>
    <xf numFmtId="0" fontId="41" fillId="0" borderId="5">
      <alignment horizontal="center" vertical="center"/>
    </xf>
    <xf numFmtId="223" fontId="41" fillId="0" borderId="4">
      <alignment horizontal="center" vertical="center"/>
    </xf>
    <xf numFmtId="0" fontId="41" fillId="0" borderId="5">
      <alignment horizontal="center" vertical="center"/>
    </xf>
    <xf numFmtId="223" fontId="41" fillId="0" borderId="4">
      <alignment horizontal="center" vertical="center"/>
    </xf>
    <xf numFmtId="223" fontId="41" fillId="0" borderId="4">
      <alignment horizontal="center" vertical="center"/>
    </xf>
    <xf numFmtId="0" fontId="41" fillId="0" borderId="5">
      <alignment horizontal="center" vertical="center"/>
    </xf>
    <xf numFmtId="223" fontId="53" fillId="0" borderId="0" applyNumberFormat="0" applyFill="0" applyBorder="0" applyAlignment="0" applyProtection="0"/>
    <xf numFmtId="0" fontId="41" fillId="0" borderId="5">
      <alignment horizontal="center" vertical="center"/>
    </xf>
    <xf numFmtId="223" fontId="41" fillId="0" borderId="5">
      <alignment horizontal="center" vertical="center"/>
    </xf>
    <xf numFmtId="223" fontId="41" fillId="0" borderId="5">
      <alignment horizontal="center" vertical="center"/>
    </xf>
    <xf numFmtId="0" fontId="53" fillId="0" borderId="0" applyNumberFormat="0" applyFill="0" applyBorder="0" applyAlignment="0" applyProtection="0"/>
    <xf numFmtId="0" fontId="53" fillId="0" borderId="0" applyNumberFormat="0" applyFill="0" applyBorder="0" applyAlignment="0" applyProtection="0"/>
    <xf numFmtId="0" fontId="73" fillId="0" borderId="9" applyNumberFormat="0" applyFill="0" applyAlignment="0" applyProtection="0"/>
    <xf numFmtId="0" fontId="41" fillId="0" borderId="5">
      <alignment horizontal="center" vertical="center"/>
    </xf>
    <xf numFmtId="0" fontId="57" fillId="0" borderId="9" applyNumberFormat="0" applyFill="0" applyAlignment="0" applyProtection="0"/>
    <xf numFmtId="0" fontId="53" fillId="0" borderId="0" applyNumberFormat="0" applyFill="0" applyBorder="0" applyAlignment="0" applyProtection="0"/>
    <xf numFmtId="49" fontId="88" fillId="64" borderId="6">
      <alignment horizontal="right" indent="2"/>
    </xf>
    <xf numFmtId="0" fontId="53" fillId="0" borderId="0" applyNumberFormat="0" applyFill="0" applyBorder="0" applyAlignment="0" applyProtection="0"/>
    <xf numFmtId="0" fontId="41" fillId="0" borderId="5">
      <alignment horizontal="center" vertical="center"/>
    </xf>
    <xf numFmtId="223" fontId="41" fillId="0" borderId="5">
      <alignment horizontal="center" vertical="center"/>
    </xf>
    <xf numFmtId="223" fontId="41" fillId="0" borderId="5">
      <alignment horizontal="center" vertical="center"/>
    </xf>
    <xf numFmtId="0" fontId="29" fillId="0" borderId="9" applyNumberFormat="0" applyFill="0" applyAlignment="0" applyProtection="0"/>
    <xf numFmtId="49" fontId="88" fillId="64" borderId="6">
      <alignment horizontal="right" indent="2"/>
    </xf>
    <xf numFmtId="0" fontId="57" fillId="0" borderId="9" applyNumberFormat="0" applyFill="0" applyAlignment="0" applyProtection="0"/>
    <xf numFmtId="0" fontId="73" fillId="0" borderId="9" applyNumberFormat="0" applyFill="0" applyAlignment="0" applyProtection="0"/>
    <xf numFmtId="0" fontId="57" fillId="0" borderId="9" applyNumberFormat="0" applyFill="0" applyAlignment="0" applyProtection="0"/>
    <xf numFmtId="0" fontId="29" fillId="0" borderId="9" applyNumberFormat="0" applyFill="0" applyAlignment="0" applyProtection="0"/>
    <xf numFmtId="0" fontId="57" fillId="0" borderId="9" applyNumberFormat="0" applyFill="0" applyAlignment="0" applyProtection="0"/>
    <xf numFmtId="0" fontId="73" fillId="0" borderId="9" applyNumberFormat="0" applyFill="0" applyAlignment="0" applyProtection="0"/>
    <xf numFmtId="223" fontId="1" fillId="0" borderId="0"/>
    <xf numFmtId="223" fontId="67" fillId="25" borderId="7" applyNumberFormat="0" applyAlignment="0" applyProtection="0"/>
    <xf numFmtId="223" fontId="21" fillId="0" borderId="0" applyFont="0" applyFill="0" applyBorder="0" applyAlignment="0" applyProtection="0"/>
    <xf numFmtId="223" fontId="53" fillId="0" borderId="0" applyNumberFormat="0" applyFill="0" applyBorder="0" applyAlignment="0" applyProtection="0"/>
    <xf numFmtId="223" fontId="74" fillId="12" borderId="7" applyNumberFormat="0" applyAlignment="0" applyProtection="0"/>
    <xf numFmtId="223" fontId="64" fillId="28" borderId="11" applyNumberFormat="0" applyFont="0" applyAlignment="0" applyProtection="0"/>
    <xf numFmtId="223" fontId="77" fillId="25" borderId="12" applyNumberFormat="0" applyAlignment="0" applyProtection="0"/>
    <xf numFmtId="223" fontId="41" fillId="0" borderId="5">
      <alignment horizontal="center" vertical="center"/>
    </xf>
    <xf numFmtId="223" fontId="39" fillId="0" borderId="13" applyNumberFormat="0" applyFill="0" applyAlignment="0" applyProtection="0"/>
    <xf numFmtId="223" fontId="39" fillId="0" borderId="13" applyNumberFormat="0" applyFill="0" applyAlignment="0" applyProtection="0"/>
    <xf numFmtId="223" fontId="78" fillId="0" borderId="13" applyNumberFormat="0" applyFill="0" applyAlignment="0" applyProtection="0"/>
    <xf numFmtId="223" fontId="21" fillId="0" borderId="0"/>
    <xf numFmtId="223" fontId="21" fillId="0" borderId="0"/>
    <xf numFmtId="223" fontId="41" fillId="0" borderId="0"/>
    <xf numFmtId="223" fontId="41" fillId="0" borderId="0"/>
    <xf numFmtId="223" fontId="38" fillId="7" borderId="0" applyNumberFormat="0" applyBorder="0" applyAlignment="0" applyProtection="0"/>
    <xf numFmtId="223" fontId="83" fillId="39" borderId="0" applyNumberFormat="0" applyBorder="0" applyAlignment="0" applyProtection="0"/>
    <xf numFmtId="223" fontId="38" fillId="8" borderId="0" applyNumberFormat="0" applyBorder="0" applyAlignment="0" applyProtection="0"/>
    <xf numFmtId="223" fontId="83" fillId="43" borderId="0" applyNumberFormat="0" applyBorder="0" applyAlignment="0" applyProtection="0"/>
    <xf numFmtId="223" fontId="38" fillId="9" borderId="0" applyNumberFormat="0" applyBorder="0" applyAlignment="0" applyProtection="0"/>
    <xf numFmtId="223" fontId="83" fillId="47" borderId="0" applyNumberFormat="0" applyBorder="0" applyAlignment="0" applyProtection="0"/>
    <xf numFmtId="223" fontId="38" fillId="10" borderId="0" applyNumberFormat="0" applyBorder="0" applyAlignment="0" applyProtection="0"/>
    <xf numFmtId="223" fontId="83" fillId="51" borderId="0" applyNumberFormat="0" applyBorder="0" applyAlignment="0" applyProtection="0"/>
    <xf numFmtId="223" fontId="38" fillId="11" borderId="0" applyNumberFormat="0" applyBorder="0" applyAlignment="0" applyProtection="0"/>
    <xf numFmtId="223" fontId="38" fillId="12" borderId="0" applyNumberFormat="0" applyBorder="0" applyAlignment="0" applyProtection="0"/>
    <xf numFmtId="223" fontId="83" fillId="59" borderId="0" applyNumberFormat="0" applyBorder="0" applyAlignment="0" applyProtection="0"/>
    <xf numFmtId="223" fontId="38" fillId="13" borderId="0" applyNumberFormat="0" applyBorder="0" applyAlignment="0" applyProtection="0"/>
    <xf numFmtId="223" fontId="83" fillId="40" borderId="0" applyNumberFormat="0" applyBorder="0" applyAlignment="0" applyProtection="0"/>
    <xf numFmtId="223" fontId="38" fillId="14" borderId="0" applyNumberFormat="0" applyBorder="0" applyAlignment="0" applyProtection="0"/>
    <xf numFmtId="223" fontId="38" fillId="15" borderId="0" applyNumberFormat="0" applyBorder="0" applyAlignment="0" applyProtection="0"/>
    <xf numFmtId="223" fontId="83" fillId="48" borderId="0" applyNumberFormat="0" applyBorder="0" applyAlignment="0" applyProtection="0"/>
    <xf numFmtId="223" fontId="38" fillId="10" borderId="0" applyNumberFormat="0" applyBorder="0" applyAlignment="0" applyProtection="0"/>
    <xf numFmtId="223" fontId="83" fillId="52" borderId="0" applyNumberFormat="0" applyBorder="0" applyAlignment="0" applyProtection="0"/>
    <xf numFmtId="223" fontId="38" fillId="13" borderId="0" applyNumberFormat="0" applyBorder="0" applyAlignment="0" applyProtection="0"/>
    <xf numFmtId="223" fontId="83" fillId="56" borderId="0" applyNumberFormat="0" applyBorder="0" applyAlignment="0" applyProtection="0"/>
    <xf numFmtId="223" fontId="38" fillId="16" borderId="0" applyNumberFormat="0" applyBorder="0" applyAlignment="0" applyProtection="0"/>
    <xf numFmtId="223" fontId="83" fillId="60" borderId="0" applyNumberFormat="0" applyBorder="0" applyAlignment="0" applyProtection="0"/>
    <xf numFmtId="0" fontId="41" fillId="0" borderId="5">
      <alignment horizontal="center" vertical="center"/>
    </xf>
    <xf numFmtId="223" fontId="128" fillId="0" borderId="0" applyNumberFormat="0" applyFill="0" applyBorder="0" applyAlignment="0" applyProtection="0"/>
    <xf numFmtId="223" fontId="21" fillId="0" borderId="0" applyBorder="0"/>
    <xf numFmtId="223" fontId="21" fillId="0" borderId="0"/>
    <xf numFmtId="223" fontId="1" fillId="0" borderId="0"/>
    <xf numFmtId="223" fontId="1" fillId="0" borderId="0"/>
    <xf numFmtId="223" fontId="21" fillId="0" borderId="0"/>
    <xf numFmtId="223" fontId="120" fillId="37" borderId="28" applyNumberFormat="0" applyFont="0" applyAlignment="0" applyProtection="0"/>
    <xf numFmtId="223" fontId="21" fillId="0" borderId="0"/>
    <xf numFmtId="223" fontId="21" fillId="28" borderId="11" applyNumberFormat="0" applyFont="0" applyAlignment="0" applyProtection="0"/>
    <xf numFmtId="223" fontId="22" fillId="7" borderId="0" applyNumberFormat="0" applyBorder="0" applyAlignment="0" applyProtection="0"/>
    <xf numFmtId="223" fontId="22" fillId="8" borderId="0" applyNumberFormat="0" applyBorder="0" applyAlignment="0" applyProtection="0"/>
    <xf numFmtId="223" fontId="22" fillId="9" borderId="0" applyNumberFormat="0" applyBorder="0" applyAlignment="0" applyProtection="0"/>
    <xf numFmtId="223" fontId="22" fillId="10" borderId="0" applyNumberFormat="0" applyBorder="0" applyAlignment="0" applyProtection="0"/>
    <xf numFmtId="223" fontId="22" fillId="11" borderId="0" applyNumberFormat="0" applyBorder="0" applyAlignment="0" applyProtection="0"/>
    <xf numFmtId="223" fontId="22" fillId="12" borderId="0" applyNumberFormat="0" applyBorder="0" applyAlignment="0" applyProtection="0"/>
    <xf numFmtId="223" fontId="22" fillId="13" borderId="0" applyNumberFormat="0" applyBorder="0" applyAlignment="0" applyProtection="0"/>
    <xf numFmtId="223" fontId="22" fillId="14" borderId="0" applyNumberFormat="0" applyBorder="0" applyAlignment="0" applyProtection="0"/>
    <xf numFmtId="223" fontId="22" fillId="15" borderId="0" applyNumberFormat="0" applyBorder="0" applyAlignment="0" applyProtection="0"/>
    <xf numFmtId="223" fontId="22" fillId="10" borderId="0" applyNumberFormat="0" applyBorder="0" applyAlignment="0" applyProtection="0"/>
    <xf numFmtId="223" fontId="22" fillId="13" borderId="0" applyNumberFormat="0" applyBorder="0" applyAlignment="0" applyProtection="0"/>
    <xf numFmtId="223" fontId="22" fillId="16" borderId="0" applyNumberFormat="0" applyBorder="0" applyAlignment="0" applyProtection="0"/>
    <xf numFmtId="223" fontId="23" fillId="17" borderId="0" applyNumberFormat="0" applyBorder="0" applyAlignment="0" applyProtection="0"/>
    <xf numFmtId="223" fontId="23" fillId="14" borderId="0" applyNumberFormat="0" applyBorder="0" applyAlignment="0" applyProtection="0"/>
    <xf numFmtId="223" fontId="23" fillId="15" borderId="0" applyNumberFormat="0" applyBorder="0" applyAlignment="0" applyProtection="0"/>
    <xf numFmtId="223" fontId="23" fillId="18" borderId="0" applyNumberFormat="0" applyBorder="0" applyAlignment="0" applyProtection="0"/>
    <xf numFmtId="223" fontId="23" fillId="19" borderId="0" applyNumberFormat="0" applyBorder="0" applyAlignment="0" applyProtection="0"/>
    <xf numFmtId="223" fontId="23" fillId="20" borderId="0" applyNumberFormat="0" applyBorder="0" applyAlignment="0" applyProtection="0"/>
    <xf numFmtId="223" fontId="23" fillId="21" borderId="0" applyNumberFormat="0" applyBorder="0" applyAlignment="0" applyProtection="0"/>
    <xf numFmtId="223" fontId="23" fillId="22" borderId="0" applyNumberFormat="0" applyBorder="0" applyAlignment="0" applyProtection="0"/>
    <xf numFmtId="223" fontId="23" fillId="23" borderId="0" applyNumberFormat="0" applyBorder="0" applyAlignment="0" applyProtection="0"/>
    <xf numFmtId="223" fontId="23" fillId="18" borderId="0" applyNumberFormat="0" applyBorder="0" applyAlignment="0" applyProtection="0"/>
    <xf numFmtId="223" fontId="23" fillId="19" borderId="0" applyNumberFormat="0" applyBorder="0" applyAlignment="0" applyProtection="0"/>
    <xf numFmtId="223" fontId="23" fillId="24" borderId="0" applyNumberFormat="0" applyBorder="0" applyAlignment="0" applyProtection="0"/>
    <xf numFmtId="223" fontId="24" fillId="8" borderId="0" applyNumberFormat="0" applyBorder="0" applyAlignment="0" applyProtection="0"/>
    <xf numFmtId="223" fontId="26" fillId="26" borderId="8" applyNumberFormat="0" applyAlignment="0" applyProtection="0"/>
    <xf numFmtId="223" fontId="27" fillId="0" borderId="0" applyNumberFormat="0" applyFill="0" applyBorder="0" applyAlignment="0" applyProtection="0"/>
    <xf numFmtId="223" fontId="28" fillId="9" borderId="0" applyNumberFormat="0" applyBorder="0" applyAlignment="0" applyProtection="0"/>
    <xf numFmtId="223" fontId="84" fillId="0" borderId="23" applyNumberFormat="0" applyFill="0" applyAlignment="0" applyProtection="0"/>
    <xf numFmtId="223" fontId="85" fillId="0" borderId="24" applyNumberFormat="0" applyFill="0" applyAlignment="0" applyProtection="0"/>
    <xf numFmtId="223" fontId="29" fillId="0" borderId="9" applyNumberFormat="0" applyFill="0" applyAlignment="0" applyProtection="0"/>
    <xf numFmtId="223" fontId="29" fillId="0" borderId="0" applyNumberFormat="0" applyFill="0" applyBorder="0" applyAlignment="0" applyProtection="0"/>
    <xf numFmtId="223" fontId="30" fillId="0" borderId="10" applyNumberFormat="0" applyFill="0" applyAlignment="0" applyProtection="0"/>
    <xf numFmtId="223" fontId="31" fillId="27" borderId="0" applyNumberFormat="0" applyBorder="0" applyAlignment="0" applyProtection="0"/>
    <xf numFmtId="223" fontId="20" fillId="0" borderId="0"/>
    <xf numFmtId="223" fontId="20" fillId="0" borderId="0"/>
    <xf numFmtId="223" fontId="36" fillId="0" borderId="0" applyNumberFormat="0" applyFill="0" applyBorder="0" applyAlignment="0" applyProtection="0"/>
    <xf numFmtId="223" fontId="1" fillId="0" borderId="0"/>
    <xf numFmtId="0" fontId="57" fillId="0" borderId="9" applyNumberFormat="0" applyFill="0" applyAlignment="0" applyProtection="0"/>
    <xf numFmtId="223" fontId="41" fillId="0" borderId="0"/>
    <xf numFmtId="223" fontId="38" fillId="7" borderId="0" applyNumberFormat="0" applyBorder="0" applyAlignment="0" applyProtection="0"/>
    <xf numFmtId="223" fontId="38" fillId="8" borderId="0" applyNumberFormat="0" applyBorder="0" applyAlignment="0" applyProtection="0"/>
    <xf numFmtId="223" fontId="38" fillId="9" borderId="0" applyNumberFormat="0" applyBorder="0" applyAlignment="0" applyProtection="0"/>
    <xf numFmtId="223" fontId="38" fillId="10" borderId="0" applyNumberFormat="0" applyBorder="0" applyAlignment="0" applyProtection="0"/>
    <xf numFmtId="223" fontId="38" fillId="11" borderId="0" applyNumberFormat="0" applyBorder="0" applyAlignment="0" applyProtection="0"/>
    <xf numFmtId="223" fontId="38" fillId="12" borderId="0" applyNumberFormat="0" applyBorder="0" applyAlignment="0" applyProtection="0"/>
    <xf numFmtId="223" fontId="38" fillId="13" borderId="0" applyNumberFormat="0" applyBorder="0" applyAlignment="0" applyProtection="0"/>
    <xf numFmtId="223" fontId="38" fillId="14" borderId="0" applyNumberFormat="0" applyBorder="0" applyAlignment="0" applyProtection="0"/>
    <xf numFmtId="223" fontId="38" fillId="15" borderId="0" applyNumberFormat="0" applyBorder="0" applyAlignment="0" applyProtection="0"/>
    <xf numFmtId="223" fontId="38" fillId="10" borderId="0" applyNumberFormat="0" applyBorder="0" applyAlignment="0" applyProtection="0"/>
    <xf numFmtId="223" fontId="38" fillId="13" borderId="0" applyNumberFormat="0" applyBorder="0" applyAlignment="0" applyProtection="0"/>
    <xf numFmtId="223" fontId="38" fillId="16" borderId="0" applyNumberFormat="0" applyBorder="0" applyAlignment="0" applyProtection="0"/>
    <xf numFmtId="223" fontId="21" fillId="0" borderId="0" applyBorder="0"/>
    <xf numFmtId="223" fontId="114" fillId="0" borderId="0" applyFont="0" applyFill="0" applyBorder="0" applyAlignment="0" applyProtection="0"/>
    <xf numFmtId="223" fontId="120" fillId="37" borderId="28" applyNumberFormat="0" applyFont="0" applyAlignment="0" applyProtection="0"/>
    <xf numFmtId="223" fontId="53" fillId="0" borderId="0" applyNumberFormat="0" applyFill="0" applyBorder="0" applyAlignment="0" applyProtection="0"/>
    <xf numFmtId="223" fontId="63" fillId="7" borderId="0" applyNumberFormat="0" applyBorder="0" applyAlignment="0" applyProtection="0"/>
    <xf numFmtId="223" fontId="63" fillId="8" borderId="0" applyNumberFormat="0" applyBorder="0" applyAlignment="0" applyProtection="0"/>
    <xf numFmtId="223" fontId="63" fillId="9" borderId="0" applyNumberFormat="0" applyBorder="0" applyAlignment="0" applyProtection="0"/>
    <xf numFmtId="223" fontId="63" fillId="10" borderId="0" applyNumberFormat="0" applyBorder="0" applyAlignment="0" applyProtection="0"/>
    <xf numFmtId="223" fontId="63" fillId="11" borderId="0" applyNumberFormat="0" applyBorder="0" applyAlignment="0" applyProtection="0"/>
    <xf numFmtId="223" fontId="63" fillId="12" borderId="0" applyNumberFormat="0" applyBorder="0" applyAlignment="0" applyProtection="0"/>
    <xf numFmtId="223" fontId="63" fillId="13" borderId="0" applyNumberFormat="0" applyBorder="0" applyAlignment="0" applyProtection="0"/>
    <xf numFmtId="223" fontId="63" fillId="14" borderId="0" applyNumberFormat="0" applyBorder="0" applyAlignment="0" applyProtection="0"/>
    <xf numFmtId="223" fontId="63" fillId="15" borderId="0" applyNumberFormat="0" applyBorder="0" applyAlignment="0" applyProtection="0"/>
    <xf numFmtId="223" fontId="63" fillId="10" borderId="0" applyNumberFormat="0" applyBorder="0" applyAlignment="0" applyProtection="0"/>
    <xf numFmtId="223" fontId="63" fillId="13" borderId="0" applyNumberFormat="0" applyBorder="0" applyAlignment="0" applyProtection="0"/>
    <xf numFmtId="223" fontId="63" fillId="16" borderId="0" applyNumberFormat="0" applyBorder="0" applyAlignment="0" applyProtection="0"/>
    <xf numFmtId="223" fontId="64" fillId="0" borderId="0"/>
    <xf numFmtId="223" fontId="41" fillId="0" borderId="5">
      <alignment horizontal="center" vertical="center"/>
    </xf>
    <xf numFmtId="223" fontId="21" fillId="28" borderId="11" applyNumberFormat="0" applyFont="0" applyAlignment="0" applyProtection="0"/>
    <xf numFmtId="223" fontId="21" fillId="0" borderId="0"/>
    <xf numFmtId="223" fontId="41" fillId="0" borderId="5">
      <alignment horizontal="center" vertical="center"/>
    </xf>
    <xf numFmtId="223" fontId="41" fillId="0" borderId="5">
      <alignment horizontal="center" vertical="center"/>
    </xf>
    <xf numFmtId="223" fontId="25" fillId="25" borderId="7" applyNumberFormat="0" applyAlignment="0" applyProtection="0"/>
    <xf numFmtId="223" fontId="86" fillId="12" borderId="7" applyNumberFormat="0" applyAlignment="0" applyProtection="0"/>
    <xf numFmtId="223" fontId="22" fillId="28" borderId="11" applyNumberFormat="0" applyFont="0" applyAlignment="0" applyProtection="0"/>
    <xf numFmtId="223" fontId="33" fillId="25" borderId="12" applyNumberFormat="0" applyAlignment="0" applyProtection="0"/>
    <xf numFmtId="223" fontId="35" fillId="0" borderId="13" applyNumberFormat="0" applyFill="0" applyAlignment="0" applyProtection="0"/>
    <xf numFmtId="223" fontId="21" fillId="28" borderId="11" applyNumberFormat="0" applyFont="0" applyAlignment="0" applyProtection="0"/>
    <xf numFmtId="223" fontId="39" fillId="0" borderId="13" applyNumberFormat="0" applyFill="0" applyAlignment="0" applyProtection="0"/>
    <xf numFmtId="223" fontId="22" fillId="28" borderId="11" applyNumberFormat="0" applyFont="0" applyAlignment="0" applyProtection="0"/>
    <xf numFmtId="223" fontId="21" fillId="0" borderId="0"/>
    <xf numFmtId="223" fontId="21" fillId="0" borderId="0" applyBorder="0"/>
    <xf numFmtId="223" fontId="21" fillId="0" borderId="0" applyBorder="0"/>
    <xf numFmtId="223" fontId="21" fillId="0" borderId="0" applyBorder="0"/>
    <xf numFmtId="223" fontId="21" fillId="0" borderId="0" applyBorder="0"/>
    <xf numFmtId="0" fontId="57" fillId="0" borderId="9" applyNumberFormat="0" applyFill="0" applyAlignment="0" applyProtection="0"/>
    <xf numFmtId="0" fontId="41" fillId="0" borderId="5">
      <alignment horizontal="center" vertical="center"/>
    </xf>
    <xf numFmtId="0" fontId="29" fillId="0" borderId="9" applyNumberFormat="0" applyFill="0" applyAlignment="0" applyProtection="0"/>
    <xf numFmtId="0" fontId="73"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3" fillId="0" borderId="0" applyNumberFormat="0" applyFill="0" applyBorder="0" applyAlignment="0" applyProtection="0"/>
    <xf numFmtId="49" fontId="88" fillId="64" borderId="6">
      <alignment horizontal="right" indent="2"/>
    </xf>
    <xf numFmtId="223" fontId="53" fillId="0" borderId="0" applyNumberFormat="0" applyFill="0" applyBorder="0" applyAlignment="0" applyProtection="0"/>
    <xf numFmtId="223" fontId="57" fillId="0" borderId="9" applyNumberFormat="0" applyFill="0" applyAlignment="0" applyProtection="0"/>
    <xf numFmtId="223" fontId="73" fillId="0" borderId="9" applyNumberFormat="0" applyFill="0" applyAlignment="0" applyProtection="0"/>
    <xf numFmtId="223" fontId="57" fillId="0" borderId="9" applyNumberFormat="0" applyFill="0" applyAlignment="0" applyProtection="0"/>
    <xf numFmtId="223" fontId="29" fillId="0" borderId="9" applyNumberFormat="0" applyFill="0" applyAlignment="0" applyProtection="0"/>
    <xf numFmtId="223" fontId="57" fillId="0" borderId="9" applyNumberFormat="0" applyFill="0" applyAlignment="0" applyProtection="0"/>
    <xf numFmtId="223" fontId="73" fillId="0" borderId="9" applyNumberFormat="0" applyFill="0" applyAlignment="0" applyProtection="0"/>
    <xf numFmtId="0" fontId="57" fillId="0" borderId="9" applyNumberFormat="0" applyFill="0" applyAlignment="0" applyProtection="0"/>
    <xf numFmtId="0" fontId="29" fillId="0" borderId="9" applyNumberFormat="0" applyFill="0" applyAlignment="0" applyProtection="0"/>
    <xf numFmtId="0" fontId="57" fillId="0" borderId="9" applyNumberFormat="0" applyFill="0" applyAlignment="0" applyProtection="0"/>
    <xf numFmtId="0" fontId="73" fillId="0" borderId="9" applyNumberFormat="0" applyFill="0" applyAlignment="0" applyProtection="0"/>
    <xf numFmtId="0" fontId="73" fillId="0" borderId="9" applyNumberFormat="0" applyFill="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57" fillId="0" borderId="9" applyNumberFormat="0" applyFill="0" applyAlignment="0" applyProtection="0"/>
    <xf numFmtId="0" fontId="57" fillId="0" borderId="9" applyNumberFormat="0" applyFill="0" applyAlignment="0" applyProtection="0"/>
    <xf numFmtId="0" fontId="29" fillId="0" borderId="9" applyNumberFormat="0" applyFill="0" applyAlignment="0" applyProtection="0"/>
    <xf numFmtId="0" fontId="21" fillId="0" borderId="0" applyBorder="0"/>
    <xf numFmtId="0" fontId="57" fillId="0" borderId="9" applyNumberFormat="0" applyFill="0" applyAlignment="0" applyProtection="0"/>
    <xf numFmtId="166" fontId="1" fillId="0" borderId="0" applyFont="0" applyFill="0" applyBorder="0" applyAlignment="0" applyProtection="0"/>
    <xf numFmtId="166" fontId="1" fillId="0" borderId="0" applyFont="0" applyFill="0" applyBorder="0" applyAlignment="0" applyProtection="0"/>
    <xf numFmtId="0" fontId="41" fillId="0" borderId="5">
      <alignment horizontal="center" vertical="center"/>
    </xf>
    <xf numFmtId="0" fontId="41" fillId="0" borderId="5">
      <alignment horizontal="center" vertical="center"/>
    </xf>
    <xf numFmtId="0" fontId="57" fillId="0" borderId="9" applyNumberFormat="0" applyFill="0" applyAlignment="0" applyProtection="0"/>
    <xf numFmtId="0" fontId="57" fillId="0" borderId="9" applyNumberFormat="0" applyFill="0" applyAlignment="0" applyProtection="0"/>
    <xf numFmtId="0" fontId="73" fillId="0" borderId="9" applyNumberFormat="0" applyFill="0" applyAlignment="0" applyProtection="0"/>
    <xf numFmtId="0" fontId="73" fillId="0" borderId="9" applyNumberFormat="0" applyFill="0" applyAlignment="0" applyProtection="0"/>
    <xf numFmtId="0" fontId="29" fillId="0" borderId="9" applyNumberFormat="0" applyFill="0" applyAlignment="0" applyProtection="0"/>
    <xf numFmtId="223" fontId="29" fillId="0" borderId="9" applyNumberFormat="0" applyFill="0" applyAlignment="0" applyProtection="0"/>
    <xf numFmtId="223" fontId="57" fillId="0" borderId="9" applyNumberFormat="0" applyFill="0" applyAlignment="0" applyProtection="0"/>
    <xf numFmtId="223" fontId="73" fillId="0" borderId="9" applyNumberFormat="0" applyFill="0" applyAlignment="0" applyProtection="0"/>
    <xf numFmtId="223" fontId="57" fillId="0" borderId="9" applyNumberFormat="0" applyFill="0" applyAlignment="0" applyProtection="0"/>
    <xf numFmtId="223" fontId="29" fillId="0" borderId="9" applyNumberFormat="0" applyFill="0" applyAlignment="0" applyProtection="0"/>
    <xf numFmtId="223" fontId="57" fillId="0" borderId="9" applyNumberFormat="0" applyFill="0" applyAlignment="0" applyProtection="0"/>
    <xf numFmtId="223" fontId="73" fillId="0" borderId="9" applyNumberFormat="0" applyFill="0" applyAlignment="0" applyProtection="0"/>
    <xf numFmtId="0" fontId="57" fillId="0" borderId="9" applyNumberFormat="0" applyFill="0" applyAlignment="0" applyProtection="0"/>
    <xf numFmtId="0" fontId="29" fillId="0" borderId="9" applyNumberFormat="0" applyFill="0" applyAlignment="0" applyProtection="0"/>
    <xf numFmtId="0" fontId="57" fillId="0" borderId="9" applyNumberFormat="0" applyFill="0" applyAlignment="0" applyProtection="0"/>
    <xf numFmtId="0" fontId="73" fillId="0" borderId="9" applyNumberFormat="0" applyFill="0" applyAlignment="0" applyProtection="0"/>
    <xf numFmtId="0" fontId="73"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29" fillId="0" borderId="9" applyNumberFormat="0" applyFill="0" applyAlignment="0" applyProtection="0"/>
    <xf numFmtId="0" fontId="57" fillId="0" borderId="9" applyNumberFormat="0" applyFill="0" applyAlignment="0" applyProtection="0"/>
    <xf numFmtId="0" fontId="38" fillId="0" borderId="0"/>
    <xf numFmtId="0" fontId="21" fillId="0" borderId="0"/>
    <xf numFmtId="0" fontId="21" fillId="0" borderId="0"/>
    <xf numFmtId="0" fontId="80" fillId="0" borderId="0"/>
    <xf numFmtId="0" fontId="120" fillId="7" borderId="0" applyNumberFormat="0" applyBorder="0" applyAlignment="0" applyProtection="0"/>
    <xf numFmtId="0" fontId="120" fillId="7" borderId="0" applyNumberFormat="0" applyBorder="0" applyAlignment="0" applyProtection="0"/>
    <xf numFmtId="223" fontId="120" fillId="7" borderId="0" applyNumberFormat="0" applyBorder="0" applyAlignment="0" applyProtection="0"/>
    <xf numFmtId="0" fontId="120" fillId="8" borderId="0" applyNumberFormat="0" applyBorder="0" applyAlignment="0" applyProtection="0"/>
    <xf numFmtId="0" fontId="120" fillId="8" borderId="0" applyNumberFormat="0" applyBorder="0" applyAlignment="0" applyProtection="0"/>
    <xf numFmtId="223" fontId="120" fillId="8" borderId="0" applyNumberFormat="0" applyBorder="0" applyAlignment="0" applyProtection="0"/>
    <xf numFmtId="0" fontId="120" fillId="9" borderId="0" applyNumberFormat="0" applyBorder="0" applyAlignment="0" applyProtection="0"/>
    <xf numFmtId="0" fontId="120" fillId="9" borderId="0" applyNumberFormat="0" applyBorder="0" applyAlignment="0" applyProtection="0"/>
    <xf numFmtId="223" fontId="120" fillId="9"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223" fontId="120" fillId="10" borderId="0" applyNumberFormat="0" applyBorder="0" applyAlignment="0" applyProtection="0"/>
    <xf numFmtId="0" fontId="38" fillId="11" borderId="0" applyNumberFormat="0" applyBorder="0" applyAlignment="0" applyProtection="0"/>
    <xf numFmtId="0" fontId="120" fillId="12" borderId="0" applyNumberFormat="0" applyBorder="0" applyAlignment="0" applyProtection="0"/>
    <xf numFmtId="0" fontId="120" fillId="12" borderId="0" applyNumberFormat="0" applyBorder="0" applyAlignment="0" applyProtection="0"/>
    <xf numFmtId="223" fontId="120" fillId="12" borderId="0" applyNumberFormat="0" applyBorder="0" applyAlignment="0" applyProtection="0"/>
    <xf numFmtId="0" fontId="120" fillId="13" borderId="0" applyNumberFormat="0" applyBorder="0" applyAlignment="0" applyProtection="0"/>
    <xf numFmtId="0" fontId="120" fillId="13" borderId="0" applyNumberFormat="0" applyBorder="0" applyAlignment="0" applyProtection="0"/>
    <xf numFmtId="223" fontId="120" fillId="13" borderId="0" applyNumberFormat="0" applyBorder="0" applyAlignment="0" applyProtection="0"/>
    <xf numFmtId="0" fontId="38" fillId="14"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223" fontId="120" fillId="15"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223" fontId="120" fillId="10" borderId="0" applyNumberFormat="0" applyBorder="0" applyAlignment="0" applyProtection="0"/>
    <xf numFmtId="0" fontId="120" fillId="13" borderId="0" applyNumberFormat="0" applyBorder="0" applyAlignment="0" applyProtection="0"/>
    <xf numFmtId="0" fontId="120" fillId="13" borderId="0" applyNumberFormat="0" applyBorder="0" applyAlignment="0" applyProtection="0"/>
    <xf numFmtId="223" fontId="120" fillId="13" borderId="0" applyNumberFormat="0" applyBorder="0" applyAlignment="0" applyProtection="0"/>
    <xf numFmtId="0" fontId="120" fillId="16" borderId="0" applyNumberFormat="0" applyBorder="0" applyAlignment="0" applyProtection="0"/>
    <xf numFmtId="0" fontId="120" fillId="16" borderId="0" applyNumberFormat="0" applyBorder="0" applyAlignment="0" applyProtection="0"/>
    <xf numFmtId="223" fontId="120" fillId="16" borderId="0" applyNumberFormat="0" applyBorder="0" applyAlignment="0" applyProtection="0"/>
    <xf numFmtId="0" fontId="49" fillId="17" borderId="0" applyNumberFormat="0" applyBorder="0" applyAlignment="0" applyProtection="0"/>
    <xf numFmtId="0" fontId="203" fillId="17" borderId="0" applyNumberFormat="0" applyBorder="0" applyAlignment="0" applyProtection="0"/>
    <xf numFmtId="0" fontId="203" fillId="17" borderId="0" applyNumberFormat="0" applyBorder="0" applyAlignment="0" applyProtection="0"/>
    <xf numFmtId="0" fontId="49" fillId="14" borderId="0" applyNumberFormat="0" applyBorder="0" applyAlignment="0" applyProtection="0"/>
    <xf numFmtId="0" fontId="203" fillId="14" borderId="0" applyNumberFormat="0" applyBorder="0" applyAlignment="0" applyProtection="0"/>
    <xf numFmtId="0" fontId="203" fillId="14" borderId="0" applyNumberFormat="0" applyBorder="0" applyAlignment="0" applyProtection="0"/>
    <xf numFmtId="0" fontId="49" fillId="15" borderId="0" applyNumberFormat="0" applyBorder="0" applyAlignment="0" applyProtection="0"/>
    <xf numFmtId="0" fontId="203" fillId="15" borderId="0" applyNumberFormat="0" applyBorder="0" applyAlignment="0" applyProtection="0"/>
    <xf numFmtId="0" fontId="203" fillId="15" borderId="0" applyNumberFormat="0" applyBorder="0" applyAlignment="0" applyProtection="0"/>
    <xf numFmtId="0" fontId="49" fillId="18" borderId="0" applyNumberFormat="0" applyBorder="0" applyAlignment="0" applyProtection="0"/>
    <xf numFmtId="0" fontId="203" fillId="18" borderId="0" applyNumberFormat="0" applyBorder="0" applyAlignment="0" applyProtection="0"/>
    <xf numFmtId="0" fontId="203" fillId="18" borderId="0" applyNumberFormat="0" applyBorder="0" applyAlignment="0" applyProtection="0"/>
    <xf numFmtId="0" fontId="49" fillId="19" borderId="0" applyNumberFormat="0" applyBorder="0" applyAlignment="0" applyProtection="0"/>
    <xf numFmtId="0" fontId="203" fillId="19" borderId="0" applyNumberFormat="0" applyBorder="0" applyAlignment="0" applyProtection="0"/>
    <xf numFmtId="0" fontId="203" fillId="19" borderId="0" applyNumberFormat="0" applyBorder="0" applyAlignment="0" applyProtection="0"/>
    <xf numFmtId="0" fontId="49" fillId="20" borderId="0" applyNumberFormat="0" applyBorder="0" applyAlignment="0" applyProtection="0"/>
    <xf numFmtId="0" fontId="203" fillId="20" borderId="0" applyNumberFormat="0" applyBorder="0" applyAlignment="0" applyProtection="0"/>
    <xf numFmtId="0" fontId="203" fillId="20" borderId="0" applyNumberFormat="0" applyBorder="0" applyAlignment="0" applyProtection="0"/>
    <xf numFmtId="0" fontId="49" fillId="21" borderId="0" applyNumberFormat="0" applyBorder="0" applyAlignment="0" applyProtection="0"/>
    <xf numFmtId="0" fontId="203" fillId="21" borderId="0" applyNumberFormat="0" applyBorder="0" applyAlignment="0" applyProtection="0"/>
    <xf numFmtId="0" fontId="203" fillId="21" borderId="0" applyNumberFormat="0" applyBorder="0" applyAlignment="0" applyProtection="0"/>
    <xf numFmtId="0" fontId="49" fillId="22" borderId="0" applyNumberFormat="0" applyBorder="0" applyAlignment="0" applyProtection="0"/>
    <xf numFmtId="0" fontId="203" fillId="22" borderId="0" applyNumberFormat="0" applyBorder="0" applyAlignment="0" applyProtection="0"/>
    <xf numFmtId="0" fontId="203" fillId="22" borderId="0" applyNumberFormat="0" applyBorder="0" applyAlignment="0" applyProtection="0"/>
    <xf numFmtId="0" fontId="49" fillId="23" borderId="0" applyNumberFormat="0" applyBorder="0" applyAlignment="0" applyProtection="0"/>
    <xf numFmtId="0" fontId="203" fillId="23" borderId="0" applyNumberFormat="0" applyBorder="0" applyAlignment="0" applyProtection="0"/>
    <xf numFmtId="0" fontId="203" fillId="23" borderId="0" applyNumberFormat="0" applyBorder="0" applyAlignment="0" applyProtection="0"/>
    <xf numFmtId="0" fontId="49" fillId="18" borderId="0" applyNumberFormat="0" applyBorder="0" applyAlignment="0" applyProtection="0"/>
    <xf numFmtId="0" fontId="203" fillId="18" borderId="0" applyNumberFormat="0" applyBorder="0" applyAlignment="0" applyProtection="0"/>
    <xf numFmtId="0" fontId="203" fillId="18" borderId="0" applyNumberFormat="0" applyBorder="0" applyAlignment="0" applyProtection="0"/>
    <xf numFmtId="0" fontId="203" fillId="19" borderId="0" applyNumberFormat="0" applyBorder="0" applyAlignment="0" applyProtection="0"/>
    <xf numFmtId="0" fontId="49" fillId="24" borderId="0" applyNumberFormat="0" applyBorder="0" applyAlignment="0" applyProtection="0"/>
    <xf numFmtId="0" fontId="203" fillId="24" borderId="0" applyNumberFormat="0" applyBorder="0" applyAlignment="0" applyProtection="0"/>
    <xf numFmtId="0" fontId="203" fillId="24" borderId="0" applyNumberFormat="0" applyBorder="0" applyAlignment="0" applyProtection="0"/>
    <xf numFmtId="223" fontId="41" fillId="0" borderId="4">
      <alignment horizontal="center" vertical="center"/>
    </xf>
    <xf numFmtId="223" fontId="41" fillId="0" borderId="4">
      <alignment horizontal="center" vertical="center"/>
    </xf>
    <xf numFmtId="223" fontId="41" fillId="0" borderId="4">
      <alignment horizontal="center" vertical="center"/>
    </xf>
    <xf numFmtId="223" fontId="41" fillId="0" borderId="4">
      <alignment horizontal="center" vertical="center"/>
    </xf>
    <xf numFmtId="0" fontId="50" fillId="8" borderId="0" applyNumberFormat="0" applyBorder="0" applyAlignment="0" applyProtection="0"/>
    <xf numFmtId="0" fontId="204" fillId="8" borderId="0" applyNumberFormat="0" applyBorder="0" applyAlignment="0" applyProtection="0"/>
    <xf numFmtId="0" fontId="204" fillId="8" borderId="0" applyNumberFormat="0" applyBorder="0" applyAlignment="0" applyProtection="0"/>
    <xf numFmtId="0" fontId="51" fillId="25" borderId="7" applyNumberFormat="0" applyAlignment="0" applyProtection="0"/>
    <xf numFmtId="0" fontId="205" fillId="25" borderId="7" applyNumberFormat="0" applyAlignment="0" applyProtection="0"/>
    <xf numFmtId="0" fontId="205" fillId="25" borderId="7" applyNumberFormat="0" applyAlignment="0" applyProtection="0"/>
    <xf numFmtId="0" fontId="206" fillId="26" borderId="8" applyNumberFormat="0" applyAlignment="0" applyProtection="0"/>
    <xf numFmtId="0" fontId="208" fillId="76" borderId="44">
      <alignment vertical="top" wrapText="1"/>
      <protection locked="0"/>
    </xf>
    <xf numFmtId="0" fontId="208" fillId="76" borderId="44">
      <alignment horizontal="left" vertical="top" wrapText="1" indent="1"/>
      <protection locked="0"/>
    </xf>
    <xf numFmtId="0" fontId="209" fillId="76" borderId="44" applyNumberFormat="0">
      <protection locked="0"/>
    </xf>
    <xf numFmtId="0" fontId="208" fillId="71" borderId="0"/>
    <xf numFmtId="0" fontId="208" fillId="71" borderId="0"/>
    <xf numFmtId="223" fontId="114" fillId="0" borderId="0" applyFont="0" applyFill="0" applyBorder="0" applyAlignment="0" applyProtection="0"/>
    <xf numFmtId="223" fontId="207" fillId="0" borderId="0" applyFont="0" applyFill="0" applyBorder="0" applyAlignment="0" applyProtection="0">
      <protection locked="0"/>
    </xf>
    <xf numFmtId="0" fontId="210" fillId="0" borderId="44" applyFill="0">
      <alignment horizontal="center"/>
    </xf>
    <xf numFmtId="0" fontId="210" fillId="0" borderId="44" applyFill="0">
      <alignment horizontal="center"/>
    </xf>
    <xf numFmtId="213" fontId="210" fillId="0" borderId="44" applyFill="0">
      <alignment horizontal="center" vertical="center"/>
    </xf>
    <xf numFmtId="223" fontId="21" fillId="0" borderId="0" applyFont="0" applyFill="0" applyBorder="0" applyAlignment="0" applyProtection="0"/>
    <xf numFmtId="0" fontId="211" fillId="0" borderId="0" applyNumberFormat="0" applyFill="0" applyBorder="0" applyAlignment="0" applyProtection="0"/>
    <xf numFmtId="223"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2"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0" fontId="54" fillId="9" borderId="0" applyNumberFormat="0" applyBorder="0" applyAlignment="0" applyProtection="0"/>
    <xf numFmtId="0" fontId="213" fillId="9" borderId="0" applyNumberFormat="0" applyBorder="0" applyAlignment="0" applyProtection="0"/>
    <xf numFmtId="0" fontId="213" fillId="9" borderId="0" applyNumberFormat="0" applyBorder="0" applyAlignment="0" applyProtection="0"/>
    <xf numFmtId="0" fontId="71" fillId="0" borderId="23" applyNumberFormat="0" applyFill="0" applyAlignment="0" applyProtection="0"/>
    <xf numFmtId="0" fontId="55" fillId="0" borderId="23" applyNumberFormat="0" applyFill="0" applyAlignment="0" applyProtection="0"/>
    <xf numFmtId="0" fontId="214" fillId="0" borderId="0" applyNumberFormat="0" applyFill="0" applyAlignment="0"/>
    <xf numFmtId="0" fontId="84" fillId="0" borderId="23" applyNumberFormat="0" applyFill="0" applyAlignment="0" applyProtection="0"/>
    <xf numFmtId="0" fontId="214" fillId="0" borderId="0" applyNumberFormat="0" applyFill="0" applyAlignment="0" applyProtection="0"/>
    <xf numFmtId="0" fontId="214" fillId="0" borderId="0" applyNumberFormat="0" applyFill="0" applyAlignment="0" applyProtection="0"/>
    <xf numFmtId="0" fontId="72" fillId="0" borderId="24" applyNumberFormat="0" applyFill="0" applyAlignment="0" applyProtection="0"/>
    <xf numFmtId="0" fontId="56" fillId="0" borderId="24" applyNumberFormat="0" applyFill="0" applyAlignment="0" applyProtection="0"/>
    <xf numFmtId="0" fontId="85" fillId="0" borderId="24"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0" applyNumberFormat="0" applyFill="0" applyBorder="0" applyAlignment="0" applyProtection="0"/>
    <xf numFmtId="0" fontId="207" fillId="64" borderId="0" applyFill="0" applyBorder="0">
      <alignment wrapText="1"/>
    </xf>
    <xf numFmtId="0" fontId="29" fillId="0" borderId="0" applyNumberFormat="0" applyFill="0" applyBorder="0" applyAlignment="0" applyProtection="0"/>
    <xf numFmtId="0" fontId="207" fillId="64" borderId="0" applyFill="0" applyBorder="0">
      <alignment wrapText="1"/>
    </xf>
    <xf numFmtId="0" fontId="29" fillId="0" borderId="0" applyNumberFormat="0" applyFill="0" applyBorder="0" applyAlignment="0" applyProtection="0"/>
    <xf numFmtId="0" fontId="208" fillId="71" borderId="45" applyNumberFormat="0">
      <alignment horizontal="left"/>
    </xf>
    <xf numFmtId="0" fontId="208" fillId="71" borderId="45" applyNumberFormat="0" applyFill="0">
      <alignment horizontal="left"/>
    </xf>
    <xf numFmtId="0" fontId="47" fillId="0" borderId="0" applyNumberFormat="0" applyFill="0" applyBorder="0" applyAlignment="0" applyProtection="0">
      <alignment vertical="top"/>
      <protection locked="0"/>
    </xf>
    <xf numFmtId="0" fontId="215" fillId="0" borderId="0" applyNumberFormat="0" applyFill="0" applyBorder="0" applyAlignment="0" applyProtection="0">
      <alignment vertical="top"/>
      <protection locked="0"/>
    </xf>
    <xf numFmtId="0" fontId="215"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216" fillId="0" borderId="0" applyNumberFormat="0" applyFill="0" applyBorder="0" applyAlignment="0" applyProtection="0">
      <alignment vertical="top"/>
      <protection locked="0"/>
    </xf>
    <xf numFmtId="0" fontId="215" fillId="0" borderId="0" applyNumberFormat="0" applyFill="0" applyBorder="0" applyAlignment="0" applyProtection="0">
      <alignment vertical="top"/>
      <protection locked="0"/>
    </xf>
    <xf numFmtId="0" fontId="58" fillId="25" borderId="7" applyNumberFormat="0" applyAlignment="0" applyProtection="0"/>
    <xf numFmtId="0" fontId="217" fillId="12" borderId="7" applyNumberFormat="0" applyAlignment="0" applyProtection="0"/>
    <xf numFmtId="0" fontId="217" fillId="12" borderId="7" applyNumberFormat="0" applyAlignment="0" applyProtection="0"/>
    <xf numFmtId="49" fontId="218" fillId="0" borderId="0" applyFill="0" applyBorder="0">
      <alignment horizontal="right" indent="1"/>
    </xf>
    <xf numFmtId="49" fontId="219" fillId="0" borderId="0" applyFill="0" applyBorder="0">
      <alignment horizontal="center" wrapText="1"/>
    </xf>
    <xf numFmtId="0" fontId="219" fillId="0" borderId="0" applyFill="0" applyBorder="0">
      <alignment horizontal="centerContinuous" wrapText="1"/>
    </xf>
    <xf numFmtId="0" fontId="219" fillId="0" borderId="0" applyFill="0" applyBorder="0">
      <alignment horizontal="center" wrapText="1"/>
    </xf>
    <xf numFmtId="49" fontId="208" fillId="0" borderId="0" applyFill="0" applyBorder="0">
      <alignment horizontal="left" indent="1"/>
    </xf>
    <xf numFmtId="0" fontId="208" fillId="71" borderId="44" applyNumberFormat="0">
      <alignment horizontal="left"/>
    </xf>
    <xf numFmtId="0" fontId="208" fillId="71" borderId="44" applyNumberFormat="0">
      <alignment horizontal="left"/>
    </xf>
    <xf numFmtId="0" fontId="220" fillId="0" borderId="10" applyNumberFormat="0" applyFill="0" applyAlignment="0" applyProtection="0"/>
    <xf numFmtId="0" fontId="220" fillId="0" borderId="10" applyNumberFormat="0" applyFill="0" applyAlignment="0" applyProtection="0"/>
    <xf numFmtId="0" fontId="60" fillId="27" borderId="0" applyNumberFormat="0" applyBorder="0" applyAlignment="0" applyProtection="0"/>
    <xf numFmtId="0" fontId="221" fillId="27" borderId="0" applyNumberFormat="0" applyBorder="0" applyAlignment="0" applyProtection="0"/>
    <xf numFmtId="0" fontId="221" fillId="27" borderId="0" applyNumberFormat="0" applyBorder="0" applyAlignment="0" applyProtection="0"/>
    <xf numFmtId="0" fontId="38" fillId="0" borderId="0"/>
    <xf numFmtId="0" fontId="63" fillId="0" borderId="0"/>
    <xf numFmtId="0" fontId="63" fillId="0" borderId="0"/>
    <xf numFmtId="0" fontId="63" fillId="0" borderId="0"/>
    <xf numFmtId="223" fontId="41" fillId="0" borderId="0"/>
    <xf numFmtId="223" fontId="41" fillId="0" borderId="0"/>
    <xf numFmtId="223" fontId="21" fillId="0" borderId="0" applyBorder="0"/>
    <xf numFmtId="223" fontId="21" fillId="0" borderId="0" applyBorder="0"/>
    <xf numFmtId="223" fontId="21" fillId="0" borderId="0" applyBorder="0"/>
    <xf numFmtId="223" fontId="21" fillId="0" borderId="0" applyBorder="0"/>
    <xf numFmtId="223" fontId="21" fillId="0" borderId="0" applyBorder="0"/>
    <xf numFmtId="0" fontId="38" fillId="0" borderId="0"/>
    <xf numFmtId="0" fontId="38" fillId="0" borderId="0"/>
    <xf numFmtId="0" fontId="38" fillId="0" borderId="0"/>
    <xf numFmtId="223" fontId="21" fillId="0" borderId="0"/>
    <xf numFmtId="223" fontId="21" fillId="0" borderId="0"/>
    <xf numFmtId="0" fontId="208" fillId="0" borderId="0"/>
    <xf numFmtId="0" fontId="64" fillId="0" borderId="0"/>
    <xf numFmtId="0" fontId="208" fillId="0" borderId="0"/>
    <xf numFmtId="0" fontId="120" fillId="0" borderId="0"/>
    <xf numFmtId="223" fontId="21" fillId="0" borderId="0"/>
    <xf numFmtId="223" fontId="64" fillId="0" borderId="0"/>
    <xf numFmtId="223" fontId="21" fillId="0" borderId="0"/>
    <xf numFmtId="223" fontId="21" fillId="0" borderId="0"/>
    <xf numFmtId="0" fontId="38" fillId="0" borderId="0"/>
    <xf numFmtId="223" fontId="38" fillId="0" borderId="0"/>
    <xf numFmtId="0" fontId="63" fillId="0" borderId="0"/>
    <xf numFmtId="0" fontId="63" fillId="0" borderId="0"/>
    <xf numFmtId="0" fontId="63" fillId="0" borderId="0"/>
    <xf numFmtId="223" fontId="41" fillId="0" borderId="0"/>
    <xf numFmtId="0" fontId="38" fillId="0" borderId="0"/>
    <xf numFmtId="223" fontId="38" fillId="0" borderId="0"/>
    <xf numFmtId="0" fontId="63" fillId="0" borderId="0"/>
    <xf numFmtId="0" fontId="63" fillId="0" borderId="0"/>
    <xf numFmtId="223" fontId="2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38" fillId="0" borderId="0"/>
    <xf numFmtId="0" fontId="63" fillId="0" borderId="0"/>
    <xf numFmtId="0" fontId="38" fillId="0" borderId="0"/>
    <xf numFmtId="0" fontId="63" fillId="0" borderId="0"/>
    <xf numFmtId="0" fontId="63" fillId="0" borderId="0"/>
    <xf numFmtId="0" fontId="63" fillId="0" borderId="0"/>
    <xf numFmtId="0" fontId="63" fillId="0" borderId="0"/>
    <xf numFmtId="0" fontId="63" fillId="0" borderId="0"/>
    <xf numFmtId="0" fontId="6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cellStyleXfs>
  <cellXfs count="222">
    <xf numFmtId="0" fontId="0" fillId="0" borderId="0" xfId="0"/>
    <xf numFmtId="0" fontId="6" fillId="2" borderId="0" xfId="2"/>
    <xf numFmtId="0" fontId="5" fillId="5" borderId="0" xfId="3"/>
    <xf numFmtId="0" fontId="7" fillId="3" borderId="0" xfId="1"/>
    <xf numFmtId="0" fontId="3" fillId="2" borderId="0" xfId="2" applyFont="1" applyAlignment="1">
      <alignment horizontal="right"/>
    </xf>
    <xf numFmtId="0" fontId="3" fillId="2" borderId="0" xfId="2" applyFont="1" applyAlignment="1">
      <alignment horizontal="center"/>
    </xf>
    <xf numFmtId="0" fontId="8" fillId="0" borderId="0" xfId="0" applyFont="1" applyAlignment="1">
      <alignment horizontal="center"/>
    </xf>
    <xf numFmtId="0" fontId="3" fillId="0" borderId="0" xfId="5" applyFont="1" applyFill="1" applyAlignment="1">
      <alignment textRotation="90" wrapText="1"/>
    </xf>
    <xf numFmtId="167" fontId="0" fillId="0" borderId="0" xfId="0" applyNumberFormat="1"/>
    <xf numFmtId="0" fontId="0" fillId="0" borderId="0" xfId="0"/>
    <xf numFmtId="10" fontId="0" fillId="0" borderId="0" xfId="5" applyNumberFormat="1" applyFont="1" applyFill="1"/>
    <xf numFmtId="10" fontId="0" fillId="0" borderId="0" xfId="10" applyNumberFormat="1" applyFont="1" applyFill="1"/>
    <xf numFmtId="0" fontId="0" fillId="0" borderId="0" xfId="0" applyFill="1"/>
    <xf numFmtId="0" fontId="0" fillId="0" borderId="0" xfId="0"/>
    <xf numFmtId="0" fontId="3" fillId="0" borderId="0" xfId="0" applyFont="1"/>
    <xf numFmtId="0" fontId="0" fillId="0" borderId="0" xfId="0" applyBorder="1"/>
    <xf numFmtId="0" fontId="15" fillId="0" borderId="0" xfId="0" applyFont="1" applyFill="1"/>
    <xf numFmtId="0" fontId="0" fillId="0" borderId="0" xfId="0" applyNumberFormat="1" applyAlignment="1"/>
    <xf numFmtId="0" fontId="3" fillId="0" borderId="0" xfId="0" applyFont="1" applyAlignment="1"/>
    <xf numFmtId="9" fontId="0" fillId="0" borderId="0" xfId="10" applyFont="1"/>
    <xf numFmtId="171" fontId="0" fillId="0" borderId="0" xfId="0" applyNumberFormat="1" applyFill="1"/>
    <xf numFmtId="0" fontId="91" fillId="0" borderId="0" xfId="0" applyFont="1"/>
    <xf numFmtId="0" fontId="0" fillId="0" borderId="0" xfId="0"/>
    <xf numFmtId="10" fontId="0" fillId="0" borderId="0" xfId="0" applyNumberFormat="1"/>
    <xf numFmtId="0" fontId="15" fillId="0" borderId="0" xfId="0" applyFont="1"/>
    <xf numFmtId="10" fontId="0" fillId="0" borderId="0" xfId="10" applyNumberFormat="1" applyFont="1"/>
    <xf numFmtId="3" fontId="0" fillId="0" borderId="0" xfId="0" applyNumberFormat="1"/>
    <xf numFmtId="0" fontId="0" fillId="0" borderId="0" xfId="0" applyFill="1"/>
    <xf numFmtId="0" fontId="3" fillId="0" borderId="0" xfId="0" applyFont="1"/>
    <xf numFmtId="0" fontId="0" fillId="0" borderId="18" xfId="0" applyBorder="1"/>
    <xf numFmtId="0" fontId="91" fillId="0" borderId="0" xfId="0" applyFont="1" applyFill="1"/>
    <xf numFmtId="170" fontId="0" fillId="0" borderId="0" xfId="0" applyNumberFormat="1" applyFill="1" applyBorder="1"/>
    <xf numFmtId="3" fontId="0" fillId="0" borderId="0" xfId="0" applyNumberFormat="1" applyFill="1" applyBorder="1"/>
    <xf numFmtId="0" fontId="0" fillId="0" borderId="5" xfId="0" applyFill="1" applyBorder="1"/>
    <xf numFmtId="0" fontId="0" fillId="0" borderId="21" xfId="0" applyBorder="1"/>
    <xf numFmtId="0" fontId="0" fillId="0" borderId="22" xfId="0" applyBorder="1"/>
    <xf numFmtId="0" fontId="0" fillId="30" borderId="0" xfId="0" applyFill="1"/>
    <xf numFmtId="0" fontId="0" fillId="30" borderId="0" xfId="0" applyFill="1" applyBorder="1"/>
    <xf numFmtId="0" fontId="10" fillId="30" borderId="0" xfId="0" applyFont="1" applyFill="1" applyAlignment="1">
      <alignment textRotation="90" wrapText="1"/>
    </xf>
    <xf numFmtId="0" fontId="3" fillId="30" borderId="0" xfId="0" applyFont="1" applyFill="1" applyAlignment="1">
      <alignment textRotation="90" wrapText="1"/>
    </xf>
    <xf numFmtId="182" fontId="0" fillId="30" borderId="0" xfId="367" applyNumberFormat="1" applyFont="1" applyFill="1"/>
    <xf numFmtId="174" fontId="0" fillId="30" borderId="0" xfId="10" applyNumberFormat="1" applyFont="1" applyFill="1"/>
    <xf numFmtId="0" fontId="0" fillId="30" borderId="0" xfId="0" applyFill="1" applyAlignment="1">
      <alignment horizontal="right"/>
    </xf>
    <xf numFmtId="10" fontId="0" fillId="30" borderId="0" xfId="10" applyNumberFormat="1" applyFont="1" applyFill="1"/>
    <xf numFmtId="168" fontId="0" fillId="30" borderId="0" xfId="0" applyNumberFormat="1" applyFill="1"/>
    <xf numFmtId="2" fontId="0" fillId="30" borderId="0" xfId="367" applyNumberFormat="1" applyFont="1" applyFill="1"/>
    <xf numFmtId="2" fontId="0" fillId="30" borderId="0" xfId="0" applyNumberFormat="1" applyFill="1"/>
    <xf numFmtId="3" fontId="0" fillId="0" borderId="0" xfId="6" applyFont="1" applyFill="1" applyBorder="1"/>
    <xf numFmtId="0" fontId="3" fillId="0" borderId="0" xfId="0" applyFont="1" applyBorder="1"/>
    <xf numFmtId="10" fontId="0" fillId="0" borderId="0" xfId="10" applyNumberFormat="1" applyFont="1" applyFill="1" applyBorder="1"/>
    <xf numFmtId="0" fontId="0" fillId="0" borderId="0" xfId="0" applyFill="1" applyBorder="1"/>
    <xf numFmtId="169" fontId="0" fillId="0" borderId="0" xfId="10" applyNumberFormat="1" applyFont="1" applyFill="1" applyBorder="1"/>
    <xf numFmtId="0" fontId="5" fillId="5" borderId="0" xfId="3" applyBorder="1"/>
    <xf numFmtId="170" fontId="0" fillId="0" borderId="0" xfId="0" applyNumberFormat="1" applyBorder="1"/>
    <xf numFmtId="170" fontId="0" fillId="0" borderId="0" xfId="0" applyNumberFormat="1" applyFill="1" applyBorder="1" applyAlignment="1">
      <alignment wrapText="1"/>
    </xf>
    <xf numFmtId="0" fontId="9" fillId="0" borderId="0" xfId="0" applyFont="1"/>
    <xf numFmtId="22" fontId="0" fillId="0" borderId="0" xfId="0" applyNumberFormat="1" applyAlignment="1">
      <alignment horizontal="center"/>
    </xf>
    <xf numFmtId="0" fontId="0" fillId="0" borderId="0" xfId="0" applyAlignment="1">
      <alignment horizontal="right"/>
    </xf>
    <xf numFmtId="10" fontId="0" fillId="30" borderId="0" xfId="0" applyNumberFormat="1" applyFill="1"/>
    <xf numFmtId="0" fontId="197" fillId="0" borderId="0" xfId="0" applyFont="1"/>
    <xf numFmtId="0" fontId="19" fillId="0" borderId="0" xfId="0" applyFont="1" applyFill="1"/>
    <xf numFmtId="0" fontId="6" fillId="0" borderId="0" xfId="0" applyFont="1" applyFill="1"/>
    <xf numFmtId="0" fontId="12" fillId="0" borderId="0" xfId="0" applyFont="1" applyFill="1"/>
    <xf numFmtId="0" fontId="18" fillId="0" borderId="0" xfId="0" applyFont="1" applyFill="1"/>
    <xf numFmtId="1" fontId="0" fillId="0" borderId="0" xfId="0" applyNumberFormat="1" applyFill="1"/>
    <xf numFmtId="172" fontId="0" fillId="0" borderId="0" xfId="0" applyNumberFormat="1" applyFill="1"/>
    <xf numFmtId="0" fontId="4" fillId="0" borderId="0" xfId="0" applyFont="1" applyFill="1"/>
    <xf numFmtId="0" fontId="3" fillId="0" borderId="0" xfId="0" applyFont="1" applyFill="1"/>
    <xf numFmtId="15" fontId="0" fillId="0" borderId="0" xfId="0" applyNumberFormat="1" applyFill="1"/>
    <xf numFmtId="0" fontId="81" fillId="0" borderId="0" xfId="351" applyFont="1"/>
    <xf numFmtId="0" fontId="82" fillId="0" borderId="0" xfId="351" applyFont="1"/>
    <xf numFmtId="2" fontId="0" fillId="0" borderId="0" xfId="0" applyNumberFormat="1"/>
    <xf numFmtId="0" fontId="89" fillId="0" borderId="0" xfId="351" applyFont="1" applyAlignment="1">
      <alignment horizontal="right"/>
    </xf>
    <xf numFmtId="0" fontId="0" fillId="0" borderId="33" xfId="0" applyBorder="1" applyAlignment="1">
      <alignment textRotation="90" wrapText="1"/>
    </xf>
    <xf numFmtId="0" fontId="0" fillId="0" borderId="33" xfId="0" applyBorder="1"/>
    <xf numFmtId="17" fontId="0" fillId="0" borderId="0" xfId="0" applyNumberFormat="1" applyFont="1"/>
    <xf numFmtId="0" fontId="0" fillId="0" borderId="0" xfId="0" applyBorder="1" applyAlignment="1">
      <alignment textRotation="90" wrapText="1"/>
    </xf>
    <xf numFmtId="1" fontId="0" fillId="0" borderId="0" xfId="0" applyNumberFormat="1" applyFont="1"/>
    <xf numFmtId="0" fontId="200" fillId="0" borderId="0" xfId="359" quotePrefix="1" applyFont="1"/>
    <xf numFmtId="0" fontId="200" fillId="0" borderId="0" xfId="359" applyFont="1"/>
    <xf numFmtId="1" fontId="0" fillId="0" borderId="0" xfId="0" applyNumberFormat="1"/>
    <xf numFmtId="172" fontId="0" fillId="0" borderId="0" xfId="0" applyNumberFormat="1"/>
    <xf numFmtId="0" fontId="90" fillId="0" borderId="0" xfId="351" applyFont="1" applyAlignment="1">
      <alignment horizontal="right"/>
    </xf>
    <xf numFmtId="0" fontId="0" fillId="0" borderId="0" xfId="0" applyAlignment="1">
      <alignment textRotation="90" wrapText="1"/>
    </xf>
    <xf numFmtId="1" fontId="0" fillId="0" borderId="19" xfId="0" applyNumberFormat="1" applyFont="1" applyBorder="1"/>
    <xf numFmtId="167" fontId="0" fillId="0" borderId="0" xfId="0" applyNumberFormat="1" applyFont="1"/>
    <xf numFmtId="2" fontId="0" fillId="0" borderId="19" xfId="0" applyNumberFormat="1" applyBorder="1"/>
    <xf numFmtId="0" fontId="200" fillId="0" borderId="0" xfId="359" applyFont="1" applyFill="1" applyBorder="1"/>
    <xf numFmtId="167" fontId="0" fillId="73" borderId="0" xfId="0" applyNumberFormat="1" applyFont="1" applyFill="1"/>
    <xf numFmtId="0" fontId="87" fillId="0" borderId="0" xfId="359" quotePrefix="1" applyFont="1"/>
    <xf numFmtId="0" fontId="87" fillId="0" borderId="0" xfId="359" applyFont="1"/>
    <xf numFmtId="167" fontId="0" fillId="74" borderId="0" xfId="0" applyNumberFormat="1" applyFont="1" applyFill="1"/>
    <xf numFmtId="0" fontId="87" fillId="0" borderId="0" xfId="359" applyFont="1" applyFill="1" applyBorder="1"/>
    <xf numFmtId="0" fontId="0" fillId="0" borderId="0" xfId="0" applyFill="1" applyAlignment="1">
      <alignment horizontal="right"/>
    </xf>
    <xf numFmtId="17" fontId="0" fillId="0" borderId="0" xfId="0" applyNumberFormat="1"/>
    <xf numFmtId="0" fontId="3" fillId="0" borderId="0" xfId="4" applyFont="1" applyFill="1" applyBorder="1"/>
    <xf numFmtId="3" fontId="0" fillId="0" borderId="0" xfId="0" applyNumberFormat="1" applyFont="1" applyFill="1" applyBorder="1"/>
    <xf numFmtId="170" fontId="199" fillId="0" borderId="0" xfId="0" applyNumberFormat="1" applyFont="1" applyFill="1" applyBorder="1"/>
    <xf numFmtId="179" fontId="0" fillId="0" borderId="0" xfId="0" applyNumberFormat="1" applyFill="1"/>
    <xf numFmtId="0" fontId="3" fillId="0" borderId="0" xfId="0" applyFont="1" applyFill="1" applyBorder="1"/>
    <xf numFmtId="10" fontId="1" fillId="0" borderId="0" xfId="10" applyNumberFormat="1" applyFont="1" applyFill="1" applyBorder="1" applyAlignment="1">
      <alignment wrapText="1"/>
    </xf>
    <xf numFmtId="10" fontId="199" fillId="0" borderId="0" xfId="10" applyNumberFormat="1" applyFont="1" applyFill="1" applyBorder="1" applyAlignment="1">
      <alignment wrapText="1"/>
    </xf>
    <xf numFmtId="0" fontId="0" fillId="29" borderId="0" xfId="0" applyFill="1"/>
    <xf numFmtId="1" fontId="200" fillId="29" borderId="0" xfId="359" applyNumberFormat="1" applyFont="1" applyFill="1" applyAlignment="1">
      <alignment horizontal="right"/>
    </xf>
    <xf numFmtId="167" fontId="0" fillId="75" borderId="0" xfId="0" applyNumberFormat="1" applyFont="1" applyFill="1"/>
    <xf numFmtId="168" fontId="83" fillId="0" borderId="0" xfId="5545" applyNumberFormat="1" applyFont="1"/>
    <xf numFmtId="2" fontId="38" fillId="29" borderId="0" xfId="5683" applyNumberFormat="1" applyFill="1"/>
    <xf numFmtId="2" fontId="0" fillId="29" borderId="0" xfId="0" applyNumberFormat="1" applyFont="1" applyFill="1"/>
    <xf numFmtId="2" fontId="0" fillId="29" borderId="19" xfId="0" applyNumberFormat="1" applyFont="1" applyFill="1" applyBorder="1"/>
    <xf numFmtId="174" fontId="0" fillId="29" borderId="0" xfId="0" applyNumberFormat="1" applyFill="1"/>
    <xf numFmtId="179" fontId="0" fillId="0" borderId="0" xfId="10" applyNumberFormat="1" applyFont="1" applyFill="1" applyBorder="1"/>
    <xf numFmtId="0" fontId="0" fillId="0" borderId="21" xfId="0" applyFill="1" applyBorder="1"/>
    <xf numFmtId="10" fontId="199" fillId="0" borderId="0" xfId="10" applyNumberFormat="1" applyFont="1" applyFill="1" applyBorder="1"/>
    <xf numFmtId="173" fontId="0" fillId="0" borderId="0" xfId="0" applyNumberFormat="1" applyFill="1" applyBorder="1"/>
    <xf numFmtId="174" fontId="0" fillId="30" borderId="0" xfId="10" applyNumberFormat="1" applyFont="1" applyFill="1" applyAlignment="1">
      <alignment wrapText="1"/>
    </xf>
    <xf numFmtId="0" fontId="0" fillId="30" borderId="14" xfId="0" applyFill="1" applyBorder="1"/>
    <xf numFmtId="0" fontId="0" fillId="30" borderId="5" xfId="0" applyFill="1" applyBorder="1"/>
    <xf numFmtId="0" fontId="0" fillId="30" borderId="0" xfId="0" applyFill="1" applyBorder="1" applyAlignment="1">
      <alignment wrapText="1"/>
    </xf>
    <xf numFmtId="0" fontId="198" fillId="30" borderId="0" xfId="0" applyFont="1" applyFill="1"/>
    <xf numFmtId="0" fontId="91" fillId="0" borderId="0" xfId="0" applyFont="1" applyFill="1" applyBorder="1"/>
    <xf numFmtId="9" fontId="0" fillId="0" borderId="0" xfId="10" applyFont="1" applyBorder="1"/>
    <xf numFmtId="0" fontId="4" fillId="0" borderId="0" xfId="0" applyFont="1" applyFill="1" applyBorder="1"/>
    <xf numFmtId="10" fontId="0" fillId="0" borderId="0" xfId="0" applyNumberFormat="1" applyFill="1" applyBorder="1"/>
    <xf numFmtId="0" fontId="0" fillId="0" borderId="0" xfId="0" applyFill="1" applyBorder="1" applyAlignment="1">
      <alignment wrapText="1"/>
    </xf>
    <xf numFmtId="170" fontId="0" fillId="0" borderId="0" xfId="0" applyNumberFormat="1" applyFont="1" applyFill="1" applyBorder="1"/>
    <xf numFmtId="0" fontId="0" fillId="0" borderId="0" xfId="0" applyFont="1" applyFill="1" applyBorder="1"/>
    <xf numFmtId="174" fontId="0" fillId="0" borderId="0" xfId="10" applyNumberFormat="1" applyFont="1" applyFill="1" applyBorder="1"/>
    <xf numFmtId="181" fontId="0" fillId="0" borderId="0" xfId="0" applyNumberFormat="1" applyFill="1" applyBorder="1"/>
    <xf numFmtId="0" fontId="0" fillId="0" borderId="51" xfId="0" applyFill="1" applyBorder="1"/>
    <xf numFmtId="3" fontId="0" fillId="0" borderId="51" xfId="0" applyNumberFormat="1" applyFill="1" applyBorder="1"/>
    <xf numFmtId="3" fontId="0" fillId="0" borderId="51" xfId="6" applyFont="1" applyFill="1" applyBorder="1"/>
    <xf numFmtId="167" fontId="0" fillId="73" borderId="52" xfId="0" applyNumberFormat="1" applyFont="1" applyFill="1" applyBorder="1"/>
    <xf numFmtId="167" fontId="0" fillId="74" borderId="52" xfId="0" applyNumberFormat="1" applyFont="1" applyFill="1" applyBorder="1"/>
    <xf numFmtId="9" fontId="0" fillId="30" borderId="0" xfId="10" applyFont="1" applyFill="1"/>
    <xf numFmtId="3" fontId="0" fillId="77" borderId="0" xfId="6" applyFont="1" applyFill="1"/>
    <xf numFmtId="231" fontId="0" fillId="0" borderId="0" xfId="0" applyNumberFormat="1"/>
    <xf numFmtId="10" fontId="0" fillId="77" borderId="0" xfId="10" applyNumberFormat="1" applyFont="1" applyFill="1"/>
    <xf numFmtId="0" fontId="0" fillId="77" borderId="0" xfId="10" applyNumberFormat="1" applyFont="1" applyFill="1"/>
    <xf numFmtId="3" fontId="0" fillId="4" borderId="0" xfId="6" applyFont="1" applyFill="1"/>
    <xf numFmtId="179" fontId="0" fillId="4" borderId="0" xfId="0" applyNumberFormat="1" applyFill="1"/>
    <xf numFmtId="0" fontId="0" fillId="30" borderId="14" xfId="0" applyFill="1" applyBorder="1" applyAlignment="1">
      <alignment wrapText="1"/>
    </xf>
    <xf numFmtId="174" fontId="0" fillId="30" borderId="0" xfId="10" applyNumberFormat="1" applyFont="1" applyFill="1" applyBorder="1"/>
    <xf numFmtId="182" fontId="0" fillId="30" borderId="0" xfId="367" applyNumberFormat="1" applyFont="1" applyFill="1" applyBorder="1"/>
    <xf numFmtId="182" fontId="0" fillId="30" borderId="49" xfId="367" applyNumberFormat="1" applyFont="1" applyFill="1" applyBorder="1"/>
    <xf numFmtId="0" fontId="0" fillId="30" borderId="50" xfId="0" applyFill="1" applyBorder="1" applyAlignment="1">
      <alignment wrapText="1"/>
    </xf>
    <xf numFmtId="182" fontId="0" fillId="30" borderId="5" xfId="367" applyNumberFormat="1" applyFont="1" applyFill="1" applyBorder="1"/>
    <xf numFmtId="182" fontId="0" fillId="30" borderId="6" xfId="367" applyNumberFormat="1" applyFont="1" applyFill="1" applyBorder="1"/>
    <xf numFmtId="0" fontId="0" fillId="0" borderId="3" xfId="0" applyFill="1" applyBorder="1"/>
    <xf numFmtId="0" fontId="3" fillId="0" borderId="0" xfId="0" applyFont="1" applyFill="1" applyAlignment="1">
      <alignment horizontal="center"/>
    </xf>
    <xf numFmtId="0" fontId="10" fillId="0" borderId="0" xfId="0" applyFont="1" applyFill="1" applyBorder="1"/>
    <xf numFmtId="0" fontId="0" fillId="0" borderId="0" xfId="0" applyFont="1" applyFill="1"/>
    <xf numFmtId="9" fontId="0" fillId="0" borderId="0" xfId="10" applyFont="1" applyFill="1" applyBorder="1"/>
    <xf numFmtId="0" fontId="6" fillId="0" borderId="0" xfId="2" applyFill="1" applyBorder="1"/>
    <xf numFmtId="0" fontId="3" fillId="0" borderId="0" xfId="2" applyFont="1" applyFill="1" applyBorder="1" applyAlignment="1">
      <alignment horizontal="center"/>
    </xf>
    <xf numFmtId="0" fontId="3" fillId="0" borderId="0" xfId="0" applyFont="1" applyFill="1" applyBorder="1" applyAlignment="1">
      <alignment horizontal="center"/>
    </xf>
    <xf numFmtId="0" fontId="5" fillId="0" borderId="0" xfId="3" applyFill="1" applyBorder="1"/>
    <xf numFmtId="167" fontId="0" fillId="0" borderId="0" xfId="0" applyNumberFormat="1" applyFill="1" applyBorder="1"/>
    <xf numFmtId="0" fontId="5" fillId="0" borderId="0" xfId="3" applyFill="1"/>
    <xf numFmtId="0" fontId="12" fillId="0" borderId="0" xfId="4" applyFont="1" applyFill="1" applyBorder="1"/>
    <xf numFmtId="9" fontId="0" fillId="0" borderId="0" xfId="0" applyNumberFormat="1" applyFill="1" applyBorder="1"/>
    <xf numFmtId="168" fontId="0" fillId="0" borderId="51" xfId="0" applyNumberFormat="1" applyFill="1" applyBorder="1"/>
    <xf numFmtId="168" fontId="0" fillId="0" borderId="0" xfId="0" applyNumberFormat="1" applyFill="1" applyBorder="1"/>
    <xf numFmtId="0" fontId="4" fillId="0" borderId="0" xfId="4" applyFill="1" applyBorder="1"/>
    <xf numFmtId="3" fontId="4" fillId="0" borderId="0" xfId="4" applyNumberFormat="1" applyFill="1" applyBorder="1"/>
    <xf numFmtId="0" fontId="1" fillId="0" borderId="0" xfId="4" applyFont="1" applyFill="1" applyBorder="1"/>
    <xf numFmtId="183" fontId="0" fillId="0" borderId="0" xfId="0" applyNumberFormat="1" applyFill="1" applyBorder="1"/>
    <xf numFmtId="4" fontId="0" fillId="0" borderId="0" xfId="0" applyNumberFormat="1" applyFill="1" applyBorder="1"/>
    <xf numFmtId="3" fontId="3" fillId="0" borderId="0" xfId="0" applyNumberFormat="1" applyFont="1" applyFill="1" applyBorder="1"/>
    <xf numFmtId="0" fontId="4" fillId="0" borderId="0" xfId="4" applyFill="1" applyBorder="1" applyAlignment="1">
      <alignment wrapText="1"/>
    </xf>
    <xf numFmtId="3" fontId="0" fillId="0" borderId="0" xfId="0" applyNumberFormat="1" applyFill="1" applyBorder="1" applyAlignment="1">
      <alignment wrapText="1"/>
    </xf>
    <xf numFmtId="173" fontId="0" fillId="0" borderId="51" xfId="0" applyNumberFormat="1" applyFill="1" applyBorder="1"/>
    <xf numFmtId="173" fontId="0" fillId="0" borderId="0" xfId="0" applyNumberFormat="1" applyFill="1" applyBorder="1" applyAlignment="1">
      <alignment wrapText="1"/>
    </xf>
    <xf numFmtId="172" fontId="0" fillId="0" borderId="0" xfId="0" applyNumberFormat="1" applyFill="1" applyBorder="1" applyAlignment="1">
      <alignment wrapText="1"/>
    </xf>
    <xf numFmtId="0" fontId="0" fillId="0" borderId="0" xfId="0" applyFill="1" applyBorder="1" applyAlignment="1">
      <alignment horizontal="right"/>
    </xf>
    <xf numFmtId="170" fontId="0" fillId="0" borderId="0" xfId="0" applyNumberFormat="1" applyFill="1" applyAlignment="1">
      <alignment wrapText="1"/>
    </xf>
    <xf numFmtId="0" fontId="18" fillId="0" borderId="0" xfId="0" applyFont="1" applyFill="1" applyBorder="1"/>
    <xf numFmtId="173" fontId="91" fillId="0" borderId="0" xfId="0" applyNumberFormat="1" applyFont="1" applyFill="1" applyBorder="1" applyAlignment="1">
      <alignment wrapText="1"/>
    </xf>
    <xf numFmtId="173" fontId="91" fillId="0" borderId="0" xfId="0" applyNumberFormat="1" applyFont="1" applyFill="1" applyBorder="1"/>
    <xf numFmtId="170" fontId="91" fillId="0" borderId="0" xfId="0" applyNumberFormat="1" applyFont="1" applyFill="1" applyBorder="1" applyAlignment="1">
      <alignment wrapText="1"/>
    </xf>
    <xf numFmtId="180" fontId="0" fillId="0" borderId="0" xfId="0" applyNumberFormat="1" applyFill="1" applyBorder="1"/>
    <xf numFmtId="10" fontId="11" fillId="0" borderId="0" xfId="10" applyNumberFormat="1" applyFont="1" applyFill="1" applyBorder="1"/>
    <xf numFmtId="172" fontId="0" fillId="0" borderId="0" xfId="10" applyNumberFormat="1" applyFont="1" applyFill="1" applyBorder="1"/>
    <xf numFmtId="0" fontId="0" fillId="30" borderId="46" xfId="0" applyFill="1" applyBorder="1" applyAlignment="1">
      <alignment wrapText="1"/>
    </xf>
    <xf numFmtId="0" fontId="0" fillId="30" borderId="47" xfId="0" applyFill="1" applyBorder="1" applyAlignment="1">
      <alignment wrapText="1"/>
    </xf>
    <xf numFmtId="167" fontId="0" fillId="30" borderId="0" xfId="0" applyNumberFormat="1" applyFill="1" applyBorder="1" applyAlignment="1">
      <alignment wrapText="1"/>
    </xf>
    <xf numFmtId="167" fontId="0" fillId="30" borderId="0" xfId="10" applyNumberFormat="1" applyFont="1" applyFill="1" applyBorder="1"/>
    <xf numFmtId="167" fontId="0" fillId="30" borderId="5" xfId="0" applyNumberFormat="1" applyFill="1" applyBorder="1"/>
    <xf numFmtId="0" fontId="3" fillId="30" borderId="47" xfId="0" applyFont="1" applyFill="1" applyBorder="1" applyAlignment="1">
      <alignment horizontal="right" wrapText="1"/>
    </xf>
    <xf numFmtId="0" fontId="3" fillId="30" borderId="48" xfId="0" applyFont="1" applyFill="1" applyBorder="1" applyAlignment="1">
      <alignment horizontal="right" wrapText="1"/>
    </xf>
    <xf numFmtId="167" fontId="0" fillId="30" borderId="0" xfId="0" applyNumberFormat="1" applyFill="1" applyBorder="1"/>
    <xf numFmtId="0" fontId="0" fillId="30" borderId="49" xfId="0" applyFill="1" applyBorder="1" applyAlignment="1">
      <alignment wrapText="1"/>
    </xf>
    <xf numFmtId="3" fontId="18" fillId="0" borderId="0" xfId="6" applyFont="1" applyFill="1" applyBorder="1"/>
    <xf numFmtId="0" fontId="1" fillId="0" borderId="51" xfId="4" applyFont="1" applyFill="1" applyBorder="1"/>
    <xf numFmtId="170" fontId="0" fillId="29" borderId="51" xfId="0" applyNumberFormat="1" applyFill="1" applyBorder="1"/>
    <xf numFmtId="0" fontId="6" fillId="0" borderId="0" xfId="2" applyFill="1"/>
    <xf numFmtId="0" fontId="3" fillId="0" borderId="53" xfId="0" applyFont="1" applyFill="1" applyBorder="1"/>
    <xf numFmtId="10" fontId="0" fillId="0" borderId="54" xfId="10" applyNumberFormat="1" applyFont="1" applyFill="1" applyBorder="1"/>
    <xf numFmtId="10" fontId="0" fillId="0" borderId="0" xfId="0" applyNumberFormat="1" applyFill="1"/>
    <xf numFmtId="9" fontId="0" fillId="4" borderId="0" xfId="0" applyNumberFormat="1" applyFill="1" applyAlignment="1"/>
    <xf numFmtId="0" fontId="0" fillId="30" borderId="47" xfId="0" applyFill="1" applyBorder="1"/>
    <xf numFmtId="0" fontId="3" fillId="30" borderId="47" xfId="0" applyFont="1" applyFill="1" applyBorder="1" applyAlignment="1">
      <alignment textRotation="90" wrapText="1"/>
    </xf>
    <xf numFmtId="0" fontId="3" fillId="30" borderId="48" xfId="0" applyFont="1" applyFill="1" applyBorder="1" applyAlignment="1">
      <alignment textRotation="90" wrapText="1"/>
    </xf>
    <xf numFmtId="0" fontId="3" fillId="30" borderId="0" xfId="0" applyFont="1" applyFill="1" applyBorder="1" applyAlignment="1">
      <alignment textRotation="90" wrapText="1"/>
    </xf>
    <xf numFmtId="0" fontId="3" fillId="30" borderId="49" xfId="0" applyFont="1" applyFill="1" applyBorder="1" applyAlignment="1">
      <alignment textRotation="90" wrapText="1"/>
    </xf>
    <xf numFmtId="167" fontId="0" fillId="30" borderId="49" xfId="10" applyNumberFormat="1" applyFont="1" applyFill="1" applyBorder="1"/>
    <xf numFmtId="174" fontId="0" fillId="30" borderId="49" xfId="10" applyNumberFormat="1" applyFont="1" applyFill="1" applyBorder="1"/>
    <xf numFmtId="0" fontId="3" fillId="30" borderId="0" xfId="0" applyFont="1" applyFill="1" applyBorder="1" applyAlignment="1">
      <alignment wrapText="1"/>
    </xf>
    <xf numFmtId="233" fontId="0" fillId="30" borderId="0" xfId="0" applyNumberFormat="1" applyFill="1"/>
    <xf numFmtId="174" fontId="0" fillId="30" borderId="0" xfId="0" applyNumberFormat="1" applyFill="1"/>
    <xf numFmtId="234" fontId="0" fillId="30" borderId="0" xfId="0" applyNumberFormat="1" applyFill="1"/>
    <xf numFmtId="174" fontId="0" fillId="0" borderId="0" xfId="10" applyNumberFormat="1" applyFont="1" applyFill="1"/>
    <xf numFmtId="232" fontId="0" fillId="0" borderId="0" xfId="367" applyNumberFormat="1" applyFont="1" applyFill="1"/>
    <xf numFmtId="182" fontId="15" fillId="30" borderId="0" xfId="367" applyNumberFormat="1" applyFont="1" applyFill="1"/>
    <xf numFmtId="0" fontId="222" fillId="30" borderId="0" xfId="0" applyFont="1" applyFill="1"/>
    <xf numFmtId="0" fontId="0" fillId="30" borderId="0" xfId="0" applyFill="1" applyBorder="1" applyAlignment="1"/>
    <xf numFmtId="167" fontId="0" fillId="30" borderId="0" xfId="10" applyNumberFormat="1" applyFont="1" applyFill="1"/>
    <xf numFmtId="232" fontId="0" fillId="30" borderId="0" xfId="367" applyNumberFormat="1" applyFont="1" applyFill="1"/>
    <xf numFmtId="0" fontId="0" fillId="30" borderId="0" xfId="0" applyFill="1" applyAlignment="1">
      <alignment horizontal="left"/>
    </xf>
    <xf numFmtId="10" fontId="0" fillId="4" borderId="0" xfId="10" applyNumberFormat="1" applyFont="1" applyFill="1"/>
    <xf numFmtId="10" fontId="0" fillId="0" borderId="55" xfId="10" applyNumberFormat="1" applyFont="1" applyFill="1" applyBorder="1"/>
    <xf numFmtId="0" fontId="0" fillId="0" borderId="19" xfId="0" applyFill="1" applyBorder="1"/>
    <xf numFmtId="0" fontId="0" fillId="0" borderId="20" xfId="0" applyFill="1" applyBorder="1"/>
  </cellXfs>
  <cellStyles count="6235">
    <cellStyle name="_x0013_" xfId="72"/>
    <cellStyle name="_x0013_ 2" xfId="2841"/>
    <cellStyle name="_x0013_ 3" xfId="1907"/>
    <cellStyle name="=C:\WINNT\SYSTEM32\COMMAND.COM" xfId="73"/>
    <cellStyle name="=C:\WINNT\SYSTEM32\COMMAND.COM 2" xfId="2842"/>
    <cellStyle name="=C:\WINNT\SYSTEM32\COMMAND.COM 3" xfId="1908"/>
    <cellStyle name="20% - Accent1" xfId="387" builtinId="30" customBuiltin="1"/>
    <cellStyle name="20% - Accent1 2" xfId="17"/>
    <cellStyle name="20% - Accent1 2 2" xfId="75"/>
    <cellStyle name="20% - Accent1 2 2 2" xfId="76"/>
    <cellStyle name="20% - Accent1 2 2 2 2" xfId="2845"/>
    <cellStyle name="20% - Accent1 2 2 2 3" xfId="1911"/>
    <cellStyle name="20% - Accent1 2 2 3" xfId="869"/>
    <cellStyle name="20% - Accent1 2 2 3 2" xfId="3384"/>
    <cellStyle name="20% - Accent1 2 2 3 3" xfId="2439"/>
    <cellStyle name="20% - Accent1 2 2 3 3 2" xfId="5403"/>
    <cellStyle name="20% - Accent1 2 2 3 3 3" xfId="4490"/>
    <cellStyle name="20% - Accent1 2 2 3 4" xfId="4724"/>
    <cellStyle name="20% - Accent1 2 2 3 5" xfId="5045"/>
    <cellStyle name="20% - Accent1 2 2 3 6" xfId="3943"/>
    <cellStyle name="20% - Accent1 2 2 4" xfId="2844"/>
    <cellStyle name="20% - Accent1 2 2 4 2" xfId="4818"/>
    <cellStyle name="20% - Accent1 2 2 4 3" xfId="5148"/>
    <cellStyle name="20% - Accent1 2 2 4 4" xfId="4114"/>
    <cellStyle name="20% - Accent1 2 2 5" xfId="1910"/>
    <cellStyle name="20% - Accent1 2 3" xfId="77"/>
    <cellStyle name="20% - Accent1 2 3 2" xfId="1044"/>
    <cellStyle name="20% - Accent1 2 3 2 2" xfId="3494"/>
    <cellStyle name="20% - Accent1 2 3 2 3" xfId="2541"/>
    <cellStyle name="20% - Accent1 2 3 2 3 2" xfId="5443"/>
    <cellStyle name="20% - Accent1 2 3 2 3 3" xfId="4491"/>
    <cellStyle name="20% - Accent1 2 3 2 4" xfId="4762"/>
    <cellStyle name="20% - Accent1 2 3 2 5" xfId="5046"/>
    <cellStyle name="20% - Accent1 2 3 2 6" xfId="3944"/>
    <cellStyle name="20% - Accent1 2 3 3" xfId="2846"/>
    <cellStyle name="20% - Accent1 2 3 4" xfId="1912"/>
    <cellStyle name="20% - Accent1 2 4" xfId="78"/>
    <cellStyle name="20% - Accent1 2 4 2" xfId="1616"/>
    <cellStyle name="20% - Accent1 2 4 2 2" xfId="3644"/>
    <cellStyle name="20% - Accent1 2 4 2 3" xfId="2646"/>
    <cellStyle name="20% - Accent1 2 4 2 3 2" xfId="5459"/>
    <cellStyle name="20% - Accent1 2 4 2 3 3" xfId="4492"/>
    <cellStyle name="20% - Accent1 2 4 2 4" xfId="4784"/>
    <cellStyle name="20% - Accent1 2 4 2 5" xfId="5047"/>
    <cellStyle name="20% - Accent1 2 4 2 6" xfId="3945"/>
    <cellStyle name="20% - Accent1 2 4 3" xfId="2847"/>
    <cellStyle name="20% - Accent1 2 4 4" xfId="1913"/>
    <cellStyle name="20% - Accent1 2 5" xfId="74"/>
    <cellStyle name="20% - Accent1 2 5 2" xfId="3211"/>
    <cellStyle name="20% - Accent1 2 5 3" xfId="2267"/>
    <cellStyle name="20% - Accent1 2 5 4" xfId="584"/>
    <cellStyle name="20% - Accent1 2 6" xfId="2843"/>
    <cellStyle name="20% - Accent1 2 6 2" xfId="4817"/>
    <cellStyle name="20% - Accent1 2 6 3" xfId="5147"/>
    <cellStyle name="20% - Accent1 2 6 4" xfId="4113"/>
    <cellStyle name="20% - Accent1 2 7" xfId="1909"/>
    <cellStyle name="20% - Accent1 3" xfId="585"/>
    <cellStyle name="20% - Accent1 3 2" xfId="3212"/>
    <cellStyle name="20% - Accent1 3 2 2" xfId="4915"/>
    <cellStyle name="20% - Accent1 3 2 3" xfId="5149"/>
    <cellStyle name="20% - Accent1 3 2 4" xfId="4116"/>
    <cellStyle name="20% - Accent1 3 2_CPI" xfId="5547"/>
    <cellStyle name="20% - Accent1 3 3" xfId="2268"/>
    <cellStyle name="20% - Accent1 3 3 2" xfId="5372"/>
    <cellStyle name="20% - Accent1 3 3 3" xfId="4115"/>
    <cellStyle name="20% - Accent1 3 3_CPI" xfId="5548"/>
    <cellStyle name="20% - Accent1 3 4" xfId="4693"/>
    <cellStyle name="20% - Accent1 3_CPI" xfId="5546"/>
    <cellStyle name="20% - Accent1 4" xfId="583"/>
    <cellStyle name="20% - Accent1 4 2" xfId="3210"/>
    <cellStyle name="20% - Accent1 4 2 2" xfId="4914"/>
    <cellStyle name="20% - Accent1 4 2 3" xfId="5150"/>
    <cellStyle name="20% - Accent1 4 2 4" xfId="4118"/>
    <cellStyle name="20% - Accent1 4 3" xfId="2266"/>
    <cellStyle name="20% - Accent1 4 3 2" xfId="5371"/>
    <cellStyle name="20% - Accent1 4 3 3" xfId="4117"/>
    <cellStyle name="20% - Accent1 4 4" xfId="4692"/>
    <cellStyle name="20% - Accent1 5" xfId="3053"/>
    <cellStyle name="20% - Accent1 6" xfId="2123"/>
    <cellStyle name="20% - Accent2" xfId="391" builtinId="34" customBuiltin="1"/>
    <cellStyle name="20% - Accent2 2" xfId="18"/>
    <cellStyle name="20% - Accent2 2 2" xfId="80"/>
    <cellStyle name="20% - Accent2 2 2 2" xfId="81"/>
    <cellStyle name="20% - Accent2 2 2 2 2" xfId="2850"/>
    <cellStyle name="20% - Accent2 2 2 2 3" xfId="1916"/>
    <cellStyle name="20% - Accent2 2 2 3" xfId="870"/>
    <cellStyle name="20% - Accent2 2 2 3 2" xfId="3385"/>
    <cellStyle name="20% - Accent2 2 2 3 3" xfId="2440"/>
    <cellStyle name="20% - Accent2 2 2 3 3 2" xfId="5404"/>
    <cellStyle name="20% - Accent2 2 2 3 3 3" xfId="4493"/>
    <cellStyle name="20% - Accent2 2 2 3 4" xfId="4725"/>
    <cellStyle name="20% - Accent2 2 2 3 5" xfId="5048"/>
    <cellStyle name="20% - Accent2 2 2 3 6" xfId="3946"/>
    <cellStyle name="20% - Accent2 2 2 4" xfId="2849"/>
    <cellStyle name="20% - Accent2 2 2 4 2" xfId="4820"/>
    <cellStyle name="20% - Accent2 2 2 4 3" xfId="5152"/>
    <cellStyle name="20% - Accent2 2 2 4 4" xfId="4120"/>
    <cellStyle name="20% - Accent2 2 2 5" xfId="1915"/>
    <cellStyle name="20% - Accent2 2 3" xfId="82"/>
    <cellStyle name="20% - Accent2 2 3 2" xfId="1045"/>
    <cellStyle name="20% - Accent2 2 3 2 2" xfId="3495"/>
    <cellStyle name="20% - Accent2 2 3 2 3" xfId="2542"/>
    <cellStyle name="20% - Accent2 2 3 2 3 2" xfId="5444"/>
    <cellStyle name="20% - Accent2 2 3 2 3 3" xfId="4494"/>
    <cellStyle name="20% - Accent2 2 3 2 4" xfId="4763"/>
    <cellStyle name="20% - Accent2 2 3 2 5" xfId="5049"/>
    <cellStyle name="20% - Accent2 2 3 2 6" xfId="3947"/>
    <cellStyle name="20% - Accent2 2 3 3" xfId="2851"/>
    <cellStyle name="20% - Accent2 2 3 4" xfId="1917"/>
    <cellStyle name="20% - Accent2 2 4" xfId="83"/>
    <cellStyle name="20% - Accent2 2 4 2" xfId="1617"/>
    <cellStyle name="20% - Accent2 2 4 2 2" xfId="3645"/>
    <cellStyle name="20% - Accent2 2 4 2 3" xfId="2647"/>
    <cellStyle name="20% - Accent2 2 4 2 3 2" xfId="5460"/>
    <cellStyle name="20% - Accent2 2 4 2 3 3" xfId="4495"/>
    <cellStyle name="20% - Accent2 2 4 2 4" xfId="4785"/>
    <cellStyle name="20% - Accent2 2 4 2 5" xfId="5050"/>
    <cellStyle name="20% - Accent2 2 4 2 6" xfId="3948"/>
    <cellStyle name="20% - Accent2 2 4 3" xfId="2852"/>
    <cellStyle name="20% - Accent2 2 4 4" xfId="1918"/>
    <cellStyle name="20% - Accent2 2 5" xfId="79"/>
    <cellStyle name="20% - Accent2 2 5 2" xfId="3214"/>
    <cellStyle name="20% - Accent2 2 5 3" xfId="2270"/>
    <cellStyle name="20% - Accent2 2 5 4" xfId="587"/>
    <cellStyle name="20% - Accent2 2 6" xfId="2848"/>
    <cellStyle name="20% - Accent2 2 6 2" xfId="4819"/>
    <cellStyle name="20% - Accent2 2 6 3" xfId="5151"/>
    <cellStyle name="20% - Accent2 2 6 4" xfId="4119"/>
    <cellStyle name="20% - Accent2 2 7" xfId="1914"/>
    <cellStyle name="20% - Accent2 3" xfId="588"/>
    <cellStyle name="20% - Accent2 3 2" xfId="3215"/>
    <cellStyle name="20% - Accent2 3 2 2" xfId="4917"/>
    <cellStyle name="20% - Accent2 3 2 3" xfId="5153"/>
    <cellStyle name="20% - Accent2 3 2 4" xfId="4122"/>
    <cellStyle name="20% - Accent2 3 2_CPI" xfId="5550"/>
    <cellStyle name="20% - Accent2 3 3" xfId="2271"/>
    <cellStyle name="20% - Accent2 3 3 2" xfId="5374"/>
    <cellStyle name="20% - Accent2 3 3 3" xfId="4121"/>
    <cellStyle name="20% - Accent2 3 3_CPI" xfId="5551"/>
    <cellStyle name="20% - Accent2 3 4" xfId="4695"/>
    <cellStyle name="20% - Accent2 3_CPI" xfId="5549"/>
    <cellStyle name="20% - Accent2 4" xfId="586"/>
    <cellStyle name="20% - Accent2 4 2" xfId="3213"/>
    <cellStyle name="20% - Accent2 4 2 2" xfId="4916"/>
    <cellStyle name="20% - Accent2 4 2 3" xfId="5154"/>
    <cellStyle name="20% - Accent2 4 2 4" xfId="4124"/>
    <cellStyle name="20% - Accent2 4 3" xfId="2269"/>
    <cellStyle name="20% - Accent2 4 3 2" xfId="5373"/>
    <cellStyle name="20% - Accent2 4 3 3" xfId="4123"/>
    <cellStyle name="20% - Accent2 4 4" xfId="4694"/>
    <cellStyle name="20% - Accent2 5" xfId="3057"/>
    <cellStyle name="20% - Accent2 6" xfId="2127"/>
    <cellStyle name="20% - Accent3" xfId="395" builtinId="38" customBuiltin="1"/>
    <cellStyle name="20% - Accent3 2" xfId="19"/>
    <cellStyle name="20% - Accent3 2 2" xfId="85"/>
    <cellStyle name="20% - Accent3 2 2 2" xfId="86"/>
    <cellStyle name="20% - Accent3 2 2 2 2" xfId="2855"/>
    <cellStyle name="20% - Accent3 2 2 2 3" xfId="1921"/>
    <cellStyle name="20% - Accent3 2 2 3" xfId="871"/>
    <cellStyle name="20% - Accent3 2 2 3 2" xfId="3386"/>
    <cellStyle name="20% - Accent3 2 2 3 3" xfId="2441"/>
    <cellStyle name="20% - Accent3 2 2 3 3 2" xfId="5405"/>
    <cellStyle name="20% - Accent3 2 2 3 3 3" xfId="4496"/>
    <cellStyle name="20% - Accent3 2 2 3 4" xfId="4726"/>
    <cellStyle name="20% - Accent3 2 2 3 5" xfId="5051"/>
    <cellStyle name="20% - Accent3 2 2 3 6" xfId="3949"/>
    <cellStyle name="20% - Accent3 2 2 4" xfId="2854"/>
    <cellStyle name="20% - Accent3 2 2 4 2" xfId="4822"/>
    <cellStyle name="20% - Accent3 2 2 4 3" xfId="5156"/>
    <cellStyle name="20% - Accent3 2 2 4 4" xfId="4126"/>
    <cellStyle name="20% - Accent3 2 2 5" xfId="1920"/>
    <cellStyle name="20% - Accent3 2 3" xfId="87"/>
    <cellStyle name="20% - Accent3 2 3 2" xfId="1046"/>
    <cellStyle name="20% - Accent3 2 3 2 2" xfId="3496"/>
    <cellStyle name="20% - Accent3 2 3 2 3" xfId="2543"/>
    <cellStyle name="20% - Accent3 2 3 2 3 2" xfId="5445"/>
    <cellStyle name="20% - Accent3 2 3 2 3 3" xfId="4497"/>
    <cellStyle name="20% - Accent3 2 3 2 4" xfId="4764"/>
    <cellStyle name="20% - Accent3 2 3 2 5" xfId="5052"/>
    <cellStyle name="20% - Accent3 2 3 2 6" xfId="3950"/>
    <cellStyle name="20% - Accent3 2 3 3" xfId="2856"/>
    <cellStyle name="20% - Accent3 2 3 4" xfId="1922"/>
    <cellStyle name="20% - Accent3 2 4" xfId="88"/>
    <cellStyle name="20% - Accent3 2 4 2" xfId="1618"/>
    <cellStyle name="20% - Accent3 2 4 2 2" xfId="3646"/>
    <cellStyle name="20% - Accent3 2 4 2 3" xfId="2648"/>
    <cellStyle name="20% - Accent3 2 4 2 3 2" xfId="5461"/>
    <cellStyle name="20% - Accent3 2 4 2 3 3" xfId="4498"/>
    <cellStyle name="20% - Accent3 2 4 2 4" xfId="4786"/>
    <cellStyle name="20% - Accent3 2 4 2 5" xfId="5053"/>
    <cellStyle name="20% - Accent3 2 4 2 6" xfId="3951"/>
    <cellStyle name="20% - Accent3 2 4 3" xfId="2857"/>
    <cellStyle name="20% - Accent3 2 4 4" xfId="1923"/>
    <cellStyle name="20% - Accent3 2 5" xfId="84"/>
    <cellStyle name="20% - Accent3 2 5 2" xfId="3217"/>
    <cellStyle name="20% - Accent3 2 5 3" xfId="2273"/>
    <cellStyle name="20% - Accent3 2 5 4" xfId="590"/>
    <cellStyle name="20% - Accent3 2 6" xfId="2853"/>
    <cellStyle name="20% - Accent3 2 6 2" xfId="4821"/>
    <cellStyle name="20% - Accent3 2 6 3" xfId="5155"/>
    <cellStyle name="20% - Accent3 2 6 4" xfId="4125"/>
    <cellStyle name="20% - Accent3 2 7" xfId="1919"/>
    <cellStyle name="20% - Accent3 3" xfId="591"/>
    <cellStyle name="20% - Accent3 3 2" xfId="3218"/>
    <cellStyle name="20% - Accent3 3 2 2" xfId="4919"/>
    <cellStyle name="20% - Accent3 3 2 3" xfId="5157"/>
    <cellStyle name="20% - Accent3 3 2 4" xfId="4128"/>
    <cellStyle name="20% - Accent3 3 2_CPI" xfId="5553"/>
    <cellStyle name="20% - Accent3 3 3" xfId="2274"/>
    <cellStyle name="20% - Accent3 3 3 2" xfId="5376"/>
    <cellStyle name="20% - Accent3 3 3 3" xfId="4127"/>
    <cellStyle name="20% - Accent3 3 3_CPI" xfId="5554"/>
    <cellStyle name="20% - Accent3 3 4" xfId="4697"/>
    <cellStyle name="20% - Accent3 3_CPI" xfId="5552"/>
    <cellStyle name="20% - Accent3 4" xfId="589"/>
    <cellStyle name="20% - Accent3 4 2" xfId="3216"/>
    <cellStyle name="20% - Accent3 4 2 2" xfId="4918"/>
    <cellStyle name="20% - Accent3 4 2 3" xfId="5158"/>
    <cellStyle name="20% - Accent3 4 2 4" xfId="4130"/>
    <cellStyle name="20% - Accent3 4 3" xfId="2272"/>
    <cellStyle name="20% - Accent3 4 3 2" xfId="5375"/>
    <cellStyle name="20% - Accent3 4 3 3" xfId="4129"/>
    <cellStyle name="20% - Accent3 4 4" xfId="4696"/>
    <cellStyle name="20% - Accent3 5" xfId="3061"/>
    <cellStyle name="20% - Accent3 6" xfId="2131"/>
    <cellStyle name="20% - Accent4" xfId="399" builtinId="42" customBuiltin="1"/>
    <cellStyle name="20% - Accent4 2" xfId="20"/>
    <cellStyle name="20% - Accent4 2 2" xfId="90"/>
    <cellStyle name="20% - Accent4 2 2 2" xfId="91"/>
    <cellStyle name="20% - Accent4 2 2 2 2" xfId="2860"/>
    <cellStyle name="20% - Accent4 2 2 2 3" xfId="1926"/>
    <cellStyle name="20% - Accent4 2 2 3" xfId="872"/>
    <cellStyle name="20% - Accent4 2 2 3 2" xfId="3387"/>
    <cellStyle name="20% - Accent4 2 2 3 3" xfId="2442"/>
    <cellStyle name="20% - Accent4 2 2 3 3 2" xfId="5406"/>
    <cellStyle name="20% - Accent4 2 2 3 3 3" xfId="4499"/>
    <cellStyle name="20% - Accent4 2 2 3 4" xfId="4727"/>
    <cellStyle name="20% - Accent4 2 2 3 5" xfId="5054"/>
    <cellStyle name="20% - Accent4 2 2 3 6" xfId="3952"/>
    <cellStyle name="20% - Accent4 2 2 4" xfId="2859"/>
    <cellStyle name="20% - Accent4 2 2 4 2" xfId="4824"/>
    <cellStyle name="20% - Accent4 2 2 4 3" xfId="5160"/>
    <cellStyle name="20% - Accent4 2 2 4 4" xfId="4132"/>
    <cellStyle name="20% - Accent4 2 2 5" xfId="1925"/>
    <cellStyle name="20% - Accent4 2 3" xfId="92"/>
    <cellStyle name="20% - Accent4 2 3 2" xfId="1047"/>
    <cellStyle name="20% - Accent4 2 3 2 2" xfId="3497"/>
    <cellStyle name="20% - Accent4 2 3 2 3" xfId="2544"/>
    <cellStyle name="20% - Accent4 2 3 2 3 2" xfId="5446"/>
    <cellStyle name="20% - Accent4 2 3 2 3 3" xfId="4500"/>
    <cellStyle name="20% - Accent4 2 3 2 4" xfId="4765"/>
    <cellStyle name="20% - Accent4 2 3 2 5" xfId="5055"/>
    <cellStyle name="20% - Accent4 2 3 2 6" xfId="3953"/>
    <cellStyle name="20% - Accent4 2 3 3" xfId="2861"/>
    <cellStyle name="20% - Accent4 2 3 4" xfId="1927"/>
    <cellStyle name="20% - Accent4 2 4" xfId="93"/>
    <cellStyle name="20% - Accent4 2 4 2" xfId="1619"/>
    <cellStyle name="20% - Accent4 2 4 2 2" xfId="3647"/>
    <cellStyle name="20% - Accent4 2 4 2 3" xfId="2649"/>
    <cellStyle name="20% - Accent4 2 4 2 3 2" xfId="5462"/>
    <cellStyle name="20% - Accent4 2 4 2 3 3" xfId="4501"/>
    <cellStyle name="20% - Accent4 2 4 2 4" xfId="4787"/>
    <cellStyle name="20% - Accent4 2 4 2 5" xfId="5056"/>
    <cellStyle name="20% - Accent4 2 4 2 6" xfId="3954"/>
    <cellStyle name="20% - Accent4 2 4 3" xfId="2862"/>
    <cellStyle name="20% - Accent4 2 4 4" xfId="1928"/>
    <cellStyle name="20% - Accent4 2 5" xfId="89"/>
    <cellStyle name="20% - Accent4 2 5 2" xfId="3220"/>
    <cellStyle name="20% - Accent4 2 5 3" xfId="2276"/>
    <cellStyle name="20% - Accent4 2 5 4" xfId="593"/>
    <cellStyle name="20% - Accent4 2 6" xfId="2858"/>
    <cellStyle name="20% - Accent4 2 6 2" xfId="4823"/>
    <cellStyle name="20% - Accent4 2 6 3" xfId="5159"/>
    <cellStyle name="20% - Accent4 2 6 4" xfId="4131"/>
    <cellStyle name="20% - Accent4 2 7" xfId="1924"/>
    <cellStyle name="20% - Accent4 3" xfId="594"/>
    <cellStyle name="20% - Accent4 3 2" xfId="3221"/>
    <cellStyle name="20% - Accent4 3 2 2" xfId="4921"/>
    <cellStyle name="20% - Accent4 3 2 3" xfId="5161"/>
    <cellStyle name="20% - Accent4 3 2 4" xfId="4134"/>
    <cellStyle name="20% - Accent4 3 2_CPI" xfId="5556"/>
    <cellStyle name="20% - Accent4 3 3" xfId="2277"/>
    <cellStyle name="20% - Accent4 3 3 2" xfId="5378"/>
    <cellStyle name="20% - Accent4 3 3 3" xfId="4133"/>
    <cellStyle name="20% - Accent4 3 3_CPI" xfId="5557"/>
    <cellStyle name="20% - Accent4 3 4" xfId="4699"/>
    <cellStyle name="20% - Accent4 3_CPI" xfId="5555"/>
    <cellStyle name="20% - Accent4 4" xfId="592"/>
    <cellStyle name="20% - Accent4 4 2" xfId="3219"/>
    <cellStyle name="20% - Accent4 4 2 2" xfId="4920"/>
    <cellStyle name="20% - Accent4 4 2 3" xfId="5162"/>
    <cellStyle name="20% - Accent4 4 2 4" xfId="4136"/>
    <cellStyle name="20% - Accent4 4 3" xfId="2275"/>
    <cellStyle name="20% - Accent4 4 3 2" xfId="5377"/>
    <cellStyle name="20% - Accent4 4 3 3" xfId="4135"/>
    <cellStyle name="20% - Accent4 4 4" xfId="4698"/>
    <cellStyle name="20% - Accent4 5" xfId="3065"/>
    <cellStyle name="20% - Accent4 6" xfId="2135"/>
    <cellStyle name="20% - Accent5" xfId="403" builtinId="46" customBuiltin="1"/>
    <cellStyle name="20% - Accent5 2" xfId="21"/>
    <cellStyle name="20% - Accent5 2 2" xfId="95"/>
    <cellStyle name="20% - Accent5 2 2 2" xfId="96"/>
    <cellStyle name="20% - Accent5 2 2 2 2" xfId="2865"/>
    <cellStyle name="20% - Accent5 2 2 2 3" xfId="1931"/>
    <cellStyle name="20% - Accent5 2 2 3" xfId="873"/>
    <cellStyle name="20% - Accent5 2 2 3 2" xfId="3388"/>
    <cellStyle name="20% - Accent5 2 2 3 3" xfId="2443"/>
    <cellStyle name="20% - Accent5 2 2 3 3 2" xfId="5407"/>
    <cellStyle name="20% - Accent5 2 2 3 3 3" xfId="4502"/>
    <cellStyle name="20% - Accent5 2 2 3 4" xfId="4728"/>
    <cellStyle name="20% - Accent5 2 2 3 5" xfId="5057"/>
    <cellStyle name="20% - Accent5 2 2 3 6" xfId="3955"/>
    <cellStyle name="20% - Accent5 2 2 4" xfId="2864"/>
    <cellStyle name="20% - Accent5 2 2 4 2" xfId="4825"/>
    <cellStyle name="20% - Accent5 2 2 4 3" xfId="5163"/>
    <cellStyle name="20% - Accent5 2 2 4 4" xfId="4137"/>
    <cellStyle name="20% - Accent5 2 2 5" xfId="1930"/>
    <cellStyle name="20% - Accent5 2 3" xfId="97"/>
    <cellStyle name="20% - Accent5 2 3 2" xfId="1048"/>
    <cellStyle name="20% - Accent5 2 3 2 2" xfId="3498"/>
    <cellStyle name="20% - Accent5 2 3 2 3" xfId="2545"/>
    <cellStyle name="20% - Accent5 2 3 2 3 2" xfId="5447"/>
    <cellStyle name="20% - Accent5 2 3 2 3 3" xfId="4503"/>
    <cellStyle name="20% - Accent5 2 3 2 4" xfId="4766"/>
    <cellStyle name="20% - Accent5 2 3 2 5" xfId="5058"/>
    <cellStyle name="20% - Accent5 2 3 2 6" xfId="3956"/>
    <cellStyle name="20% - Accent5 2 3 3" xfId="2866"/>
    <cellStyle name="20% - Accent5 2 3 4" xfId="1932"/>
    <cellStyle name="20% - Accent5 2 4" xfId="98"/>
    <cellStyle name="20% - Accent5 2 4 2" xfId="1620"/>
    <cellStyle name="20% - Accent5 2 4 2 2" xfId="3648"/>
    <cellStyle name="20% - Accent5 2 4 2 3" xfId="2650"/>
    <cellStyle name="20% - Accent5 2 4 2 3 2" xfId="5463"/>
    <cellStyle name="20% - Accent5 2 4 2 3 3" xfId="4504"/>
    <cellStyle name="20% - Accent5 2 4 2 4" xfId="4788"/>
    <cellStyle name="20% - Accent5 2 4 2 5" xfId="5059"/>
    <cellStyle name="20% - Accent5 2 4 2 6" xfId="3957"/>
    <cellStyle name="20% - Accent5 2 4 3" xfId="2867"/>
    <cellStyle name="20% - Accent5 2 4 4" xfId="1933"/>
    <cellStyle name="20% - Accent5 2 5" xfId="94"/>
    <cellStyle name="20% - Accent5 2 5 2" xfId="3223"/>
    <cellStyle name="20% - Accent5 2 5 3" xfId="2279"/>
    <cellStyle name="20% - Accent5 2 5 4" xfId="596"/>
    <cellStyle name="20% - Accent5 2 6" xfId="2863"/>
    <cellStyle name="20% - Accent5 2 7" xfId="1929"/>
    <cellStyle name="20% - Accent5 3" xfId="595"/>
    <cellStyle name="20% - Accent5 3 2" xfId="3222"/>
    <cellStyle name="20% - Accent5 3 2 2" xfId="4922"/>
    <cellStyle name="20% - Accent5 3 2 3" xfId="5164"/>
    <cellStyle name="20% - Accent5 3 2 4" xfId="4139"/>
    <cellStyle name="20% - Accent5 3 3" xfId="2278"/>
    <cellStyle name="20% - Accent5 3 3 2" xfId="5379"/>
    <cellStyle name="20% - Accent5 3 3 3" xfId="4138"/>
    <cellStyle name="20% - Accent5 3 4" xfId="4700"/>
    <cellStyle name="20% - Accent5 4" xfId="3069"/>
    <cellStyle name="20% - Accent5 4 2" xfId="4140"/>
    <cellStyle name="20% - Accent5 4_CPI" xfId="5558"/>
    <cellStyle name="20% - Accent5 5" xfId="2139"/>
    <cellStyle name="20% - Accent6" xfId="407" builtinId="50" customBuiltin="1"/>
    <cellStyle name="20% - Accent6 2" xfId="22"/>
    <cellStyle name="20% - Accent6 2 2" xfId="100"/>
    <cellStyle name="20% - Accent6 2 2 2" xfId="101"/>
    <cellStyle name="20% - Accent6 2 2 2 2" xfId="2870"/>
    <cellStyle name="20% - Accent6 2 2 2 3" xfId="1936"/>
    <cellStyle name="20% - Accent6 2 2 3" xfId="874"/>
    <cellStyle name="20% - Accent6 2 2 3 2" xfId="3389"/>
    <cellStyle name="20% - Accent6 2 2 3 3" xfId="2444"/>
    <cellStyle name="20% - Accent6 2 2 3 3 2" xfId="5408"/>
    <cellStyle name="20% - Accent6 2 2 3 3 3" xfId="4505"/>
    <cellStyle name="20% - Accent6 2 2 3 4" xfId="4729"/>
    <cellStyle name="20% - Accent6 2 2 3 5" xfId="5060"/>
    <cellStyle name="20% - Accent6 2 2 3 6" xfId="3958"/>
    <cellStyle name="20% - Accent6 2 2 4" xfId="2869"/>
    <cellStyle name="20% - Accent6 2 2 4 2" xfId="4827"/>
    <cellStyle name="20% - Accent6 2 2 4 3" xfId="5166"/>
    <cellStyle name="20% - Accent6 2 2 4 4" xfId="4142"/>
    <cellStyle name="20% - Accent6 2 2 5" xfId="1935"/>
    <cellStyle name="20% - Accent6 2 3" xfId="102"/>
    <cellStyle name="20% - Accent6 2 3 2" xfId="1049"/>
    <cellStyle name="20% - Accent6 2 3 2 2" xfId="3499"/>
    <cellStyle name="20% - Accent6 2 3 2 3" xfId="2546"/>
    <cellStyle name="20% - Accent6 2 3 2 3 2" xfId="5448"/>
    <cellStyle name="20% - Accent6 2 3 2 3 3" xfId="4506"/>
    <cellStyle name="20% - Accent6 2 3 2 4" xfId="4767"/>
    <cellStyle name="20% - Accent6 2 3 2 5" xfId="5061"/>
    <cellStyle name="20% - Accent6 2 3 2 6" xfId="3959"/>
    <cellStyle name="20% - Accent6 2 3 3" xfId="2871"/>
    <cellStyle name="20% - Accent6 2 3 4" xfId="1937"/>
    <cellStyle name="20% - Accent6 2 4" xfId="103"/>
    <cellStyle name="20% - Accent6 2 4 2" xfId="1621"/>
    <cellStyle name="20% - Accent6 2 4 2 2" xfId="3649"/>
    <cellStyle name="20% - Accent6 2 4 2 3" xfId="2651"/>
    <cellStyle name="20% - Accent6 2 4 2 3 2" xfId="5464"/>
    <cellStyle name="20% - Accent6 2 4 2 3 3" xfId="4507"/>
    <cellStyle name="20% - Accent6 2 4 2 4" xfId="4789"/>
    <cellStyle name="20% - Accent6 2 4 2 5" xfId="5062"/>
    <cellStyle name="20% - Accent6 2 4 2 6" xfId="3960"/>
    <cellStyle name="20% - Accent6 2 4 3" xfId="2872"/>
    <cellStyle name="20% - Accent6 2 4 4" xfId="1938"/>
    <cellStyle name="20% - Accent6 2 5" xfId="99"/>
    <cellStyle name="20% - Accent6 2 5 2" xfId="3225"/>
    <cellStyle name="20% - Accent6 2 5 3" xfId="2281"/>
    <cellStyle name="20% - Accent6 2 5 4" xfId="598"/>
    <cellStyle name="20% - Accent6 2 6" xfId="2868"/>
    <cellStyle name="20% - Accent6 2 6 2" xfId="4826"/>
    <cellStyle name="20% - Accent6 2 6 3" xfId="5165"/>
    <cellStyle name="20% - Accent6 2 6 4" xfId="4141"/>
    <cellStyle name="20% - Accent6 2 7" xfId="1934"/>
    <cellStyle name="20% - Accent6 3" xfId="599"/>
    <cellStyle name="20% - Accent6 3 2" xfId="3226"/>
    <cellStyle name="20% - Accent6 3 2 2" xfId="4924"/>
    <cellStyle name="20% - Accent6 3 2 3" xfId="5167"/>
    <cellStyle name="20% - Accent6 3 2 4" xfId="4144"/>
    <cellStyle name="20% - Accent6 3 2_CPI" xfId="5560"/>
    <cellStyle name="20% - Accent6 3 3" xfId="2282"/>
    <cellStyle name="20% - Accent6 3 3 2" xfId="5381"/>
    <cellStyle name="20% - Accent6 3 3 3" xfId="4143"/>
    <cellStyle name="20% - Accent6 3 3_CPI" xfId="5561"/>
    <cellStyle name="20% - Accent6 3 4" xfId="4702"/>
    <cellStyle name="20% - Accent6 3_CPI" xfId="5559"/>
    <cellStyle name="20% - Accent6 4" xfId="597"/>
    <cellStyle name="20% - Accent6 4 2" xfId="3224"/>
    <cellStyle name="20% - Accent6 4 2 2" xfId="4923"/>
    <cellStyle name="20% - Accent6 4 2 3" xfId="5168"/>
    <cellStyle name="20% - Accent6 4 2 4" xfId="4146"/>
    <cellStyle name="20% - Accent6 4 3" xfId="2280"/>
    <cellStyle name="20% - Accent6 4 3 2" xfId="5380"/>
    <cellStyle name="20% - Accent6 4 3 3" xfId="4145"/>
    <cellStyle name="20% - Accent6 4 4" xfId="4701"/>
    <cellStyle name="20% - Accent6 5" xfId="3073"/>
    <cellStyle name="20% - Accent6 6" xfId="2143"/>
    <cellStyle name="40% - Accent1" xfId="388" builtinId="31" customBuiltin="1"/>
    <cellStyle name="40% - Accent1 2" xfId="23"/>
    <cellStyle name="40% - Accent1 2 2" xfId="105"/>
    <cellStyle name="40% - Accent1 2 2 2" xfId="106"/>
    <cellStyle name="40% - Accent1 2 2 2 2" xfId="2875"/>
    <cellStyle name="40% - Accent1 2 2 2 3" xfId="1941"/>
    <cellStyle name="40% - Accent1 2 2 3" xfId="875"/>
    <cellStyle name="40% - Accent1 2 2 3 2" xfId="3390"/>
    <cellStyle name="40% - Accent1 2 2 3 3" xfId="2445"/>
    <cellStyle name="40% - Accent1 2 2 3 3 2" xfId="5409"/>
    <cellStyle name="40% - Accent1 2 2 3 3 3" xfId="4508"/>
    <cellStyle name="40% - Accent1 2 2 3 4" xfId="4730"/>
    <cellStyle name="40% - Accent1 2 2 3 5" xfId="5063"/>
    <cellStyle name="40% - Accent1 2 2 3 6" xfId="3961"/>
    <cellStyle name="40% - Accent1 2 2 4" xfId="2874"/>
    <cellStyle name="40% - Accent1 2 2 4 2" xfId="4829"/>
    <cellStyle name="40% - Accent1 2 2 4 3" xfId="5170"/>
    <cellStyle name="40% - Accent1 2 2 4 4" xfId="4148"/>
    <cellStyle name="40% - Accent1 2 2 5" xfId="1940"/>
    <cellStyle name="40% - Accent1 2 3" xfId="107"/>
    <cellStyle name="40% - Accent1 2 3 2" xfId="1050"/>
    <cellStyle name="40% - Accent1 2 3 2 2" xfId="3500"/>
    <cellStyle name="40% - Accent1 2 3 2 3" xfId="2547"/>
    <cellStyle name="40% - Accent1 2 3 2 3 2" xfId="5449"/>
    <cellStyle name="40% - Accent1 2 3 2 3 3" xfId="4509"/>
    <cellStyle name="40% - Accent1 2 3 2 4" xfId="4768"/>
    <cellStyle name="40% - Accent1 2 3 2 5" xfId="5064"/>
    <cellStyle name="40% - Accent1 2 3 2 6" xfId="3962"/>
    <cellStyle name="40% - Accent1 2 3 3" xfId="2876"/>
    <cellStyle name="40% - Accent1 2 3 4" xfId="1942"/>
    <cellStyle name="40% - Accent1 2 4" xfId="108"/>
    <cellStyle name="40% - Accent1 2 4 2" xfId="1622"/>
    <cellStyle name="40% - Accent1 2 4 2 2" xfId="3650"/>
    <cellStyle name="40% - Accent1 2 4 2 3" xfId="2652"/>
    <cellStyle name="40% - Accent1 2 4 2 3 2" xfId="5465"/>
    <cellStyle name="40% - Accent1 2 4 2 3 3" xfId="4510"/>
    <cellStyle name="40% - Accent1 2 4 2 4" xfId="4790"/>
    <cellStyle name="40% - Accent1 2 4 2 5" xfId="5065"/>
    <cellStyle name="40% - Accent1 2 4 2 6" xfId="3963"/>
    <cellStyle name="40% - Accent1 2 4 3" xfId="2877"/>
    <cellStyle name="40% - Accent1 2 4 4" xfId="1943"/>
    <cellStyle name="40% - Accent1 2 5" xfId="104"/>
    <cellStyle name="40% - Accent1 2 5 2" xfId="3228"/>
    <cellStyle name="40% - Accent1 2 5 3" xfId="2284"/>
    <cellStyle name="40% - Accent1 2 5 4" xfId="601"/>
    <cellStyle name="40% - Accent1 2 6" xfId="2873"/>
    <cellStyle name="40% - Accent1 2 6 2" xfId="4828"/>
    <cellStyle name="40% - Accent1 2 6 3" xfId="5169"/>
    <cellStyle name="40% - Accent1 2 6 4" xfId="4147"/>
    <cellStyle name="40% - Accent1 2 7" xfId="1939"/>
    <cellStyle name="40% - Accent1 3" xfId="602"/>
    <cellStyle name="40% - Accent1 3 2" xfId="3229"/>
    <cellStyle name="40% - Accent1 3 2 2" xfId="4926"/>
    <cellStyle name="40% - Accent1 3 2 3" xfId="5171"/>
    <cellStyle name="40% - Accent1 3 2 4" xfId="4150"/>
    <cellStyle name="40% - Accent1 3 2_CPI" xfId="5563"/>
    <cellStyle name="40% - Accent1 3 3" xfId="2285"/>
    <cellStyle name="40% - Accent1 3 3 2" xfId="5383"/>
    <cellStyle name="40% - Accent1 3 3 3" xfId="4149"/>
    <cellStyle name="40% - Accent1 3 3_CPI" xfId="5564"/>
    <cellStyle name="40% - Accent1 3 4" xfId="4704"/>
    <cellStyle name="40% - Accent1 3_CPI" xfId="5562"/>
    <cellStyle name="40% - Accent1 4" xfId="600"/>
    <cellStyle name="40% - Accent1 4 2" xfId="3227"/>
    <cellStyle name="40% - Accent1 4 2 2" xfId="4925"/>
    <cellStyle name="40% - Accent1 4 2 3" xfId="5172"/>
    <cellStyle name="40% - Accent1 4 2 4" xfId="4152"/>
    <cellStyle name="40% - Accent1 4 3" xfId="2283"/>
    <cellStyle name="40% - Accent1 4 3 2" xfId="5382"/>
    <cellStyle name="40% - Accent1 4 3 3" xfId="4151"/>
    <cellStyle name="40% - Accent1 4 4" xfId="4703"/>
    <cellStyle name="40% - Accent1 5" xfId="3054"/>
    <cellStyle name="40% - Accent1 6" xfId="2124"/>
    <cellStyle name="40% - Accent2" xfId="392" builtinId="35" customBuiltin="1"/>
    <cellStyle name="40% - Accent2 2" xfId="24"/>
    <cellStyle name="40% - Accent2 2 2" xfId="110"/>
    <cellStyle name="40% - Accent2 2 2 2" xfId="111"/>
    <cellStyle name="40% - Accent2 2 2 2 2" xfId="2880"/>
    <cellStyle name="40% - Accent2 2 2 2 3" xfId="1946"/>
    <cellStyle name="40% - Accent2 2 2 3" xfId="876"/>
    <cellStyle name="40% - Accent2 2 2 3 2" xfId="3391"/>
    <cellStyle name="40% - Accent2 2 2 3 3" xfId="2446"/>
    <cellStyle name="40% - Accent2 2 2 3 3 2" xfId="5410"/>
    <cellStyle name="40% - Accent2 2 2 3 3 3" xfId="4511"/>
    <cellStyle name="40% - Accent2 2 2 3 4" xfId="4731"/>
    <cellStyle name="40% - Accent2 2 2 3 5" xfId="5066"/>
    <cellStyle name="40% - Accent2 2 2 3 6" xfId="3964"/>
    <cellStyle name="40% - Accent2 2 2 4" xfId="2879"/>
    <cellStyle name="40% - Accent2 2 2 4 2" xfId="4830"/>
    <cellStyle name="40% - Accent2 2 2 4 3" xfId="5173"/>
    <cellStyle name="40% - Accent2 2 2 4 4" xfId="4153"/>
    <cellStyle name="40% - Accent2 2 2 5" xfId="1945"/>
    <cellStyle name="40% - Accent2 2 3" xfId="112"/>
    <cellStyle name="40% - Accent2 2 3 2" xfId="1051"/>
    <cellStyle name="40% - Accent2 2 3 2 2" xfId="3501"/>
    <cellStyle name="40% - Accent2 2 3 2 3" xfId="2548"/>
    <cellStyle name="40% - Accent2 2 3 2 3 2" xfId="5450"/>
    <cellStyle name="40% - Accent2 2 3 2 3 3" xfId="4512"/>
    <cellStyle name="40% - Accent2 2 3 2 4" xfId="4769"/>
    <cellStyle name="40% - Accent2 2 3 2 5" xfId="5067"/>
    <cellStyle name="40% - Accent2 2 3 2 6" xfId="3965"/>
    <cellStyle name="40% - Accent2 2 3 3" xfId="2881"/>
    <cellStyle name="40% - Accent2 2 3 4" xfId="1947"/>
    <cellStyle name="40% - Accent2 2 4" xfId="113"/>
    <cellStyle name="40% - Accent2 2 4 2" xfId="1623"/>
    <cellStyle name="40% - Accent2 2 4 2 2" xfId="3651"/>
    <cellStyle name="40% - Accent2 2 4 2 3" xfId="2653"/>
    <cellStyle name="40% - Accent2 2 4 2 3 2" xfId="5466"/>
    <cellStyle name="40% - Accent2 2 4 2 3 3" xfId="4513"/>
    <cellStyle name="40% - Accent2 2 4 2 4" xfId="4791"/>
    <cellStyle name="40% - Accent2 2 4 2 5" xfId="5068"/>
    <cellStyle name="40% - Accent2 2 4 2 6" xfId="3966"/>
    <cellStyle name="40% - Accent2 2 4 3" xfId="2882"/>
    <cellStyle name="40% - Accent2 2 4 4" xfId="1948"/>
    <cellStyle name="40% - Accent2 2 5" xfId="109"/>
    <cellStyle name="40% - Accent2 2 5 2" xfId="3231"/>
    <cellStyle name="40% - Accent2 2 5 3" xfId="2287"/>
    <cellStyle name="40% - Accent2 2 5 4" xfId="604"/>
    <cellStyle name="40% - Accent2 2 6" xfId="2878"/>
    <cellStyle name="40% - Accent2 2 7" xfId="1944"/>
    <cellStyle name="40% - Accent2 3" xfId="603"/>
    <cellStyle name="40% - Accent2 3 2" xfId="3230"/>
    <cellStyle name="40% - Accent2 3 2 2" xfId="4927"/>
    <cellStyle name="40% - Accent2 3 2 3" xfId="5174"/>
    <cellStyle name="40% - Accent2 3 2 4" xfId="4155"/>
    <cellStyle name="40% - Accent2 3 3" xfId="2286"/>
    <cellStyle name="40% - Accent2 3 3 2" xfId="5384"/>
    <cellStyle name="40% - Accent2 3 3 3" xfId="4154"/>
    <cellStyle name="40% - Accent2 3 4" xfId="4705"/>
    <cellStyle name="40% - Accent2 4" xfId="3058"/>
    <cellStyle name="40% - Accent2 4 2" xfId="4156"/>
    <cellStyle name="40% - Accent2 4_CPI" xfId="5565"/>
    <cellStyle name="40% - Accent2 5" xfId="2128"/>
    <cellStyle name="40% - Accent3" xfId="396" builtinId="39" customBuiltin="1"/>
    <cellStyle name="40% - Accent3 2" xfId="25"/>
    <cellStyle name="40% - Accent3 2 2" xfId="115"/>
    <cellStyle name="40% - Accent3 2 2 2" xfId="116"/>
    <cellStyle name="40% - Accent3 2 2 2 2" xfId="2885"/>
    <cellStyle name="40% - Accent3 2 2 2 3" xfId="1951"/>
    <cellStyle name="40% - Accent3 2 2 3" xfId="877"/>
    <cellStyle name="40% - Accent3 2 2 3 2" xfId="3392"/>
    <cellStyle name="40% - Accent3 2 2 3 3" xfId="2447"/>
    <cellStyle name="40% - Accent3 2 2 3 3 2" xfId="5411"/>
    <cellStyle name="40% - Accent3 2 2 3 3 3" xfId="4514"/>
    <cellStyle name="40% - Accent3 2 2 3 4" xfId="4732"/>
    <cellStyle name="40% - Accent3 2 2 3 5" xfId="5069"/>
    <cellStyle name="40% - Accent3 2 2 3 6" xfId="3967"/>
    <cellStyle name="40% - Accent3 2 2 4" xfId="2884"/>
    <cellStyle name="40% - Accent3 2 2 4 2" xfId="4832"/>
    <cellStyle name="40% - Accent3 2 2 4 3" xfId="5176"/>
    <cellStyle name="40% - Accent3 2 2 4 4" xfId="4158"/>
    <cellStyle name="40% - Accent3 2 2 5" xfId="1950"/>
    <cellStyle name="40% - Accent3 2 3" xfId="117"/>
    <cellStyle name="40% - Accent3 2 3 2" xfId="1052"/>
    <cellStyle name="40% - Accent3 2 3 2 2" xfId="3502"/>
    <cellStyle name="40% - Accent3 2 3 2 3" xfId="2549"/>
    <cellStyle name="40% - Accent3 2 3 2 3 2" xfId="5451"/>
    <cellStyle name="40% - Accent3 2 3 2 3 3" xfId="4515"/>
    <cellStyle name="40% - Accent3 2 3 2 4" xfId="4770"/>
    <cellStyle name="40% - Accent3 2 3 2 5" xfId="5070"/>
    <cellStyle name="40% - Accent3 2 3 2 6" xfId="3968"/>
    <cellStyle name="40% - Accent3 2 3 3" xfId="2886"/>
    <cellStyle name="40% - Accent3 2 3 4" xfId="1952"/>
    <cellStyle name="40% - Accent3 2 4" xfId="118"/>
    <cellStyle name="40% - Accent3 2 4 2" xfId="1624"/>
    <cellStyle name="40% - Accent3 2 4 2 2" xfId="3652"/>
    <cellStyle name="40% - Accent3 2 4 2 3" xfId="2654"/>
    <cellStyle name="40% - Accent3 2 4 2 3 2" xfId="5467"/>
    <cellStyle name="40% - Accent3 2 4 2 3 3" xfId="4516"/>
    <cellStyle name="40% - Accent3 2 4 2 4" xfId="4792"/>
    <cellStyle name="40% - Accent3 2 4 2 5" xfId="5071"/>
    <cellStyle name="40% - Accent3 2 4 2 6" xfId="3969"/>
    <cellStyle name="40% - Accent3 2 4 3" xfId="2887"/>
    <cellStyle name="40% - Accent3 2 4 4" xfId="1953"/>
    <cellStyle name="40% - Accent3 2 5" xfId="114"/>
    <cellStyle name="40% - Accent3 2 5 2" xfId="3233"/>
    <cellStyle name="40% - Accent3 2 5 3" xfId="2289"/>
    <cellStyle name="40% - Accent3 2 5 4" xfId="606"/>
    <cellStyle name="40% - Accent3 2 6" xfId="2883"/>
    <cellStyle name="40% - Accent3 2 6 2" xfId="4831"/>
    <cellStyle name="40% - Accent3 2 6 3" xfId="5175"/>
    <cellStyle name="40% - Accent3 2 6 4" xfId="4157"/>
    <cellStyle name="40% - Accent3 2 7" xfId="1949"/>
    <cellStyle name="40% - Accent3 3" xfId="607"/>
    <cellStyle name="40% - Accent3 3 2" xfId="3234"/>
    <cellStyle name="40% - Accent3 3 2 2" xfId="4929"/>
    <cellStyle name="40% - Accent3 3 2 3" xfId="5177"/>
    <cellStyle name="40% - Accent3 3 2 4" xfId="4160"/>
    <cellStyle name="40% - Accent3 3 2_CPI" xfId="5567"/>
    <cellStyle name="40% - Accent3 3 3" xfId="2290"/>
    <cellStyle name="40% - Accent3 3 3 2" xfId="5386"/>
    <cellStyle name="40% - Accent3 3 3 3" xfId="4159"/>
    <cellStyle name="40% - Accent3 3 3_CPI" xfId="5568"/>
    <cellStyle name="40% - Accent3 3 4" xfId="4707"/>
    <cellStyle name="40% - Accent3 3_CPI" xfId="5566"/>
    <cellStyle name="40% - Accent3 4" xfId="605"/>
    <cellStyle name="40% - Accent3 4 2" xfId="3232"/>
    <cellStyle name="40% - Accent3 4 2 2" xfId="4928"/>
    <cellStyle name="40% - Accent3 4 2 3" xfId="5178"/>
    <cellStyle name="40% - Accent3 4 2 4" xfId="4162"/>
    <cellStyle name="40% - Accent3 4 3" xfId="2288"/>
    <cellStyle name="40% - Accent3 4 3 2" xfId="5385"/>
    <cellStyle name="40% - Accent3 4 3 3" xfId="4161"/>
    <cellStyle name="40% - Accent3 4 4" xfId="4706"/>
    <cellStyle name="40% - Accent3 5" xfId="3062"/>
    <cellStyle name="40% - Accent3 6" xfId="2132"/>
    <cellStyle name="40% - Accent4" xfId="400" builtinId="43" customBuiltin="1"/>
    <cellStyle name="40% - Accent4 2" xfId="26"/>
    <cellStyle name="40% - Accent4 2 2" xfId="120"/>
    <cellStyle name="40% - Accent4 2 2 2" xfId="121"/>
    <cellStyle name="40% - Accent4 2 2 2 2" xfId="2890"/>
    <cellStyle name="40% - Accent4 2 2 2 3" xfId="1956"/>
    <cellStyle name="40% - Accent4 2 2 3" xfId="878"/>
    <cellStyle name="40% - Accent4 2 2 3 2" xfId="3393"/>
    <cellStyle name="40% - Accent4 2 2 3 3" xfId="2448"/>
    <cellStyle name="40% - Accent4 2 2 3 3 2" xfId="5412"/>
    <cellStyle name="40% - Accent4 2 2 3 3 3" xfId="4517"/>
    <cellStyle name="40% - Accent4 2 2 3 4" xfId="4733"/>
    <cellStyle name="40% - Accent4 2 2 3 5" xfId="5072"/>
    <cellStyle name="40% - Accent4 2 2 3 6" xfId="3970"/>
    <cellStyle name="40% - Accent4 2 2 4" xfId="2889"/>
    <cellStyle name="40% - Accent4 2 2 4 2" xfId="4834"/>
    <cellStyle name="40% - Accent4 2 2 4 3" xfId="5180"/>
    <cellStyle name="40% - Accent4 2 2 4 4" xfId="4164"/>
    <cellStyle name="40% - Accent4 2 2 5" xfId="1955"/>
    <cellStyle name="40% - Accent4 2 3" xfId="122"/>
    <cellStyle name="40% - Accent4 2 3 2" xfId="1053"/>
    <cellStyle name="40% - Accent4 2 3 2 2" xfId="3503"/>
    <cellStyle name="40% - Accent4 2 3 2 3" xfId="2550"/>
    <cellStyle name="40% - Accent4 2 3 2 3 2" xfId="5452"/>
    <cellStyle name="40% - Accent4 2 3 2 3 3" xfId="4518"/>
    <cellStyle name="40% - Accent4 2 3 2 4" xfId="4771"/>
    <cellStyle name="40% - Accent4 2 3 2 5" xfId="5073"/>
    <cellStyle name="40% - Accent4 2 3 2 6" xfId="3971"/>
    <cellStyle name="40% - Accent4 2 3 3" xfId="2891"/>
    <cellStyle name="40% - Accent4 2 3 4" xfId="1957"/>
    <cellStyle name="40% - Accent4 2 4" xfId="123"/>
    <cellStyle name="40% - Accent4 2 4 2" xfId="1625"/>
    <cellStyle name="40% - Accent4 2 4 2 2" xfId="3653"/>
    <cellStyle name="40% - Accent4 2 4 2 3" xfId="2655"/>
    <cellStyle name="40% - Accent4 2 4 2 3 2" xfId="5468"/>
    <cellStyle name="40% - Accent4 2 4 2 3 3" xfId="4519"/>
    <cellStyle name="40% - Accent4 2 4 2 4" xfId="4793"/>
    <cellStyle name="40% - Accent4 2 4 2 5" xfId="5074"/>
    <cellStyle name="40% - Accent4 2 4 2 6" xfId="3972"/>
    <cellStyle name="40% - Accent4 2 4 3" xfId="2892"/>
    <cellStyle name="40% - Accent4 2 4 4" xfId="1958"/>
    <cellStyle name="40% - Accent4 2 5" xfId="119"/>
    <cellStyle name="40% - Accent4 2 5 2" xfId="3236"/>
    <cellStyle name="40% - Accent4 2 5 3" xfId="2292"/>
    <cellStyle name="40% - Accent4 2 5 4" xfId="609"/>
    <cellStyle name="40% - Accent4 2 6" xfId="2888"/>
    <cellStyle name="40% - Accent4 2 6 2" xfId="4833"/>
    <cellStyle name="40% - Accent4 2 6 3" xfId="5179"/>
    <cellStyle name="40% - Accent4 2 6 4" xfId="4163"/>
    <cellStyle name="40% - Accent4 2 7" xfId="1954"/>
    <cellStyle name="40% - Accent4 3" xfId="610"/>
    <cellStyle name="40% - Accent4 3 2" xfId="3237"/>
    <cellStyle name="40% - Accent4 3 2 2" xfId="4931"/>
    <cellStyle name="40% - Accent4 3 2 3" xfId="5181"/>
    <cellStyle name="40% - Accent4 3 2 4" xfId="4166"/>
    <cellStyle name="40% - Accent4 3 2_CPI" xfId="5570"/>
    <cellStyle name="40% - Accent4 3 3" xfId="2293"/>
    <cellStyle name="40% - Accent4 3 3 2" xfId="5388"/>
    <cellStyle name="40% - Accent4 3 3 3" xfId="4165"/>
    <cellStyle name="40% - Accent4 3 3_CPI" xfId="5571"/>
    <cellStyle name="40% - Accent4 3 4" xfId="4709"/>
    <cellStyle name="40% - Accent4 3_CPI" xfId="5569"/>
    <cellStyle name="40% - Accent4 4" xfId="608"/>
    <cellStyle name="40% - Accent4 4 2" xfId="3235"/>
    <cellStyle name="40% - Accent4 4 2 2" xfId="4930"/>
    <cellStyle name="40% - Accent4 4 2 3" xfId="5182"/>
    <cellStyle name="40% - Accent4 4 2 4" xfId="4168"/>
    <cellStyle name="40% - Accent4 4 3" xfId="2291"/>
    <cellStyle name="40% - Accent4 4 3 2" xfId="5387"/>
    <cellStyle name="40% - Accent4 4 3 3" xfId="4167"/>
    <cellStyle name="40% - Accent4 4 4" xfId="4708"/>
    <cellStyle name="40% - Accent4 5" xfId="3066"/>
    <cellStyle name="40% - Accent4 6" xfId="2136"/>
    <cellStyle name="40% - Accent5" xfId="404" builtinId="47" customBuiltin="1"/>
    <cellStyle name="40% - Accent5 2" xfId="27"/>
    <cellStyle name="40% - Accent5 2 2" xfId="125"/>
    <cellStyle name="40% - Accent5 2 2 2" xfId="126"/>
    <cellStyle name="40% - Accent5 2 2 2 2" xfId="2895"/>
    <cellStyle name="40% - Accent5 2 2 2 3" xfId="1961"/>
    <cellStyle name="40% - Accent5 2 2 3" xfId="879"/>
    <cellStyle name="40% - Accent5 2 2 3 2" xfId="3394"/>
    <cellStyle name="40% - Accent5 2 2 3 3" xfId="2449"/>
    <cellStyle name="40% - Accent5 2 2 3 3 2" xfId="5413"/>
    <cellStyle name="40% - Accent5 2 2 3 3 3" xfId="4520"/>
    <cellStyle name="40% - Accent5 2 2 3 4" xfId="4734"/>
    <cellStyle name="40% - Accent5 2 2 3 5" xfId="5075"/>
    <cellStyle name="40% - Accent5 2 2 3 6" xfId="3973"/>
    <cellStyle name="40% - Accent5 2 2 4" xfId="2894"/>
    <cellStyle name="40% - Accent5 2 2 4 2" xfId="4836"/>
    <cellStyle name="40% - Accent5 2 2 4 3" xfId="5184"/>
    <cellStyle name="40% - Accent5 2 2 4 4" xfId="4170"/>
    <cellStyle name="40% - Accent5 2 2 5" xfId="1960"/>
    <cellStyle name="40% - Accent5 2 3" xfId="127"/>
    <cellStyle name="40% - Accent5 2 3 2" xfId="1054"/>
    <cellStyle name="40% - Accent5 2 3 2 2" xfId="3504"/>
    <cellStyle name="40% - Accent5 2 3 2 3" xfId="2551"/>
    <cellStyle name="40% - Accent5 2 3 2 3 2" xfId="5453"/>
    <cellStyle name="40% - Accent5 2 3 2 3 3" xfId="4521"/>
    <cellStyle name="40% - Accent5 2 3 2 4" xfId="4772"/>
    <cellStyle name="40% - Accent5 2 3 2 5" xfId="5076"/>
    <cellStyle name="40% - Accent5 2 3 2 6" xfId="3974"/>
    <cellStyle name="40% - Accent5 2 3 3" xfId="2896"/>
    <cellStyle name="40% - Accent5 2 3 4" xfId="1962"/>
    <cellStyle name="40% - Accent5 2 4" xfId="128"/>
    <cellStyle name="40% - Accent5 2 4 2" xfId="1626"/>
    <cellStyle name="40% - Accent5 2 4 2 2" xfId="3654"/>
    <cellStyle name="40% - Accent5 2 4 2 3" xfId="2656"/>
    <cellStyle name="40% - Accent5 2 4 2 3 2" xfId="5469"/>
    <cellStyle name="40% - Accent5 2 4 2 3 3" xfId="4522"/>
    <cellStyle name="40% - Accent5 2 4 2 4" xfId="4794"/>
    <cellStyle name="40% - Accent5 2 4 2 5" xfId="5077"/>
    <cellStyle name="40% - Accent5 2 4 2 6" xfId="3975"/>
    <cellStyle name="40% - Accent5 2 4 3" xfId="2897"/>
    <cellStyle name="40% - Accent5 2 4 4" xfId="1963"/>
    <cellStyle name="40% - Accent5 2 5" xfId="124"/>
    <cellStyle name="40% - Accent5 2 5 2" xfId="3239"/>
    <cellStyle name="40% - Accent5 2 5 3" xfId="2295"/>
    <cellStyle name="40% - Accent5 2 5 4" xfId="612"/>
    <cellStyle name="40% - Accent5 2 6" xfId="2893"/>
    <cellStyle name="40% - Accent5 2 6 2" xfId="4835"/>
    <cellStyle name="40% - Accent5 2 6 3" xfId="5183"/>
    <cellStyle name="40% - Accent5 2 6 4" xfId="4169"/>
    <cellStyle name="40% - Accent5 2 7" xfId="1959"/>
    <cellStyle name="40% - Accent5 3" xfId="613"/>
    <cellStyle name="40% - Accent5 3 2" xfId="3240"/>
    <cellStyle name="40% - Accent5 3 2 2" xfId="4933"/>
    <cellStyle name="40% - Accent5 3 2 3" xfId="5185"/>
    <cellStyle name="40% - Accent5 3 2 4" xfId="4172"/>
    <cellStyle name="40% - Accent5 3 2_CPI" xfId="5573"/>
    <cellStyle name="40% - Accent5 3 3" xfId="2296"/>
    <cellStyle name="40% - Accent5 3 3 2" xfId="5390"/>
    <cellStyle name="40% - Accent5 3 3 3" xfId="4171"/>
    <cellStyle name="40% - Accent5 3 3_CPI" xfId="5574"/>
    <cellStyle name="40% - Accent5 3 4" xfId="4711"/>
    <cellStyle name="40% - Accent5 3_CPI" xfId="5572"/>
    <cellStyle name="40% - Accent5 4" xfId="611"/>
    <cellStyle name="40% - Accent5 4 2" xfId="3238"/>
    <cellStyle name="40% - Accent5 4 2 2" xfId="4932"/>
    <cellStyle name="40% - Accent5 4 2 3" xfId="5186"/>
    <cellStyle name="40% - Accent5 4 2 4" xfId="4174"/>
    <cellStyle name="40% - Accent5 4 3" xfId="2294"/>
    <cellStyle name="40% - Accent5 4 3 2" xfId="5389"/>
    <cellStyle name="40% - Accent5 4 3 3" xfId="4173"/>
    <cellStyle name="40% - Accent5 4 4" xfId="4710"/>
    <cellStyle name="40% - Accent5 5" xfId="3070"/>
    <cellStyle name="40% - Accent5 6" xfId="2140"/>
    <cellStyle name="40% - Accent6" xfId="408" builtinId="51" customBuiltin="1"/>
    <cellStyle name="40% - Accent6 2" xfId="28"/>
    <cellStyle name="40% - Accent6 2 2" xfId="130"/>
    <cellStyle name="40% - Accent6 2 2 2" xfId="131"/>
    <cellStyle name="40% - Accent6 2 2 2 2" xfId="2900"/>
    <cellStyle name="40% - Accent6 2 2 2 3" xfId="1966"/>
    <cellStyle name="40% - Accent6 2 2 3" xfId="880"/>
    <cellStyle name="40% - Accent6 2 2 3 2" xfId="3395"/>
    <cellStyle name="40% - Accent6 2 2 3 3" xfId="2450"/>
    <cellStyle name="40% - Accent6 2 2 3 3 2" xfId="5414"/>
    <cellStyle name="40% - Accent6 2 2 3 3 3" xfId="4523"/>
    <cellStyle name="40% - Accent6 2 2 3 4" xfId="4735"/>
    <cellStyle name="40% - Accent6 2 2 3 5" xfId="5078"/>
    <cellStyle name="40% - Accent6 2 2 3 6" xfId="3976"/>
    <cellStyle name="40% - Accent6 2 2 4" xfId="2899"/>
    <cellStyle name="40% - Accent6 2 2 4 2" xfId="4838"/>
    <cellStyle name="40% - Accent6 2 2 4 3" xfId="5188"/>
    <cellStyle name="40% - Accent6 2 2 4 4" xfId="4176"/>
    <cellStyle name="40% - Accent6 2 2 5" xfId="1965"/>
    <cellStyle name="40% - Accent6 2 3" xfId="132"/>
    <cellStyle name="40% - Accent6 2 3 2" xfId="1055"/>
    <cellStyle name="40% - Accent6 2 3 2 2" xfId="3505"/>
    <cellStyle name="40% - Accent6 2 3 2 3" xfId="2552"/>
    <cellStyle name="40% - Accent6 2 3 2 3 2" xfId="5454"/>
    <cellStyle name="40% - Accent6 2 3 2 3 3" xfId="4524"/>
    <cellStyle name="40% - Accent6 2 3 2 4" xfId="4773"/>
    <cellStyle name="40% - Accent6 2 3 2 5" xfId="5079"/>
    <cellStyle name="40% - Accent6 2 3 2 6" xfId="3977"/>
    <cellStyle name="40% - Accent6 2 3 3" xfId="2901"/>
    <cellStyle name="40% - Accent6 2 3 4" xfId="1967"/>
    <cellStyle name="40% - Accent6 2 4" xfId="133"/>
    <cellStyle name="40% - Accent6 2 4 2" xfId="1627"/>
    <cellStyle name="40% - Accent6 2 4 2 2" xfId="3655"/>
    <cellStyle name="40% - Accent6 2 4 2 3" xfId="2657"/>
    <cellStyle name="40% - Accent6 2 4 2 3 2" xfId="5470"/>
    <cellStyle name="40% - Accent6 2 4 2 3 3" xfId="4525"/>
    <cellStyle name="40% - Accent6 2 4 2 4" xfId="4795"/>
    <cellStyle name="40% - Accent6 2 4 2 5" xfId="5080"/>
    <cellStyle name="40% - Accent6 2 4 2 6" xfId="3978"/>
    <cellStyle name="40% - Accent6 2 4 3" xfId="2902"/>
    <cellStyle name="40% - Accent6 2 4 4" xfId="1968"/>
    <cellStyle name="40% - Accent6 2 5" xfId="129"/>
    <cellStyle name="40% - Accent6 2 5 2" xfId="3242"/>
    <cellStyle name="40% - Accent6 2 5 3" xfId="2298"/>
    <cellStyle name="40% - Accent6 2 5 4" xfId="615"/>
    <cellStyle name="40% - Accent6 2 6" xfId="2898"/>
    <cellStyle name="40% - Accent6 2 6 2" xfId="4837"/>
    <cellStyle name="40% - Accent6 2 6 3" xfId="5187"/>
    <cellStyle name="40% - Accent6 2 6 4" xfId="4175"/>
    <cellStyle name="40% - Accent6 2 7" xfId="1964"/>
    <cellStyle name="40% - Accent6 3" xfId="616"/>
    <cellStyle name="40% - Accent6 3 2" xfId="3243"/>
    <cellStyle name="40% - Accent6 3 2 2" xfId="4935"/>
    <cellStyle name="40% - Accent6 3 2 3" xfId="5189"/>
    <cellStyle name="40% - Accent6 3 2 4" xfId="4178"/>
    <cellStyle name="40% - Accent6 3 2_CPI" xfId="5576"/>
    <cellStyle name="40% - Accent6 3 3" xfId="2299"/>
    <cellStyle name="40% - Accent6 3 3 2" xfId="5392"/>
    <cellStyle name="40% - Accent6 3 3 3" xfId="4177"/>
    <cellStyle name="40% - Accent6 3 3_CPI" xfId="5577"/>
    <cellStyle name="40% - Accent6 3 4" xfId="4713"/>
    <cellStyle name="40% - Accent6 3_CPI" xfId="5575"/>
    <cellStyle name="40% - Accent6 4" xfId="614"/>
    <cellStyle name="40% - Accent6 4 2" xfId="3241"/>
    <cellStyle name="40% - Accent6 4 2 2" xfId="4934"/>
    <cellStyle name="40% - Accent6 4 2 3" xfId="5190"/>
    <cellStyle name="40% - Accent6 4 2 4" xfId="4180"/>
    <cellStyle name="40% - Accent6 4 3" xfId="2297"/>
    <cellStyle name="40% - Accent6 4 3 2" xfId="5391"/>
    <cellStyle name="40% - Accent6 4 3 3" xfId="4179"/>
    <cellStyle name="40% - Accent6 4 4" xfId="4712"/>
    <cellStyle name="40% - Accent6 5" xfId="3074"/>
    <cellStyle name="40% - Accent6 6" xfId="2144"/>
    <cellStyle name="60% - Accent1" xfId="389" builtinId="32" customBuiltin="1"/>
    <cellStyle name="60% - Accent1 2" xfId="29"/>
    <cellStyle name="60% - Accent1 2 2" xfId="135"/>
    <cellStyle name="60% - Accent1 2 2 2" xfId="881"/>
    <cellStyle name="60% - Accent1 2 2 2 2" xfId="3396"/>
    <cellStyle name="60% - Accent1 2 2 2 3" xfId="2451"/>
    <cellStyle name="60% - Accent1 2 2 2 3 2" xfId="5415"/>
    <cellStyle name="60% - Accent1 2 2 2 3 3" xfId="4526"/>
    <cellStyle name="60% - Accent1 2 2 2 4" xfId="4736"/>
    <cellStyle name="60% - Accent1 2 2 2 5" xfId="5081"/>
    <cellStyle name="60% - Accent1 2 2 2 6" xfId="3979"/>
    <cellStyle name="60% - Accent1 2 2 3" xfId="2904"/>
    <cellStyle name="60% - Accent1 2 2 3 2" xfId="4840"/>
    <cellStyle name="60% - Accent1 2 2 3 3" xfId="5192"/>
    <cellStyle name="60% - Accent1 2 2 3 4" xfId="4182"/>
    <cellStyle name="60% - Accent1 2 2 4" xfId="1970"/>
    <cellStyle name="60% - Accent1 2 3" xfId="134"/>
    <cellStyle name="60% - Accent1 2 3 2" xfId="3506"/>
    <cellStyle name="60% - Accent1 2 3 3" xfId="2553"/>
    <cellStyle name="60% - Accent1 2 4" xfId="1628"/>
    <cellStyle name="60% - Accent1 2 4 2" xfId="3656"/>
    <cellStyle name="60% - Accent1 2 4 3" xfId="2658"/>
    <cellStyle name="60% - Accent1 2 5" xfId="618"/>
    <cellStyle name="60% - Accent1 2 5 2" xfId="3245"/>
    <cellStyle name="60% - Accent1 2 5 3" xfId="2301"/>
    <cellStyle name="60% - Accent1 2 5_CPI" xfId="5578"/>
    <cellStyle name="60% - Accent1 2 6" xfId="2903"/>
    <cellStyle name="60% - Accent1 2 6 2" xfId="4839"/>
    <cellStyle name="60% - Accent1 2 6 3" xfId="5191"/>
    <cellStyle name="60% - Accent1 2 6 4" xfId="4181"/>
    <cellStyle name="60% - Accent1 2 7" xfId="1969"/>
    <cellStyle name="60% - Accent1 3" xfId="619"/>
    <cellStyle name="60% - Accent1 3 2" xfId="3246"/>
    <cellStyle name="60% - Accent1 3 2 2" xfId="4936"/>
    <cellStyle name="60% - Accent1 3 2 3" xfId="5193"/>
    <cellStyle name="60% - Accent1 3 2 4" xfId="4183"/>
    <cellStyle name="60% - Accent1 3 2_CPI" xfId="5580"/>
    <cellStyle name="60% - Accent1 3 3" xfId="2302"/>
    <cellStyle name="60% - Accent1 3_CPI" xfId="5579"/>
    <cellStyle name="60% - Accent1 4" xfId="617"/>
    <cellStyle name="60% - Accent1 4 2" xfId="3244"/>
    <cellStyle name="60% - Accent1 4 3" xfId="2300"/>
    <cellStyle name="60% - Accent1 5" xfId="3055"/>
    <cellStyle name="60% - Accent1 6" xfId="2125"/>
    <cellStyle name="60% - Accent2" xfId="393" builtinId="36" customBuiltin="1"/>
    <cellStyle name="60% - Accent2 2" xfId="30"/>
    <cellStyle name="60% - Accent2 2 2" xfId="137"/>
    <cellStyle name="60% - Accent2 2 2 2" xfId="882"/>
    <cellStyle name="60% - Accent2 2 2 2 2" xfId="3397"/>
    <cellStyle name="60% - Accent2 2 2 2 3" xfId="2452"/>
    <cellStyle name="60% - Accent2 2 2 2 3 2" xfId="5416"/>
    <cellStyle name="60% - Accent2 2 2 2 3 3" xfId="4527"/>
    <cellStyle name="60% - Accent2 2 2 2 4" xfId="4737"/>
    <cellStyle name="60% - Accent2 2 2 2 5" xfId="5082"/>
    <cellStyle name="60% - Accent2 2 2 2 6" xfId="3981"/>
    <cellStyle name="60% - Accent2 2 2 3" xfId="2906"/>
    <cellStyle name="60% - Accent2 2 2 3 2" xfId="4842"/>
    <cellStyle name="60% - Accent2 2 2 3 3" xfId="5195"/>
    <cellStyle name="60% - Accent2 2 2 3 4" xfId="4185"/>
    <cellStyle name="60% - Accent2 2 2 4" xfId="1972"/>
    <cellStyle name="60% - Accent2 2 3" xfId="136"/>
    <cellStyle name="60% - Accent2 2 3 2" xfId="3507"/>
    <cellStyle name="60% - Accent2 2 3 3" xfId="2554"/>
    <cellStyle name="60% - Accent2 2 4" xfId="1629"/>
    <cellStyle name="60% - Accent2 2 4 2" xfId="3657"/>
    <cellStyle name="60% - Accent2 2 4 3" xfId="2659"/>
    <cellStyle name="60% - Accent2 2 5" xfId="621"/>
    <cellStyle name="60% - Accent2 2 5 2" xfId="3248"/>
    <cellStyle name="60% - Accent2 2 5 3" xfId="2304"/>
    <cellStyle name="60% - Accent2 2 5_CPI" xfId="5581"/>
    <cellStyle name="60% - Accent2 2 6" xfId="2905"/>
    <cellStyle name="60% - Accent2 2 6 2" xfId="4841"/>
    <cellStyle name="60% - Accent2 2 6 3" xfId="5194"/>
    <cellStyle name="60% - Accent2 2 6 4" xfId="4184"/>
    <cellStyle name="60% - Accent2 2 7" xfId="1971"/>
    <cellStyle name="60% - Accent2 3" xfId="622"/>
    <cellStyle name="60% - Accent2 3 2" xfId="3249"/>
    <cellStyle name="60% - Accent2 3 2 2" xfId="4937"/>
    <cellStyle name="60% - Accent2 3 2 3" xfId="5196"/>
    <cellStyle name="60% - Accent2 3 2 4" xfId="4186"/>
    <cellStyle name="60% - Accent2 3 2_CPI" xfId="5583"/>
    <cellStyle name="60% - Accent2 3 3" xfId="2305"/>
    <cellStyle name="60% - Accent2 3_CPI" xfId="5582"/>
    <cellStyle name="60% - Accent2 4" xfId="620"/>
    <cellStyle name="60% - Accent2 4 2" xfId="3247"/>
    <cellStyle name="60% - Accent2 4 3" xfId="2303"/>
    <cellStyle name="60% - Accent2 5" xfId="3059"/>
    <cellStyle name="60% - Accent2 6" xfId="2129"/>
    <cellStyle name="60% - Accent3" xfId="397" builtinId="40" customBuiltin="1"/>
    <cellStyle name="60% - Accent3 2" xfId="31"/>
    <cellStyle name="60% - Accent3 2 2" xfId="139"/>
    <cellStyle name="60% - Accent3 2 2 2" xfId="883"/>
    <cellStyle name="60% - Accent3 2 2 2 2" xfId="3398"/>
    <cellStyle name="60% - Accent3 2 2 2 3" xfId="2453"/>
    <cellStyle name="60% - Accent3 2 2 2 3 2" xfId="5417"/>
    <cellStyle name="60% - Accent3 2 2 2 3 3" xfId="4528"/>
    <cellStyle name="60% - Accent3 2 2 2 4" xfId="4738"/>
    <cellStyle name="60% - Accent3 2 2 2 5" xfId="5083"/>
    <cellStyle name="60% - Accent3 2 2 2 6" xfId="3982"/>
    <cellStyle name="60% - Accent3 2 2 3" xfId="2908"/>
    <cellStyle name="60% - Accent3 2 2 3 2" xfId="4844"/>
    <cellStyle name="60% - Accent3 2 2 3 3" xfId="5198"/>
    <cellStyle name="60% - Accent3 2 2 3 4" xfId="4188"/>
    <cellStyle name="60% - Accent3 2 2 4" xfId="1974"/>
    <cellStyle name="60% - Accent3 2 3" xfId="138"/>
    <cellStyle name="60% - Accent3 2 3 2" xfId="3508"/>
    <cellStyle name="60% - Accent3 2 3 3" xfId="2555"/>
    <cellStyle name="60% - Accent3 2 4" xfId="1630"/>
    <cellStyle name="60% - Accent3 2 4 2" xfId="3658"/>
    <cellStyle name="60% - Accent3 2 4 3" xfId="2660"/>
    <cellStyle name="60% - Accent3 2 5" xfId="624"/>
    <cellStyle name="60% - Accent3 2 5 2" xfId="3251"/>
    <cellStyle name="60% - Accent3 2 5 3" xfId="2307"/>
    <cellStyle name="60% - Accent3 2 5_CPI" xfId="5584"/>
    <cellStyle name="60% - Accent3 2 6" xfId="2907"/>
    <cellStyle name="60% - Accent3 2 6 2" xfId="4843"/>
    <cellStyle name="60% - Accent3 2 6 3" xfId="5197"/>
    <cellStyle name="60% - Accent3 2 6 4" xfId="4187"/>
    <cellStyle name="60% - Accent3 2 7" xfId="1973"/>
    <cellStyle name="60% - Accent3 3" xfId="625"/>
    <cellStyle name="60% - Accent3 3 2" xfId="3252"/>
    <cellStyle name="60% - Accent3 3 2 2" xfId="4938"/>
    <cellStyle name="60% - Accent3 3 2 3" xfId="5199"/>
    <cellStyle name="60% - Accent3 3 2 4" xfId="4189"/>
    <cellStyle name="60% - Accent3 3 2_CPI" xfId="5586"/>
    <cellStyle name="60% - Accent3 3 3" xfId="2308"/>
    <cellStyle name="60% - Accent3 3_CPI" xfId="5585"/>
    <cellStyle name="60% - Accent3 4" xfId="623"/>
    <cellStyle name="60% - Accent3 4 2" xfId="3250"/>
    <cellStyle name="60% - Accent3 4 3" xfId="2306"/>
    <cellStyle name="60% - Accent3 5" xfId="3063"/>
    <cellStyle name="60% - Accent3 6" xfId="2133"/>
    <cellStyle name="60% - Accent4" xfId="401" builtinId="44" customBuiltin="1"/>
    <cellStyle name="60% - Accent4 2" xfId="32"/>
    <cellStyle name="60% - Accent4 2 2" xfId="141"/>
    <cellStyle name="60% - Accent4 2 2 2" xfId="884"/>
    <cellStyle name="60% - Accent4 2 2 2 2" xfId="3399"/>
    <cellStyle name="60% - Accent4 2 2 2 3" xfId="2454"/>
    <cellStyle name="60% - Accent4 2 2 2 3 2" xfId="5418"/>
    <cellStyle name="60% - Accent4 2 2 2 3 3" xfId="4529"/>
    <cellStyle name="60% - Accent4 2 2 2 4" xfId="4739"/>
    <cellStyle name="60% - Accent4 2 2 2 5" xfId="5084"/>
    <cellStyle name="60% - Accent4 2 2 2 6" xfId="3983"/>
    <cellStyle name="60% - Accent4 2 2 3" xfId="2910"/>
    <cellStyle name="60% - Accent4 2 2 3 2" xfId="4846"/>
    <cellStyle name="60% - Accent4 2 2 3 3" xfId="5201"/>
    <cellStyle name="60% - Accent4 2 2 3 4" xfId="4191"/>
    <cellStyle name="60% - Accent4 2 2 4" xfId="1976"/>
    <cellStyle name="60% - Accent4 2 3" xfId="140"/>
    <cellStyle name="60% - Accent4 2 3 2" xfId="3509"/>
    <cellStyle name="60% - Accent4 2 3 3" xfId="2556"/>
    <cellStyle name="60% - Accent4 2 4" xfId="1631"/>
    <cellStyle name="60% - Accent4 2 4 2" xfId="3659"/>
    <cellStyle name="60% - Accent4 2 4 3" xfId="2661"/>
    <cellStyle name="60% - Accent4 2 5" xfId="627"/>
    <cellStyle name="60% - Accent4 2 5 2" xfId="3254"/>
    <cellStyle name="60% - Accent4 2 5 3" xfId="2310"/>
    <cellStyle name="60% - Accent4 2 5_CPI" xfId="5587"/>
    <cellStyle name="60% - Accent4 2 6" xfId="2909"/>
    <cellStyle name="60% - Accent4 2 6 2" xfId="4845"/>
    <cellStyle name="60% - Accent4 2 6 3" xfId="5200"/>
    <cellStyle name="60% - Accent4 2 6 4" xfId="4190"/>
    <cellStyle name="60% - Accent4 2 7" xfId="1975"/>
    <cellStyle name="60% - Accent4 3" xfId="628"/>
    <cellStyle name="60% - Accent4 3 2" xfId="3255"/>
    <cellStyle name="60% - Accent4 3 2 2" xfId="4939"/>
    <cellStyle name="60% - Accent4 3 2 3" xfId="5202"/>
    <cellStyle name="60% - Accent4 3 2 4" xfId="4192"/>
    <cellStyle name="60% - Accent4 3 2_CPI" xfId="5589"/>
    <cellStyle name="60% - Accent4 3 3" xfId="2311"/>
    <cellStyle name="60% - Accent4 3_CPI" xfId="5588"/>
    <cellStyle name="60% - Accent4 4" xfId="626"/>
    <cellStyle name="60% - Accent4 4 2" xfId="3253"/>
    <cellStyle name="60% - Accent4 4 3" xfId="2309"/>
    <cellStyle name="60% - Accent4 5" xfId="3067"/>
    <cellStyle name="60% - Accent4 6" xfId="2137"/>
    <cellStyle name="60% - Accent5" xfId="405" builtinId="48" customBuiltin="1"/>
    <cellStyle name="60% - Accent5 2" xfId="33"/>
    <cellStyle name="60% - Accent5 2 2" xfId="143"/>
    <cellStyle name="60% - Accent5 2 2 2" xfId="885"/>
    <cellStyle name="60% - Accent5 2 2 2 2" xfId="3400"/>
    <cellStyle name="60% - Accent5 2 2 2 3" xfId="2455"/>
    <cellStyle name="60% - Accent5 2 2 2 3 2" xfId="5419"/>
    <cellStyle name="60% - Accent5 2 2 2 3 3" xfId="4530"/>
    <cellStyle name="60% - Accent5 2 2 2 4" xfId="4740"/>
    <cellStyle name="60% - Accent5 2 2 2 5" xfId="5085"/>
    <cellStyle name="60% - Accent5 2 2 2 6" xfId="3984"/>
    <cellStyle name="60% - Accent5 2 2 3" xfId="2912"/>
    <cellStyle name="60% - Accent5 2 2 3 2" xfId="4848"/>
    <cellStyle name="60% - Accent5 2 2 3 3" xfId="5204"/>
    <cellStyle name="60% - Accent5 2 2 3 4" xfId="4194"/>
    <cellStyle name="60% - Accent5 2 2 4" xfId="1978"/>
    <cellStyle name="60% - Accent5 2 3" xfId="142"/>
    <cellStyle name="60% - Accent5 2 3 2" xfId="3510"/>
    <cellStyle name="60% - Accent5 2 3 3" xfId="2557"/>
    <cellStyle name="60% - Accent5 2 4" xfId="1632"/>
    <cellStyle name="60% - Accent5 2 4 2" xfId="3660"/>
    <cellStyle name="60% - Accent5 2 4 3" xfId="2662"/>
    <cellStyle name="60% - Accent5 2 5" xfId="630"/>
    <cellStyle name="60% - Accent5 2 5 2" xfId="3257"/>
    <cellStyle name="60% - Accent5 2 5 3" xfId="2313"/>
    <cellStyle name="60% - Accent5 2 5_CPI" xfId="5590"/>
    <cellStyle name="60% - Accent5 2 6" xfId="2911"/>
    <cellStyle name="60% - Accent5 2 6 2" xfId="4847"/>
    <cellStyle name="60% - Accent5 2 6 3" xfId="5203"/>
    <cellStyle name="60% - Accent5 2 6 4" xfId="4193"/>
    <cellStyle name="60% - Accent5 2 7" xfId="1977"/>
    <cellStyle name="60% - Accent5 3" xfId="631"/>
    <cellStyle name="60% - Accent5 3 2" xfId="3258"/>
    <cellStyle name="60% - Accent5 3 2 2" xfId="4940"/>
    <cellStyle name="60% - Accent5 3 2 3" xfId="5205"/>
    <cellStyle name="60% - Accent5 3 2 4" xfId="4195"/>
    <cellStyle name="60% - Accent5 3 2_CPI" xfId="5592"/>
    <cellStyle name="60% - Accent5 3 3" xfId="2314"/>
    <cellStyle name="60% - Accent5 3_CPI" xfId="5591"/>
    <cellStyle name="60% - Accent5 4" xfId="629"/>
    <cellStyle name="60% - Accent5 4 2" xfId="3256"/>
    <cellStyle name="60% - Accent5 4 3" xfId="2312"/>
    <cellStyle name="60% - Accent5 5" xfId="3071"/>
    <cellStyle name="60% - Accent5 6" xfId="2141"/>
    <cellStyle name="60% - Accent6" xfId="409" builtinId="52" customBuiltin="1"/>
    <cellStyle name="60% - Accent6 2" xfId="34"/>
    <cellStyle name="60% - Accent6 2 2" xfId="145"/>
    <cellStyle name="60% - Accent6 2 2 2" xfId="886"/>
    <cellStyle name="60% - Accent6 2 2 2 2" xfId="3401"/>
    <cellStyle name="60% - Accent6 2 2 2 3" xfId="2456"/>
    <cellStyle name="60% - Accent6 2 2 2 3 2" xfId="5420"/>
    <cellStyle name="60% - Accent6 2 2 2 3 3" xfId="4531"/>
    <cellStyle name="60% - Accent6 2 2 2 4" xfId="4741"/>
    <cellStyle name="60% - Accent6 2 2 2 5" xfId="5086"/>
    <cellStyle name="60% - Accent6 2 2 2 6" xfId="3985"/>
    <cellStyle name="60% - Accent6 2 2 3" xfId="2914"/>
    <cellStyle name="60% - Accent6 2 2 3 2" xfId="4850"/>
    <cellStyle name="60% - Accent6 2 2 3 3" xfId="5207"/>
    <cellStyle name="60% - Accent6 2 2 3 4" xfId="4197"/>
    <cellStyle name="60% - Accent6 2 2 4" xfId="1980"/>
    <cellStyle name="60% - Accent6 2 3" xfId="144"/>
    <cellStyle name="60% - Accent6 2 3 2" xfId="3511"/>
    <cellStyle name="60% - Accent6 2 3 3" xfId="2558"/>
    <cellStyle name="60% - Accent6 2 4" xfId="1633"/>
    <cellStyle name="60% - Accent6 2 4 2" xfId="3661"/>
    <cellStyle name="60% - Accent6 2 4 3" xfId="2663"/>
    <cellStyle name="60% - Accent6 2 5" xfId="633"/>
    <cellStyle name="60% - Accent6 2 5 2" xfId="3260"/>
    <cellStyle name="60% - Accent6 2 5 3" xfId="2316"/>
    <cellStyle name="60% - Accent6 2 5_CPI" xfId="5593"/>
    <cellStyle name="60% - Accent6 2 6" xfId="2913"/>
    <cellStyle name="60% - Accent6 2 6 2" xfId="4849"/>
    <cellStyle name="60% - Accent6 2 6 3" xfId="5206"/>
    <cellStyle name="60% - Accent6 2 6 4" xfId="4196"/>
    <cellStyle name="60% - Accent6 2 7" xfId="1979"/>
    <cellStyle name="60% - Accent6 3" xfId="634"/>
    <cellStyle name="60% - Accent6 3 2" xfId="3261"/>
    <cellStyle name="60% - Accent6 3 2 2" xfId="4941"/>
    <cellStyle name="60% - Accent6 3 2 3" xfId="5208"/>
    <cellStyle name="60% - Accent6 3 2 4" xfId="4198"/>
    <cellStyle name="60% - Accent6 3 2_CPI" xfId="5595"/>
    <cellStyle name="60% - Accent6 3 3" xfId="2317"/>
    <cellStyle name="60% - Accent6 3_CPI" xfId="5594"/>
    <cellStyle name="60% - Accent6 4" xfId="632"/>
    <cellStyle name="60% - Accent6 4 2" xfId="3259"/>
    <cellStyle name="60% - Accent6 4 3" xfId="2315"/>
    <cellStyle name="60% - Accent6 5" xfId="3075"/>
    <cellStyle name="60% - Accent6 6" xfId="2145"/>
    <cellStyle name="Accent1" xfId="386" builtinId="29" customBuiltin="1"/>
    <cellStyle name="Accent1 2" xfId="35"/>
    <cellStyle name="Accent1 2 2" xfId="147"/>
    <cellStyle name="Accent1 2 2 2" xfId="887"/>
    <cellStyle name="Accent1 2 2 2 2" xfId="3402"/>
    <cellStyle name="Accent1 2 2 2 3" xfId="2457"/>
    <cellStyle name="Accent1 2 2 2 3 2" xfId="5421"/>
    <cellStyle name="Accent1 2 2 2 3 3" xfId="4532"/>
    <cellStyle name="Accent1 2 2 2 4" xfId="4742"/>
    <cellStyle name="Accent1 2 2 2 5" xfId="5087"/>
    <cellStyle name="Accent1 2 2 2 6" xfId="3986"/>
    <cellStyle name="Accent1 2 2 3" xfId="2916"/>
    <cellStyle name="Accent1 2 2 3 2" xfId="4852"/>
    <cellStyle name="Accent1 2 2 3 3" xfId="5210"/>
    <cellStyle name="Accent1 2 2 3 4" xfId="4200"/>
    <cellStyle name="Accent1 2 2 4" xfId="1982"/>
    <cellStyle name="Accent1 2 3" xfId="146"/>
    <cellStyle name="Accent1 2 3 2" xfId="3512"/>
    <cellStyle name="Accent1 2 3 3" xfId="2559"/>
    <cellStyle name="Accent1 2 4" xfId="1634"/>
    <cellStyle name="Accent1 2 4 2" xfId="3662"/>
    <cellStyle name="Accent1 2 4 3" xfId="2664"/>
    <cellStyle name="Accent1 2 5" xfId="636"/>
    <cellStyle name="Accent1 2 5 2" xfId="3263"/>
    <cellStyle name="Accent1 2 5 3" xfId="2319"/>
    <cellStyle name="Accent1 2 5_CPI" xfId="5596"/>
    <cellStyle name="Accent1 2 6" xfId="2915"/>
    <cellStyle name="Accent1 2 6 2" xfId="4851"/>
    <cellStyle name="Accent1 2 6 3" xfId="5209"/>
    <cellStyle name="Accent1 2 6 4" xfId="4199"/>
    <cellStyle name="Accent1 2 7" xfId="1981"/>
    <cellStyle name="Accent1 3" xfId="637"/>
    <cellStyle name="Accent1 3 2" xfId="3264"/>
    <cellStyle name="Accent1 3 2 2" xfId="4942"/>
    <cellStyle name="Accent1 3 2 3" xfId="5211"/>
    <cellStyle name="Accent1 3 2 4" xfId="4201"/>
    <cellStyle name="Accent1 3 2_CPI" xfId="5598"/>
    <cellStyle name="Accent1 3 3" xfId="2320"/>
    <cellStyle name="Accent1 3_CPI" xfId="5597"/>
    <cellStyle name="Accent1 4" xfId="635"/>
    <cellStyle name="Accent1 4 2" xfId="3262"/>
    <cellStyle name="Accent1 4 3" xfId="2318"/>
    <cellStyle name="Accent1 5" xfId="3052"/>
    <cellStyle name="Accent1 6" xfId="2122"/>
    <cellStyle name="Accent2" xfId="390" builtinId="33" customBuiltin="1"/>
    <cellStyle name="Accent2 2" xfId="36"/>
    <cellStyle name="Accent2 2 2" xfId="149"/>
    <cellStyle name="Accent2 2 2 2" xfId="888"/>
    <cellStyle name="Accent2 2 2 2 2" xfId="3403"/>
    <cellStyle name="Accent2 2 2 2 3" xfId="2458"/>
    <cellStyle name="Accent2 2 2 2 3 2" xfId="5422"/>
    <cellStyle name="Accent2 2 2 2 3 3" xfId="4533"/>
    <cellStyle name="Accent2 2 2 2 4" xfId="4743"/>
    <cellStyle name="Accent2 2 2 2 5" xfId="5088"/>
    <cellStyle name="Accent2 2 2 2 6" xfId="3987"/>
    <cellStyle name="Accent2 2 2 3" xfId="2918"/>
    <cellStyle name="Accent2 2 2 3 2" xfId="4854"/>
    <cellStyle name="Accent2 2 2 3 3" xfId="5213"/>
    <cellStyle name="Accent2 2 2 3 4" xfId="4203"/>
    <cellStyle name="Accent2 2 2 4" xfId="1984"/>
    <cellStyle name="Accent2 2 3" xfId="148"/>
    <cellStyle name="Accent2 2 3 2" xfId="3513"/>
    <cellStyle name="Accent2 2 3 3" xfId="2560"/>
    <cellStyle name="Accent2 2 4" xfId="1635"/>
    <cellStyle name="Accent2 2 4 2" xfId="3663"/>
    <cellStyle name="Accent2 2 4 3" xfId="2665"/>
    <cellStyle name="Accent2 2 5" xfId="639"/>
    <cellStyle name="Accent2 2 5 2" xfId="3266"/>
    <cellStyle name="Accent2 2 5 3" xfId="2322"/>
    <cellStyle name="Accent2 2 5_CPI" xfId="5599"/>
    <cellStyle name="Accent2 2 6" xfId="2917"/>
    <cellStyle name="Accent2 2 6 2" xfId="4853"/>
    <cellStyle name="Accent2 2 6 3" xfId="5212"/>
    <cellStyle name="Accent2 2 6 4" xfId="4202"/>
    <cellStyle name="Accent2 2 7" xfId="1983"/>
    <cellStyle name="Accent2 3" xfId="640"/>
    <cellStyle name="Accent2 3 2" xfId="3267"/>
    <cellStyle name="Accent2 3 2 2" xfId="4943"/>
    <cellStyle name="Accent2 3 2 3" xfId="5214"/>
    <cellStyle name="Accent2 3 2 4" xfId="4204"/>
    <cellStyle name="Accent2 3 2_CPI" xfId="5601"/>
    <cellStyle name="Accent2 3 3" xfId="2323"/>
    <cellStyle name="Accent2 3_CPI" xfId="5600"/>
    <cellStyle name="Accent2 4" xfId="638"/>
    <cellStyle name="Accent2 4 2" xfId="3265"/>
    <cellStyle name="Accent2 4 3" xfId="2321"/>
    <cellStyle name="Accent2 5" xfId="3056"/>
    <cellStyle name="Accent2 6" xfId="2126"/>
    <cellStyle name="Accent3" xfId="394" builtinId="37" customBuiltin="1"/>
    <cellStyle name="Accent3 2" xfId="37"/>
    <cellStyle name="Accent3 2 2" xfId="151"/>
    <cellStyle name="Accent3 2 2 2" xfId="889"/>
    <cellStyle name="Accent3 2 2 2 2" xfId="3404"/>
    <cellStyle name="Accent3 2 2 2 3" xfId="2459"/>
    <cellStyle name="Accent3 2 2 2 3 2" xfId="5423"/>
    <cellStyle name="Accent3 2 2 2 3 3" xfId="4534"/>
    <cellStyle name="Accent3 2 2 2 4" xfId="4744"/>
    <cellStyle name="Accent3 2 2 2 5" xfId="5089"/>
    <cellStyle name="Accent3 2 2 2 6" xfId="3988"/>
    <cellStyle name="Accent3 2 2 3" xfId="2920"/>
    <cellStyle name="Accent3 2 2 3 2" xfId="4856"/>
    <cellStyle name="Accent3 2 2 3 3" xfId="5216"/>
    <cellStyle name="Accent3 2 2 3 4" xfId="4206"/>
    <cellStyle name="Accent3 2 2 4" xfId="1986"/>
    <cellStyle name="Accent3 2 3" xfId="150"/>
    <cellStyle name="Accent3 2 3 2" xfId="3514"/>
    <cellStyle name="Accent3 2 3 3" xfId="2561"/>
    <cellStyle name="Accent3 2 4" xfId="1636"/>
    <cellStyle name="Accent3 2 4 2" xfId="3664"/>
    <cellStyle name="Accent3 2 4 3" xfId="2666"/>
    <cellStyle name="Accent3 2 5" xfId="642"/>
    <cellStyle name="Accent3 2 5 2" xfId="3269"/>
    <cellStyle name="Accent3 2 5 3" xfId="2325"/>
    <cellStyle name="Accent3 2 5_CPI" xfId="5602"/>
    <cellStyle name="Accent3 2 6" xfId="2919"/>
    <cellStyle name="Accent3 2 6 2" xfId="4855"/>
    <cellStyle name="Accent3 2 6 3" xfId="5215"/>
    <cellStyle name="Accent3 2 6 4" xfId="4205"/>
    <cellStyle name="Accent3 2 7" xfId="1985"/>
    <cellStyle name="Accent3 3" xfId="643"/>
    <cellStyle name="Accent3 3 2" xfId="3270"/>
    <cellStyle name="Accent3 3 2 2" xfId="4944"/>
    <cellStyle name="Accent3 3 2 3" xfId="5217"/>
    <cellStyle name="Accent3 3 2 4" xfId="4207"/>
    <cellStyle name="Accent3 3 2_CPI" xfId="5604"/>
    <cellStyle name="Accent3 3 3" xfId="2326"/>
    <cellStyle name="Accent3 3_CPI" xfId="5603"/>
    <cellStyle name="Accent3 4" xfId="641"/>
    <cellStyle name="Accent3 4 2" xfId="3268"/>
    <cellStyle name="Accent3 4 3" xfId="2324"/>
    <cellStyle name="Accent3 5" xfId="3060"/>
    <cellStyle name="Accent3 6" xfId="2130"/>
    <cellStyle name="Accent4" xfId="398" builtinId="41" customBuiltin="1"/>
    <cellStyle name="Accent4 2" xfId="38"/>
    <cellStyle name="Accent4 2 2" xfId="153"/>
    <cellStyle name="Accent4 2 2 2" xfId="890"/>
    <cellStyle name="Accent4 2 2 2 2" xfId="3405"/>
    <cellStyle name="Accent4 2 2 2 3" xfId="2460"/>
    <cellStyle name="Accent4 2 2 2 3 2" xfId="5424"/>
    <cellStyle name="Accent4 2 2 2 3 3" xfId="4535"/>
    <cellStyle name="Accent4 2 2 2 4" xfId="4745"/>
    <cellStyle name="Accent4 2 2 2 5" xfId="5090"/>
    <cellStyle name="Accent4 2 2 2 6" xfId="3989"/>
    <cellStyle name="Accent4 2 2 3" xfId="2922"/>
    <cellStyle name="Accent4 2 2 3 2" xfId="4858"/>
    <cellStyle name="Accent4 2 2 3 3" xfId="5219"/>
    <cellStyle name="Accent4 2 2 3 4" xfId="4209"/>
    <cellStyle name="Accent4 2 2 4" xfId="1988"/>
    <cellStyle name="Accent4 2 3" xfId="152"/>
    <cellStyle name="Accent4 2 3 2" xfId="3515"/>
    <cellStyle name="Accent4 2 3 3" xfId="2562"/>
    <cellStyle name="Accent4 2 4" xfId="1637"/>
    <cellStyle name="Accent4 2 4 2" xfId="3665"/>
    <cellStyle name="Accent4 2 4 3" xfId="2667"/>
    <cellStyle name="Accent4 2 5" xfId="645"/>
    <cellStyle name="Accent4 2 5 2" xfId="3272"/>
    <cellStyle name="Accent4 2 5 3" xfId="2328"/>
    <cellStyle name="Accent4 2 5_CPI" xfId="5605"/>
    <cellStyle name="Accent4 2 6" xfId="2921"/>
    <cellStyle name="Accent4 2 6 2" xfId="4857"/>
    <cellStyle name="Accent4 2 6 3" xfId="5218"/>
    <cellStyle name="Accent4 2 6 4" xfId="4208"/>
    <cellStyle name="Accent4 2 7" xfId="1987"/>
    <cellStyle name="Accent4 3" xfId="646"/>
    <cellStyle name="Accent4 3 2" xfId="3273"/>
    <cellStyle name="Accent4 3 2 2" xfId="4945"/>
    <cellStyle name="Accent4 3 2 3" xfId="5220"/>
    <cellStyle name="Accent4 3 2 4" xfId="4210"/>
    <cellStyle name="Accent4 3 2_CPI" xfId="5607"/>
    <cellStyle name="Accent4 3 3" xfId="2329"/>
    <cellStyle name="Accent4 3_CPI" xfId="5606"/>
    <cellStyle name="Accent4 4" xfId="644"/>
    <cellStyle name="Accent4 4 2" xfId="3271"/>
    <cellStyle name="Accent4 4 3" xfId="2327"/>
    <cellStyle name="Accent4 5" xfId="3064"/>
    <cellStyle name="Accent4 6" xfId="2134"/>
    <cellStyle name="Accent5" xfId="402" builtinId="45" customBuiltin="1"/>
    <cellStyle name="Accent5 2" xfId="39"/>
    <cellStyle name="Accent5 2 2" xfId="155"/>
    <cellStyle name="Accent5 2 2 2" xfId="891"/>
    <cellStyle name="Accent5 2 2 2 2" xfId="3406"/>
    <cellStyle name="Accent5 2 2 2 3" xfId="2461"/>
    <cellStyle name="Accent5 2 2 2 3 2" xfId="5425"/>
    <cellStyle name="Accent5 2 2 2 3 3" xfId="4536"/>
    <cellStyle name="Accent5 2 2 2 4" xfId="4746"/>
    <cellStyle name="Accent5 2 2 2 5" xfId="5091"/>
    <cellStyle name="Accent5 2 2 2 6" xfId="3990"/>
    <cellStyle name="Accent5 2 2 3" xfId="2924"/>
    <cellStyle name="Accent5 2 2 3 2" xfId="4859"/>
    <cellStyle name="Accent5 2 2 3 3" xfId="5221"/>
    <cellStyle name="Accent5 2 2 3 4" xfId="4211"/>
    <cellStyle name="Accent5 2 2 4" xfId="1990"/>
    <cellStyle name="Accent5 2 3" xfId="154"/>
    <cellStyle name="Accent5 2 3 2" xfId="3516"/>
    <cellStyle name="Accent5 2 3 3" xfId="2563"/>
    <cellStyle name="Accent5 2 4" xfId="1638"/>
    <cellStyle name="Accent5 2 4 2" xfId="3666"/>
    <cellStyle name="Accent5 2 4 3" xfId="2668"/>
    <cellStyle name="Accent5 2 5" xfId="648"/>
    <cellStyle name="Accent5 2 5 2" xfId="3275"/>
    <cellStyle name="Accent5 2 5 3" xfId="2331"/>
    <cellStyle name="Accent5 2 5_CPI" xfId="5608"/>
    <cellStyle name="Accent5 2 6" xfId="2923"/>
    <cellStyle name="Accent5 2 7" xfId="1989"/>
    <cellStyle name="Accent5 3" xfId="647"/>
    <cellStyle name="Accent5 3 2" xfId="3274"/>
    <cellStyle name="Accent5 3 2 2" xfId="4946"/>
    <cellStyle name="Accent5 3 2 3" xfId="5222"/>
    <cellStyle name="Accent5 3 2 4" xfId="4212"/>
    <cellStyle name="Accent5 3 3" xfId="2330"/>
    <cellStyle name="Accent5 4" xfId="3068"/>
    <cellStyle name="Accent5 5" xfId="2138"/>
    <cellStyle name="Accent6" xfId="406" builtinId="49" customBuiltin="1"/>
    <cellStyle name="Accent6 2" xfId="40"/>
    <cellStyle name="Accent6 2 2" xfId="157"/>
    <cellStyle name="Accent6 2 2 2" xfId="892"/>
    <cellStyle name="Accent6 2 2 2 2" xfId="3407"/>
    <cellStyle name="Accent6 2 2 2 3" xfId="2462"/>
    <cellStyle name="Accent6 2 2 2 3 2" xfId="5426"/>
    <cellStyle name="Accent6 2 2 2 3 3" xfId="4537"/>
    <cellStyle name="Accent6 2 2 2 4" xfId="4747"/>
    <cellStyle name="Accent6 2 2 2 5" xfId="5092"/>
    <cellStyle name="Accent6 2 2 2 6" xfId="3991"/>
    <cellStyle name="Accent6 2 2 3" xfId="2926"/>
    <cellStyle name="Accent6 2 2 3 2" xfId="4861"/>
    <cellStyle name="Accent6 2 2 3 3" xfId="5224"/>
    <cellStyle name="Accent6 2 2 3 4" xfId="4214"/>
    <cellStyle name="Accent6 2 2 4" xfId="1992"/>
    <cellStyle name="Accent6 2 3" xfId="156"/>
    <cellStyle name="Accent6 2 3 2" xfId="3517"/>
    <cellStyle name="Accent6 2 3 3" xfId="2564"/>
    <cellStyle name="Accent6 2 4" xfId="1639"/>
    <cellStyle name="Accent6 2 4 2" xfId="3667"/>
    <cellStyle name="Accent6 2 4 3" xfId="2669"/>
    <cellStyle name="Accent6 2 5" xfId="650"/>
    <cellStyle name="Accent6 2 5 2" xfId="3277"/>
    <cellStyle name="Accent6 2 5 3" xfId="2333"/>
    <cellStyle name="Accent6 2 5_CPI" xfId="5609"/>
    <cellStyle name="Accent6 2 6" xfId="2925"/>
    <cellStyle name="Accent6 2 6 2" xfId="4860"/>
    <cellStyle name="Accent6 2 6 3" xfId="5223"/>
    <cellStyle name="Accent6 2 6 4" xfId="4213"/>
    <cellStyle name="Accent6 2 7" xfId="1991"/>
    <cellStyle name="Accent6 3" xfId="651"/>
    <cellStyle name="Accent6 3 2" xfId="3278"/>
    <cellStyle name="Accent6 3 2 2" xfId="4947"/>
    <cellStyle name="Accent6 3 2 3" xfId="5225"/>
    <cellStyle name="Accent6 3 2 4" xfId="4215"/>
    <cellStyle name="Accent6 3 2_CPI" xfId="5611"/>
    <cellStyle name="Accent6 3 3" xfId="2334"/>
    <cellStyle name="Accent6 3_CPI" xfId="5610"/>
    <cellStyle name="Accent6 4" xfId="649"/>
    <cellStyle name="Accent6 4 2" xfId="3276"/>
    <cellStyle name="Accent6 4 3" xfId="2332"/>
    <cellStyle name="Accent6 5" xfId="3072"/>
    <cellStyle name="Accent6 6" xfId="2142"/>
    <cellStyle name="Alignment - Nuku" xfId="3622"/>
    <cellStyle name="annee semestre" xfId="158"/>
    <cellStyle name="annee semestre 2" xfId="1042"/>
    <cellStyle name="annee semestre 2 2" xfId="1807"/>
    <cellStyle name="annee semestre 2 2 2" xfId="3782"/>
    <cellStyle name="annee semestre 2 2 2 2" xfId="5031"/>
    <cellStyle name="annee semestre 2 2 3" xfId="2777"/>
    <cellStyle name="annee semestre 2 2 3 2" xfId="5330"/>
    <cellStyle name="annee semestre 2 2 3_CPI" xfId="5612"/>
    <cellStyle name="annee semestre 2 2 4" xfId="5022"/>
    <cellStyle name="annee semestre 2 3" xfId="3492"/>
    <cellStyle name="annee semestre 2 3 2" xfId="4659"/>
    <cellStyle name="annee semestre 2 4" xfId="2539"/>
    <cellStyle name="annee semestre 2 4 2" xfId="5328"/>
    <cellStyle name="annee semestre 2 4_CPI" xfId="5613"/>
    <cellStyle name="annee semestre 2 5" xfId="4781"/>
    <cellStyle name="annee semestre 3" xfId="1841"/>
    <cellStyle name="annee semestre 3 2" xfId="3816"/>
    <cellStyle name="annee semestre 3 2 2" xfId="5032"/>
    <cellStyle name="annee semestre 3 3" xfId="2811"/>
    <cellStyle name="annee semestre 3 3 2" xfId="5331"/>
    <cellStyle name="annee semestre 3 3_CPI" xfId="5614"/>
    <cellStyle name="annee semestre 3 4" xfId="5023"/>
    <cellStyle name="annee semestre 4" xfId="2927"/>
    <cellStyle name="annee semestre 4 2" xfId="4660"/>
    <cellStyle name="annee semestre 5" xfId="1993"/>
    <cellStyle name="annee semestre 5 2" xfId="5321"/>
    <cellStyle name="annee semestre 5_CPI" xfId="5615"/>
    <cellStyle name="annee semestre 6" xfId="4678"/>
    <cellStyle name="Bad" xfId="376" builtinId="27" customBuiltin="1"/>
    <cellStyle name="Bad 2" xfId="41"/>
    <cellStyle name="Bad 2 2" xfId="160"/>
    <cellStyle name="Bad 2 2 2" xfId="893"/>
    <cellStyle name="Bad 2 2 2 2" xfId="3408"/>
    <cellStyle name="Bad 2 2 2 3" xfId="2463"/>
    <cellStyle name="Bad 2 2 2 3 2" xfId="5427"/>
    <cellStyle name="Bad 2 2 2 3 3" xfId="4538"/>
    <cellStyle name="Bad 2 2 2 4" xfId="4748"/>
    <cellStyle name="Bad 2 2 2 5" xfId="5093"/>
    <cellStyle name="Bad 2 2 2 6" xfId="3992"/>
    <cellStyle name="Bad 2 2 3" xfId="2929"/>
    <cellStyle name="Bad 2 2 3 2" xfId="4863"/>
    <cellStyle name="Bad 2 2 3 3" xfId="5227"/>
    <cellStyle name="Bad 2 2 3 4" xfId="4217"/>
    <cellStyle name="Bad 2 2 4" xfId="1995"/>
    <cellStyle name="Bad 2 3" xfId="159"/>
    <cellStyle name="Bad 2 3 2" xfId="3518"/>
    <cellStyle name="Bad 2 3 3" xfId="2565"/>
    <cellStyle name="Bad 2 4" xfId="1640"/>
    <cellStyle name="Bad 2 4 2" xfId="3668"/>
    <cellStyle name="Bad 2 4 3" xfId="2670"/>
    <cellStyle name="Bad 2 5" xfId="653"/>
    <cellStyle name="Bad 2 5 2" xfId="3280"/>
    <cellStyle name="Bad 2 5 3" xfId="2336"/>
    <cellStyle name="Bad 2 5_CPI" xfId="5616"/>
    <cellStyle name="Bad 2 6" xfId="2928"/>
    <cellStyle name="Bad 2 6 2" xfId="4862"/>
    <cellStyle name="Bad 2 6 3" xfId="5226"/>
    <cellStyle name="Bad 2 6 4" xfId="4216"/>
    <cellStyle name="Bad 2 7" xfId="1994"/>
    <cellStyle name="Bad 3" xfId="654"/>
    <cellStyle name="Bad 3 2" xfId="3281"/>
    <cellStyle name="Bad 3 2 2" xfId="4948"/>
    <cellStyle name="Bad 3 2 3" xfId="5228"/>
    <cellStyle name="Bad 3 2 4" xfId="4218"/>
    <cellStyle name="Bad 3 2_CPI" xfId="5618"/>
    <cellStyle name="Bad 3 3" xfId="2337"/>
    <cellStyle name="Bad 3_CPI" xfId="5617"/>
    <cellStyle name="Bad 4" xfId="652"/>
    <cellStyle name="Bad 4 2" xfId="3279"/>
    <cellStyle name="Bad 4 3" xfId="2335"/>
    <cellStyle name="Bad 5" xfId="3041"/>
    <cellStyle name="Bad 6" xfId="2111"/>
    <cellStyle name="Blank" xfId="3579"/>
    <cellStyle name="Blue" xfId="4219"/>
    <cellStyle name="Blue 2" xfId="4220"/>
    <cellStyle name="Blue 2 2" xfId="4221"/>
    <cellStyle name="Blue 3" xfId="4222"/>
    <cellStyle name="Blue 3 2" xfId="4223"/>
    <cellStyle name="Bulletin" xfId="161"/>
    <cellStyle name="Calculation" xfId="379" builtinId="22" customBuiltin="1"/>
    <cellStyle name="Calculation 2" xfId="42"/>
    <cellStyle name="Calculation 2 2" xfId="163"/>
    <cellStyle name="Calculation 2 2 2" xfId="1673"/>
    <cellStyle name="Calculation 2 2 2 2" xfId="1847"/>
    <cellStyle name="Calculation 2 2 2 2 2" xfId="3822"/>
    <cellStyle name="Calculation 2 2 2 2 3" xfId="2817"/>
    <cellStyle name="Calculation 2 2 2 3" xfId="1799"/>
    <cellStyle name="Calculation 2 2 2 3 2" xfId="3774"/>
    <cellStyle name="Calculation 2 2 2 3 3" xfId="2769"/>
    <cellStyle name="Calculation 2 2 2 4" xfId="3698"/>
    <cellStyle name="Calculation 2 2 2 5" xfId="2699"/>
    <cellStyle name="Calculation 2 2 3" xfId="1801"/>
    <cellStyle name="Calculation 2 2 3 2" xfId="3776"/>
    <cellStyle name="Calculation 2 2 3 2 2" xfId="4628"/>
    <cellStyle name="Calculation 2 2 3 3" xfId="2771"/>
    <cellStyle name="Calculation 2 2 3 3 2" xfId="5477"/>
    <cellStyle name="Calculation 2 2 3 3 3" xfId="4539"/>
    <cellStyle name="Calculation 2 2 3 4" xfId="4483"/>
    <cellStyle name="Calculation 2 2 3 5" xfId="4802"/>
    <cellStyle name="Calculation 2 2 3 6" xfId="5094"/>
    <cellStyle name="Calculation 2 2 3 7" xfId="3993"/>
    <cellStyle name="Calculation 2 2 4" xfId="1803"/>
    <cellStyle name="Calculation 2 2 4 2" xfId="3778"/>
    <cellStyle name="Calculation 2 2 4 3" xfId="2773"/>
    <cellStyle name="Calculation 2 2 5" xfId="894"/>
    <cellStyle name="Calculation 2 2 5 2" xfId="3409"/>
    <cellStyle name="Calculation 2 2 5 3" xfId="2464"/>
    <cellStyle name="Calculation 2 2 6" xfId="2931"/>
    <cellStyle name="Calculation 2 2 6 2" xfId="4865"/>
    <cellStyle name="Calculation 2 2 6 3" xfId="5230"/>
    <cellStyle name="Calculation 2 2 6 4" xfId="4225"/>
    <cellStyle name="Calculation 2 2 7" xfId="1997"/>
    <cellStyle name="Calculation 2 2 7 2" xfId="5357"/>
    <cellStyle name="Calculation 2 2 7 3" xfId="4466"/>
    <cellStyle name="Calculation 2 2 8" xfId="4473"/>
    <cellStyle name="Calculation 2 2 9" xfId="4669"/>
    <cellStyle name="Calculation 2 3" xfId="162"/>
    <cellStyle name="Calculation 2 3 2" xfId="1678"/>
    <cellStyle name="Calculation 2 3 2 2" xfId="1851"/>
    <cellStyle name="Calculation 2 3 2 2 2" xfId="3826"/>
    <cellStyle name="Calculation 2 3 2 2 3" xfId="2821"/>
    <cellStyle name="Calculation 2 3 2 3" xfId="1838"/>
    <cellStyle name="Calculation 2 3 2 3 2" xfId="3813"/>
    <cellStyle name="Calculation 2 3 2 3 3" xfId="2808"/>
    <cellStyle name="Calculation 2 3 2 4" xfId="3703"/>
    <cellStyle name="Calculation 2 3 2 5" xfId="2704"/>
    <cellStyle name="Calculation 2 3 3" xfId="1811"/>
    <cellStyle name="Calculation 2 3 3 2" xfId="3786"/>
    <cellStyle name="Calculation 2 3 3 3" xfId="2781"/>
    <cellStyle name="Calculation 2 3 4" xfId="1829"/>
    <cellStyle name="Calculation 2 3 4 2" xfId="3804"/>
    <cellStyle name="Calculation 2 3 4 3" xfId="2799"/>
    <cellStyle name="Calculation 2 3 5" xfId="3519"/>
    <cellStyle name="Calculation 2 3 6" xfId="2566"/>
    <cellStyle name="Calculation 2 4" xfId="1060"/>
    <cellStyle name="Calculation 2 4 2" xfId="1683"/>
    <cellStyle name="Calculation 2 4 2 2" xfId="1855"/>
    <cellStyle name="Calculation 2 4 2 2 2" xfId="3830"/>
    <cellStyle name="Calculation 2 4 2 2 3" xfId="2825"/>
    <cellStyle name="Calculation 2 4 2 3" xfId="1774"/>
    <cellStyle name="Calculation 2 4 2 3 2" xfId="3750"/>
    <cellStyle name="Calculation 2 4 2 3 3" xfId="2745"/>
    <cellStyle name="Calculation 2 4 2 4" xfId="3708"/>
    <cellStyle name="Calculation 2 4 2 5" xfId="2709"/>
    <cellStyle name="Calculation 2 4 3" xfId="1817"/>
    <cellStyle name="Calculation 2 4 3 2" xfId="3792"/>
    <cellStyle name="Calculation 2 4 3 3" xfId="2787"/>
    <cellStyle name="Calculation 2 4 4" xfId="1786"/>
    <cellStyle name="Calculation 2 4 4 2" xfId="3762"/>
    <cellStyle name="Calculation 2 4 4 3" xfId="2757"/>
    <cellStyle name="Calculation 2 4 5" xfId="3530"/>
    <cellStyle name="Calculation 2 4 6" xfId="2577"/>
    <cellStyle name="Calculation 2 5" xfId="1641"/>
    <cellStyle name="Calculation 2 5 2" xfId="1840"/>
    <cellStyle name="Calculation 2 5 2 2" xfId="3815"/>
    <cellStyle name="Calculation 2 5 2 3" xfId="2810"/>
    <cellStyle name="Calculation 2 5 3" xfId="1781"/>
    <cellStyle name="Calculation 2 5 3 2" xfId="3757"/>
    <cellStyle name="Calculation 2 5 3 3" xfId="2752"/>
    <cellStyle name="Calculation 2 5 4" xfId="3669"/>
    <cellStyle name="Calculation 2 5 5" xfId="2671"/>
    <cellStyle name="Calculation 2 6" xfId="656"/>
    <cellStyle name="Calculation 2 6 2" xfId="3283"/>
    <cellStyle name="Calculation 2 6 3" xfId="2339"/>
    <cellStyle name="Calculation 2 6_CPI" xfId="5619"/>
    <cellStyle name="Calculation 2 7" xfId="2930"/>
    <cellStyle name="Calculation 2 7 2" xfId="4633"/>
    <cellStyle name="Calculation 2 7 3" xfId="4864"/>
    <cellStyle name="Calculation 2 7 4" xfId="5229"/>
    <cellStyle name="Calculation 2 7 5" xfId="4224"/>
    <cellStyle name="Calculation 2 8" xfId="1996"/>
    <cellStyle name="Calculation 3" xfId="657"/>
    <cellStyle name="Calculation 3 2" xfId="3284"/>
    <cellStyle name="Calculation 3 2 2" xfId="4949"/>
    <cellStyle name="Calculation 3 2 3" xfId="5231"/>
    <cellStyle name="Calculation 3 2 4" xfId="4226"/>
    <cellStyle name="Calculation 3 2_CPI" xfId="5621"/>
    <cellStyle name="Calculation 3 3" xfId="2340"/>
    <cellStyle name="Calculation 3_CPI" xfId="5620"/>
    <cellStyle name="Calculation 4" xfId="655"/>
    <cellStyle name="Calculation 4 2" xfId="1106"/>
    <cellStyle name="Calculation 4 2 2" xfId="1822"/>
    <cellStyle name="Calculation 4 2 2 2" xfId="3797"/>
    <cellStyle name="Calculation 4 2 2 3" xfId="2792"/>
    <cellStyle name="Calculation 4 2 3" xfId="1833"/>
    <cellStyle name="Calculation 4 2 3 2" xfId="3808"/>
    <cellStyle name="Calculation 4 2 3 3" xfId="2803"/>
    <cellStyle name="Calculation 4 2 4" xfId="3542"/>
    <cellStyle name="Calculation 4 2 5" xfId="2589"/>
    <cellStyle name="Calculation 4 3" xfId="1782"/>
    <cellStyle name="Calculation 4 3 2" xfId="3758"/>
    <cellStyle name="Calculation 4 3 3" xfId="2753"/>
    <cellStyle name="Calculation 4 4" xfId="1827"/>
    <cellStyle name="Calculation 4 4 2" xfId="3802"/>
    <cellStyle name="Calculation 4 4 3" xfId="2797"/>
    <cellStyle name="Calculation 4 5" xfId="3282"/>
    <cellStyle name="Calculation 4 6" xfId="2338"/>
    <cellStyle name="Calculation 5" xfId="3045"/>
    <cellStyle name="Calculation 6" xfId="2115"/>
    <cellStyle name="cc0 -CalComma" xfId="658"/>
    <cellStyle name="cc0 -CalComma 2" xfId="659"/>
    <cellStyle name="cc1 -CalComma" xfId="660"/>
    <cellStyle name="cc1 -CalComma 2" xfId="661"/>
    <cellStyle name="cc2 -CalComma" xfId="662"/>
    <cellStyle name="cc2 -CalComma 2" xfId="663"/>
    <cellStyle name="cc3 -CalComma" xfId="664"/>
    <cellStyle name="cc3 -CalComma 2" xfId="665"/>
    <cellStyle name="cc4 -CalComma" xfId="666"/>
    <cellStyle name="cc4 -CalComma 2" xfId="667"/>
    <cellStyle name="cdDMMY -CalDate" xfId="668"/>
    <cellStyle name="cdDMMY -CalDate 2" xfId="669"/>
    <cellStyle name="cdDMMYHM -CalDateTime" xfId="670"/>
    <cellStyle name="cdDMMYHM -CalDateTime 2" xfId="671"/>
    <cellStyle name="cdDMY -CalDate" xfId="672"/>
    <cellStyle name="cdDMY -CalDate 2" xfId="673"/>
    <cellStyle name="cdMDY -CalDate" xfId="674"/>
    <cellStyle name="cdMDY -CalDate 2" xfId="675"/>
    <cellStyle name="cdMMY -CalDate" xfId="676"/>
    <cellStyle name="cdMMY -CalDate 2" xfId="677"/>
    <cellStyle name="cdMMYc-CalDateC" xfId="678"/>
    <cellStyle name="cdMMYc-CalDateC 2" xfId="679"/>
    <cellStyle name="cf0 -CalFixed" xfId="680"/>
    <cellStyle name="cf0 -CalFixed 2" xfId="681"/>
    <cellStyle name="Check Cell" xfId="381" builtinId="23" customBuiltin="1"/>
    <cellStyle name="Check Cell 2" xfId="43"/>
    <cellStyle name="Check Cell 2 2" xfId="165"/>
    <cellStyle name="Check Cell 2 2 2" xfId="895"/>
    <cellStyle name="Check Cell 2 2 2 2" xfId="3410"/>
    <cellStyle name="Check Cell 2 2 2 3" xfId="2465"/>
    <cellStyle name="Check Cell 2 2 2 3 2" xfId="5428"/>
    <cellStyle name="Check Cell 2 2 2 3 3" xfId="4540"/>
    <cellStyle name="Check Cell 2 2 2 4" xfId="4749"/>
    <cellStyle name="Check Cell 2 2 2 5" xfId="5095"/>
    <cellStyle name="Check Cell 2 2 2 6" xfId="3994"/>
    <cellStyle name="Check Cell 2 2 3" xfId="2933"/>
    <cellStyle name="Check Cell 2 2 3 2" xfId="4866"/>
    <cellStyle name="Check Cell 2 2 3 3" xfId="5232"/>
    <cellStyle name="Check Cell 2 2 3 4" xfId="4227"/>
    <cellStyle name="Check Cell 2 2 4" xfId="1999"/>
    <cellStyle name="Check Cell 2 3" xfId="164"/>
    <cellStyle name="Check Cell 2 3 2" xfId="3520"/>
    <cellStyle name="Check Cell 2 3 3" xfId="2567"/>
    <cellStyle name="Check Cell 2 4" xfId="1642"/>
    <cellStyle name="Check Cell 2 4 2" xfId="3670"/>
    <cellStyle name="Check Cell 2 4 3" xfId="2672"/>
    <cellStyle name="Check Cell 2 5" xfId="683"/>
    <cellStyle name="Check Cell 2 5 2" xfId="3286"/>
    <cellStyle name="Check Cell 2 5 3" xfId="2342"/>
    <cellStyle name="Check Cell 2 5_CPI" xfId="5622"/>
    <cellStyle name="Check Cell 2 6" xfId="2932"/>
    <cellStyle name="Check Cell 2 7" xfId="1998"/>
    <cellStyle name="Check Cell 3" xfId="682"/>
    <cellStyle name="Check Cell 3 2" xfId="3285"/>
    <cellStyle name="Check Cell 3 2 2" xfId="4950"/>
    <cellStyle name="Check Cell 3 2 3" xfId="5233"/>
    <cellStyle name="Check Cell 3 2 4" xfId="4228"/>
    <cellStyle name="Check Cell 3 3" xfId="2341"/>
    <cellStyle name="Check Cell 4" xfId="3047"/>
    <cellStyle name="Check Cell 5" xfId="2117"/>
    <cellStyle name="cmHM  -CalTime" xfId="684"/>
    <cellStyle name="cmHM  -CalTime 2" xfId="685"/>
    <cellStyle name="cmHM24+ -CalTime" xfId="686"/>
    <cellStyle name="cmHM24+ -CalTime 2" xfId="687"/>
    <cellStyle name="Column Grey" xfId="4229"/>
    <cellStyle name="Column Grey 2" xfId="4230"/>
    <cellStyle name="Column Grey 2 2" xfId="4231"/>
    <cellStyle name="Column Grey 3" xfId="4232"/>
    <cellStyle name="Column Grey 3 2" xfId="4233"/>
    <cellStyle name="ComaNoBrda" xfId="6"/>
    <cellStyle name="Comma" xfId="367" builtinId="3"/>
    <cellStyle name="Comma - ntj" xfId="3624"/>
    <cellStyle name="Comma - ntj 2" xfId="3619"/>
    <cellStyle name="Comma - nuku" xfId="3614"/>
    <cellStyle name="Comma [0] - ntj" xfId="3467"/>
    <cellStyle name="Comma [0] - nuku" xfId="3621"/>
    <cellStyle name="Comma [0] 2" xfId="921"/>
    <cellStyle name="Comma [0] 2 2" xfId="962"/>
    <cellStyle name="Comma [0] 2 2 2" xfId="1094"/>
    <cellStyle name="Comma [0] 2 2 2 2" xfId="1688"/>
    <cellStyle name="Comma [0] 2 2 3" xfId="1103"/>
    <cellStyle name="Comma [0] 2 3" xfId="3082"/>
    <cellStyle name="Comma [0] 3" xfId="3617"/>
    <cellStyle name="Comma [0] 4" xfId="3616"/>
    <cellStyle name="Comma [0] 5" xfId="3575"/>
    <cellStyle name="Comma [0] 6" xfId="3573"/>
    <cellStyle name="Comma [0] 7" xfId="3572"/>
    <cellStyle name="Comma [0] 8" xfId="3570"/>
    <cellStyle name="Comma [0] 9" xfId="3571"/>
    <cellStyle name="Comma [1]" xfId="922"/>
    <cellStyle name="Comma [2]" xfId="923"/>
    <cellStyle name="Comma [3]" xfId="963"/>
    <cellStyle name="Comma [3] 2" xfId="1095"/>
    <cellStyle name="Comma [3] 2 2" xfId="1689"/>
    <cellStyle name="Comma [3] 3" xfId="1096"/>
    <cellStyle name="Comma [4]" xfId="924"/>
    <cellStyle name="Comma 10" xfId="532"/>
    <cellStyle name="Comma 10 10" xfId="1547"/>
    <cellStyle name="Comma 10 11" xfId="1861"/>
    <cellStyle name="Comma 10 12" xfId="689"/>
    <cellStyle name="Comma 10 13" xfId="572"/>
    <cellStyle name="Comma 10 14" xfId="4691"/>
    <cellStyle name="Comma 10 2" xfId="1107"/>
    <cellStyle name="Comma 10 3" xfId="1156"/>
    <cellStyle name="Comma 10 4" xfId="1187"/>
    <cellStyle name="Comma 10 5" xfId="1228"/>
    <cellStyle name="Comma 10 6" xfId="1304"/>
    <cellStyle name="Comma 10 7" xfId="1344"/>
    <cellStyle name="Comma 10 8" xfId="1404"/>
    <cellStyle name="Comma 10 9" xfId="1475"/>
    <cellStyle name="Comma 100" xfId="1533"/>
    <cellStyle name="Comma 101" xfId="1534"/>
    <cellStyle name="Comma 102" xfId="1535"/>
    <cellStyle name="Comma 103" xfId="1536"/>
    <cellStyle name="Comma 104" xfId="1537"/>
    <cellStyle name="Comma 105" xfId="1538"/>
    <cellStyle name="Comma 106" xfId="1539"/>
    <cellStyle name="Comma 107" xfId="1546"/>
    <cellStyle name="Comma 108" xfId="1577"/>
    <cellStyle name="Comma 109" xfId="1586"/>
    <cellStyle name="Comma 11" xfId="578"/>
    <cellStyle name="Comma 11 2" xfId="849"/>
    <cellStyle name="Comma 11 3" xfId="4080"/>
    <cellStyle name="Comma 110" xfId="1591"/>
    <cellStyle name="Comma 111" xfId="1593"/>
    <cellStyle name="Comma 112" xfId="1594"/>
    <cellStyle name="Comma 113" xfId="1596"/>
    <cellStyle name="Comma 114" xfId="1597"/>
    <cellStyle name="Comma 115" xfId="1598"/>
    <cellStyle name="Comma 116" xfId="1599"/>
    <cellStyle name="Comma 117" xfId="1600"/>
    <cellStyle name="Comma 118" xfId="1601"/>
    <cellStyle name="Comma 119" xfId="1545"/>
    <cellStyle name="Comma 12" xfId="850"/>
    <cellStyle name="Comma 12 2" xfId="3574"/>
    <cellStyle name="Comma 120" xfId="1590"/>
    <cellStyle name="Comma 121" xfId="1602"/>
    <cellStyle name="Comma 122" xfId="1603"/>
    <cellStyle name="Comma 123" xfId="1604"/>
    <cellStyle name="Comma 124" xfId="1614"/>
    <cellStyle name="Comma 125" xfId="1662"/>
    <cellStyle name="Comma 126" xfId="1667"/>
    <cellStyle name="Comma 127" xfId="1694"/>
    <cellStyle name="Comma 127 2" xfId="3613"/>
    <cellStyle name="Comma 128" xfId="1699"/>
    <cellStyle name="Comma 128 2" xfId="1767"/>
    <cellStyle name="Comma 128 3" xfId="3900"/>
    <cellStyle name="Comma 128 4" xfId="4092"/>
    <cellStyle name="Comma 128 4 2" xfId="4611"/>
    <cellStyle name="Comma 129" xfId="1697"/>
    <cellStyle name="Comma 129 2" xfId="1765"/>
    <cellStyle name="Comma 129 3" xfId="3898"/>
    <cellStyle name="Comma 129 4" xfId="4090"/>
    <cellStyle name="Comma 129 4 2" xfId="4609"/>
    <cellStyle name="Comma 13" xfId="851"/>
    <cellStyle name="Comma 13 2" xfId="3569"/>
    <cellStyle name="Comma 130" xfId="1698"/>
    <cellStyle name="Comma 130 2" xfId="1766"/>
    <cellStyle name="Comma 130 3" xfId="3899"/>
    <cellStyle name="Comma 130 4" xfId="4091"/>
    <cellStyle name="Comma 130 4 2" xfId="4610"/>
    <cellStyle name="Comma 131" xfId="1709"/>
    <cellStyle name="Comma 132" xfId="1708"/>
    <cellStyle name="Comma 133" xfId="1712"/>
    <cellStyle name="Comma 134" xfId="1710"/>
    <cellStyle name="Comma 135" xfId="1713"/>
    <cellStyle name="Comma 136" xfId="1722"/>
    <cellStyle name="Comma 137" xfId="1719"/>
    <cellStyle name="Comma 138" xfId="1720"/>
    <cellStyle name="Comma 139" xfId="1718"/>
    <cellStyle name="Comma 14" xfId="860"/>
    <cellStyle name="Comma 140" xfId="1721"/>
    <cellStyle name="Comma 141" xfId="1717"/>
    <cellStyle name="Comma 142" xfId="1723"/>
    <cellStyle name="Comma 143" xfId="1716"/>
    <cellStyle name="Comma 144" xfId="1724"/>
    <cellStyle name="Comma 145" xfId="1715"/>
    <cellStyle name="Comma 146" xfId="1725"/>
    <cellStyle name="Comma 147" xfId="1714"/>
    <cellStyle name="Comma 148" xfId="1726"/>
    <cellStyle name="Comma 149" xfId="580"/>
    <cellStyle name="Comma 149 2" xfId="1860"/>
    <cellStyle name="Comma 149 3" xfId="3905"/>
    <cellStyle name="Comma 149 4" xfId="4099"/>
    <cellStyle name="Comma 149 4 2" xfId="4618"/>
    <cellStyle name="Comma 149 5" xfId="4088"/>
    <cellStyle name="Comma 15" xfId="896"/>
    <cellStyle name="Comma 15 2" xfId="1278"/>
    <cellStyle name="Comma 15 3" xfId="1143"/>
    <cellStyle name="Comma 150" xfId="581"/>
    <cellStyle name="Comma 151" xfId="1758"/>
    <cellStyle name="Comma 152" xfId="579"/>
    <cellStyle name="Comma 152 2" xfId="3926"/>
    <cellStyle name="Comma 153" xfId="569"/>
    <cellStyle name="Comma 153 2" xfId="3927"/>
    <cellStyle name="Comma 154" xfId="1902"/>
    <cellStyle name="Comma 154 2" xfId="3925"/>
    <cellStyle name="Comma 154 2 2" xfId="5518"/>
    <cellStyle name="Comma 154 2 3" xfId="4815"/>
    <cellStyle name="Comma 154 3" xfId="3914"/>
    <cellStyle name="Comma 155" xfId="1904"/>
    <cellStyle name="Comma 155 2" xfId="3915"/>
    <cellStyle name="Comma 155 2 2" xfId="5517"/>
    <cellStyle name="Comma 155 2 3" xfId="4816"/>
    <cellStyle name="Comma 155 3" xfId="5040"/>
    <cellStyle name="Comma 156" xfId="418"/>
    <cellStyle name="Comma 157" xfId="3847"/>
    <cellStyle name="Comma 158" xfId="1905"/>
    <cellStyle name="Comma 158 2" xfId="5011"/>
    <cellStyle name="Comma 158 3" xfId="5041"/>
    <cellStyle name="Comma 159" xfId="3860"/>
    <cellStyle name="Comma 159 2" xfId="5014"/>
    <cellStyle name="Comma 159 3" xfId="5042"/>
    <cellStyle name="Comma 16" xfId="1019"/>
    <cellStyle name="Comma 16 2" xfId="1280"/>
    <cellStyle name="Comma 160" xfId="3919"/>
    <cellStyle name="Comma 161" xfId="3920"/>
    <cellStyle name="Comma 162" xfId="3917"/>
    <cellStyle name="Comma 163" xfId="3918"/>
    <cellStyle name="Comma 164" xfId="3921"/>
    <cellStyle name="Comma 165" xfId="3923"/>
    <cellStyle name="Comma 166" xfId="3922"/>
    <cellStyle name="Comma 167" xfId="3924"/>
    <cellStyle name="Comma 168" xfId="3938"/>
    <cellStyle name="Comma 169" xfId="3941"/>
    <cellStyle name="Comma 17" xfId="1029"/>
    <cellStyle name="Comma 17 2" xfId="1155"/>
    <cellStyle name="Comma 17 3" xfId="4071"/>
    <cellStyle name="Comma 17 3 2" xfId="4600"/>
    <cellStyle name="Comma 170" xfId="3995"/>
    <cellStyle name="Comma 171" xfId="4030"/>
    <cellStyle name="Comma 172" xfId="4051"/>
    <cellStyle name="Comma 173" xfId="4048"/>
    <cellStyle name="Comma 174" xfId="4082"/>
    <cellStyle name="Comma 175" xfId="4010"/>
    <cellStyle name="Comma 176" xfId="4055"/>
    <cellStyle name="Comma 177" xfId="4067"/>
    <cellStyle name="Comma 178" xfId="4079"/>
    <cellStyle name="Comma 179" xfId="4053"/>
    <cellStyle name="Comma 18" xfId="1032"/>
    <cellStyle name="Comma 18 2" xfId="1166"/>
    <cellStyle name="Comma 18 3" xfId="4049"/>
    <cellStyle name="Comma 18 3 2" xfId="4591"/>
    <cellStyle name="Comma 180" xfId="4069"/>
    <cellStyle name="Comma 181" xfId="4060"/>
    <cellStyle name="Comma 182" xfId="4054"/>
    <cellStyle name="Comma 183" xfId="4063"/>
    <cellStyle name="Comma 184" xfId="3980"/>
    <cellStyle name="Comma 185" xfId="4066"/>
    <cellStyle name="Comma 186" xfId="4056"/>
    <cellStyle name="Comma 187" xfId="4070"/>
    <cellStyle name="Comma 188" xfId="4077"/>
    <cellStyle name="Comma 189" xfId="4007"/>
    <cellStyle name="Comma 19" xfId="1064"/>
    <cellStyle name="Comma 19 2" xfId="1173"/>
    <cellStyle name="Comma 19 3" xfId="4075"/>
    <cellStyle name="Comma 19 3 2" xfId="4603"/>
    <cellStyle name="Comma 190" xfId="4087"/>
    <cellStyle name="Comma 191" xfId="4086"/>
    <cellStyle name="Comma 192" xfId="4110"/>
    <cellStyle name="Comma 193" xfId="4111"/>
    <cellStyle name="Comma 194" xfId="4109"/>
    <cellStyle name="Comma 195" xfId="4112"/>
    <cellStyle name="Comma 196" xfId="3868"/>
    <cellStyle name="Comma 2" xfId="11"/>
    <cellStyle name="Comma 2 10" xfId="573"/>
    <cellStyle name="Comma 2 10 2" xfId="1020"/>
    <cellStyle name="Comma 2 10 3" xfId="3206"/>
    <cellStyle name="Comma 2 10 4" xfId="2262"/>
    <cellStyle name="Comma 2 11" xfId="1035"/>
    <cellStyle name="Comma 2 11 2" xfId="1305"/>
    <cellStyle name="Comma 2 11 3" xfId="3486"/>
    <cellStyle name="Comma 2 11 4" xfId="2533"/>
    <cellStyle name="Comma 2 12" xfId="1068"/>
    <cellStyle name="Comma 2 12 2" xfId="1345"/>
    <cellStyle name="Comma 2 13" xfId="1081"/>
    <cellStyle name="Comma 2 13 2" xfId="1405"/>
    <cellStyle name="Comma 2 14" xfId="1476"/>
    <cellStyle name="Comma 2 15" xfId="1548"/>
    <cellStyle name="Comma 2 16" xfId="1862"/>
    <cellStyle name="Comma 2 17" xfId="534"/>
    <cellStyle name="Comma 2 18" xfId="2934"/>
    <cellStyle name="Comma 2 19" xfId="3842"/>
    <cellStyle name="Comma 2 2" xfId="167"/>
    <cellStyle name="Comma 2 2 10" xfId="1549"/>
    <cellStyle name="Comma 2 2 11" xfId="1863"/>
    <cellStyle name="Comma 2 2 12" xfId="4234"/>
    <cellStyle name="Comma 2 2 2" xfId="168"/>
    <cellStyle name="Comma 2 2 2 10" xfId="1550"/>
    <cellStyle name="Comma 2 2 2 11" xfId="1864"/>
    <cellStyle name="Comma 2 2 2 2" xfId="169"/>
    <cellStyle name="Comma 2 2 2 2 10" xfId="1865"/>
    <cellStyle name="Comma 2 2 2 2 11" xfId="690"/>
    <cellStyle name="Comma 2 2 2 2 11 2" xfId="4107"/>
    <cellStyle name="Comma 2 2 2 2 11 3" xfId="4541"/>
    <cellStyle name="Comma 2 2 2 2 11 4" xfId="5096"/>
    <cellStyle name="Comma 2 2 2 2 11 5" xfId="3996"/>
    <cellStyle name="Comma 2 2 2 2 2" xfId="1158"/>
    <cellStyle name="Comma 2 2 2 2 3" xfId="1189"/>
    <cellStyle name="Comma 2 2 2 2 4" xfId="1240"/>
    <cellStyle name="Comma 2 2 2 2 5" xfId="1307"/>
    <cellStyle name="Comma 2 2 2 2 6" xfId="1348"/>
    <cellStyle name="Comma 2 2 2 2 7" xfId="1408"/>
    <cellStyle name="Comma 2 2 2 2 8" xfId="1479"/>
    <cellStyle name="Comma 2 2 2 2 9" xfId="1551"/>
    <cellStyle name="Comma 2 2 2 3" xfId="541"/>
    <cellStyle name="Comma 2 2 2 4" xfId="1188"/>
    <cellStyle name="Comma 2 2 2 5" xfId="1239"/>
    <cellStyle name="Comma 2 2 2 6" xfId="1306"/>
    <cellStyle name="Comma 2 2 2 7" xfId="1347"/>
    <cellStyle name="Comma 2 2 2 8" xfId="1407"/>
    <cellStyle name="Comma 2 2 2 9" xfId="1478"/>
    <cellStyle name="Comma 2 2 3" xfId="170"/>
    <cellStyle name="Comma 2 2 4" xfId="542"/>
    <cellStyle name="Comma 2 2 5" xfId="1069"/>
    <cellStyle name="Comma 2 2 6" xfId="1082"/>
    <cellStyle name="Comma 2 2 7" xfId="1346"/>
    <cellStyle name="Comma 2 2 8" xfId="1406"/>
    <cellStyle name="Comma 2 2 9" xfId="1477"/>
    <cellStyle name="Comma 2 2_output data 08 to 10" xfId="171"/>
    <cellStyle name="Comma 2 20" xfId="2000"/>
    <cellStyle name="Comma 2 21" xfId="415"/>
    <cellStyle name="Comma 2 3" xfId="172"/>
    <cellStyle name="Comma 2 3 10" xfId="1866"/>
    <cellStyle name="Comma 2 3 2" xfId="173"/>
    <cellStyle name="Comma 2 3 2 2" xfId="174"/>
    <cellStyle name="Comma 2 3 3" xfId="175"/>
    <cellStyle name="Comma 2 3 4" xfId="540"/>
    <cellStyle name="Comma 2 3 5" xfId="1308"/>
    <cellStyle name="Comma 2 3 6" xfId="1349"/>
    <cellStyle name="Comma 2 3 7" xfId="1409"/>
    <cellStyle name="Comma 2 3 8" xfId="1480"/>
    <cellStyle name="Comma 2 3 9" xfId="1552"/>
    <cellStyle name="Comma 2 4" xfId="176"/>
    <cellStyle name="Comma 2 4 10" xfId="1867"/>
    <cellStyle name="Comma 2 4 11" xfId="3373"/>
    <cellStyle name="Comma 2 4 2" xfId="177"/>
    <cellStyle name="Comma 2 4 3" xfId="539"/>
    <cellStyle name="Comma 2 4 4" xfId="1241"/>
    <cellStyle name="Comma 2 4 5" xfId="1309"/>
    <cellStyle name="Comma 2 4 6" xfId="1350"/>
    <cellStyle name="Comma 2 4 7" xfId="1410"/>
    <cellStyle name="Comma 2 4 8" xfId="1481"/>
    <cellStyle name="Comma 2 4 9" xfId="1553"/>
    <cellStyle name="Comma 2 5" xfId="178"/>
    <cellStyle name="Comma 2 5 10" xfId="1868"/>
    <cellStyle name="Comma 2 5 2" xfId="179"/>
    <cellStyle name="Comma 2 5 3" xfId="538"/>
    <cellStyle name="Comma 2 5 4" xfId="1242"/>
    <cellStyle name="Comma 2 5 5" xfId="1310"/>
    <cellStyle name="Comma 2 5 6" xfId="1351"/>
    <cellStyle name="Comma 2 5 7" xfId="1411"/>
    <cellStyle name="Comma 2 5 8" xfId="1482"/>
    <cellStyle name="Comma 2 5 9" xfId="1554"/>
    <cellStyle name="Comma 2 6" xfId="180"/>
    <cellStyle name="Comma 2 6 10" xfId="1869"/>
    <cellStyle name="Comma 2 6 2" xfId="181"/>
    <cellStyle name="Comma 2 6 3" xfId="543"/>
    <cellStyle name="Comma 2 6 4" xfId="1243"/>
    <cellStyle name="Comma 2 6 5" xfId="1311"/>
    <cellStyle name="Comma 2 6 6" xfId="1352"/>
    <cellStyle name="Comma 2 6 7" xfId="1412"/>
    <cellStyle name="Comma 2 6 8" xfId="1483"/>
    <cellStyle name="Comma 2 6 9" xfId="1555"/>
    <cellStyle name="Comma 2 7" xfId="166"/>
    <cellStyle name="Comma 2 7 2" xfId="691"/>
    <cellStyle name="Comma 2 7 3" xfId="3193"/>
    <cellStyle name="Comma 2 7 4" xfId="2249"/>
    <cellStyle name="Comma 2 8" xfId="575"/>
    <cellStyle name="Comma 2 8 2" xfId="1108"/>
    <cellStyle name="Comma 2 8 3" xfId="854"/>
    <cellStyle name="Comma 2 8 4" xfId="3207"/>
    <cellStyle name="Comma 2 8 5" xfId="2263"/>
    <cellStyle name="Comma 2 9" xfId="576"/>
    <cellStyle name="Comma 2 9 2" xfId="1157"/>
    <cellStyle name="Comma 2 9 3" xfId="3208"/>
    <cellStyle name="Comma 2 9 4" xfId="2264"/>
    <cellStyle name="Comma 2_C03" xfId="182"/>
    <cellStyle name="Comma 20" xfId="1067"/>
    <cellStyle name="Comma 21" xfId="1080"/>
    <cellStyle name="Comma 22" xfId="1176"/>
    <cellStyle name="Comma 23" xfId="1177"/>
    <cellStyle name="Comma 24" xfId="1178"/>
    <cellStyle name="Comma 25" xfId="1179"/>
    <cellStyle name="Comma 26" xfId="1180"/>
    <cellStyle name="Comma 27" xfId="1154"/>
    <cellStyle name="Comma 28" xfId="1186"/>
    <cellStyle name="Comma 28 2" xfId="1282"/>
    <cellStyle name="Comma 29" xfId="1206"/>
    <cellStyle name="Comma 29 2" xfId="1285"/>
    <cellStyle name="Comma 3" xfId="44"/>
    <cellStyle name="Comma 3 10" xfId="1083"/>
    <cellStyle name="Comma 3 10 2" xfId="1312"/>
    <cellStyle name="Comma 3 11" xfId="1353"/>
    <cellStyle name="Comma 3 12" xfId="1413"/>
    <cellStyle name="Comma 3 13" xfId="1484"/>
    <cellStyle name="Comma 3 14" xfId="1556"/>
    <cellStyle name="Comma 3 15" xfId="1643"/>
    <cellStyle name="Comma 3 16" xfId="1870"/>
    <cellStyle name="Comma 3 17" xfId="3634"/>
    <cellStyle name="Comma 3 2" xfId="183"/>
    <cellStyle name="Comma 3 2 10" xfId="1557"/>
    <cellStyle name="Comma 3 2 11" xfId="1871"/>
    <cellStyle name="Comma 3 2 12" xfId="3586"/>
    <cellStyle name="Comma 3 2 12 2" xfId="4972"/>
    <cellStyle name="Comma 3 2 12 3" xfId="5234"/>
    <cellStyle name="Comma 3 2 12 4" xfId="4235"/>
    <cellStyle name="Comma 3 2 2" xfId="184"/>
    <cellStyle name="Comma 3 2 2 2" xfId="185"/>
    <cellStyle name="Comma 3 2 2 2 10" xfId="1872"/>
    <cellStyle name="Comma 3 2 2 2 2" xfId="1160"/>
    <cellStyle name="Comma 3 2 2 2 3" xfId="1191"/>
    <cellStyle name="Comma 3 2 2 2 4" xfId="1244"/>
    <cellStyle name="Comma 3 2 2 2 5" xfId="1314"/>
    <cellStyle name="Comma 3 2 2 2 6" xfId="1355"/>
    <cellStyle name="Comma 3 2 2 2 7" xfId="1415"/>
    <cellStyle name="Comma 3 2 2 2 8" xfId="1486"/>
    <cellStyle name="Comma 3 2 2 2 9" xfId="1558"/>
    <cellStyle name="Comma 3 2 3" xfId="186"/>
    <cellStyle name="Comma 3 2 3 10" xfId="1873"/>
    <cellStyle name="Comma 3 2 3 11" xfId="692"/>
    <cellStyle name="Comma 3 2 3 11 2" xfId="4061"/>
    <cellStyle name="Comma 3 2 3 11 3" xfId="4542"/>
    <cellStyle name="Comma 3 2 3 11 4" xfId="5097"/>
    <cellStyle name="Comma 3 2 3 11 5" xfId="3997"/>
    <cellStyle name="Comma 3 2 3 2" xfId="1161"/>
    <cellStyle name="Comma 3 2 3 3" xfId="1192"/>
    <cellStyle name="Comma 3 2 3 4" xfId="1245"/>
    <cellStyle name="Comma 3 2 3 5" xfId="1315"/>
    <cellStyle name="Comma 3 2 3 6" xfId="1356"/>
    <cellStyle name="Comma 3 2 3 7" xfId="1416"/>
    <cellStyle name="Comma 3 2 3 8" xfId="1487"/>
    <cellStyle name="Comma 3 2 3 9" xfId="1559"/>
    <cellStyle name="Comma 3 2 4" xfId="545"/>
    <cellStyle name="Comma 3 2 4 2" xfId="1159"/>
    <cellStyle name="Comma 3 2 4 3" xfId="853"/>
    <cellStyle name="Comma 3 2 5" xfId="1022"/>
    <cellStyle name="Comma 3 2 6" xfId="1071"/>
    <cellStyle name="Comma 3 2 6 2" xfId="1313"/>
    <cellStyle name="Comma 3 2 7" xfId="1084"/>
    <cellStyle name="Comma 3 2 7 2" xfId="1354"/>
    <cellStyle name="Comma 3 2 8" xfId="1414"/>
    <cellStyle name="Comma 3 2 9" xfId="1485"/>
    <cellStyle name="Comma 3 3" xfId="187"/>
    <cellStyle name="Comma 3 3 10" xfId="1874"/>
    <cellStyle name="Comma 3 3 2" xfId="188"/>
    <cellStyle name="Comma 3 3 2 2" xfId="189"/>
    <cellStyle name="Comma 3 3 3" xfId="190"/>
    <cellStyle name="Comma 3 3 4" xfId="546"/>
    <cellStyle name="Comma 3 3 5" xfId="1316"/>
    <cellStyle name="Comma 3 3 6" xfId="1357"/>
    <cellStyle name="Comma 3 3 7" xfId="1417"/>
    <cellStyle name="Comma 3 3 8" xfId="1488"/>
    <cellStyle name="Comma 3 3 9" xfId="1560"/>
    <cellStyle name="Comma 3 4" xfId="191"/>
    <cellStyle name="Comma 3 4 10" xfId="1875"/>
    <cellStyle name="Comma 3 4 2" xfId="192"/>
    <cellStyle name="Comma 3 4 2 2" xfId="193"/>
    <cellStyle name="Comma 3 4 3" xfId="194"/>
    <cellStyle name="Comma 3 4 4" xfId="547"/>
    <cellStyle name="Comma 3 4 5" xfId="1317"/>
    <cellStyle name="Comma 3 4 6" xfId="1358"/>
    <cellStyle name="Comma 3 4 7" xfId="1418"/>
    <cellStyle name="Comma 3 4 8" xfId="1489"/>
    <cellStyle name="Comma 3 4 9" xfId="1561"/>
    <cellStyle name="Comma 3 5" xfId="195"/>
    <cellStyle name="Comma 3 5 10" xfId="1876"/>
    <cellStyle name="Comma 3 5 2" xfId="196"/>
    <cellStyle name="Comma 3 5 2 2" xfId="197"/>
    <cellStyle name="Comma 3 5 3" xfId="198"/>
    <cellStyle name="Comma 3 5 4" xfId="548"/>
    <cellStyle name="Comma 3 5 5" xfId="1318"/>
    <cellStyle name="Comma 3 5 6" xfId="1359"/>
    <cellStyle name="Comma 3 5 7" xfId="1419"/>
    <cellStyle name="Comma 3 5 8" xfId="1490"/>
    <cellStyle name="Comma 3 5 9" xfId="1562"/>
    <cellStyle name="Comma 3 6" xfId="199"/>
    <cellStyle name="Comma 3 6 2" xfId="200"/>
    <cellStyle name="Comma 3 7" xfId="544"/>
    <cellStyle name="Comma 3 7 2" xfId="1109"/>
    <cellStyle name="Comma 3 8" xfId="1021"/>
    <cellStyle name="Comma 3 9" xfId="1070"/>
    <cellStyle name="Comma 3 9 2" xfId="1190"/>
    <cellStyle name="Comma 3_CPI" xfId="352"/>
    <cellStyle name="Comma 30" xfId="1214"/>
    <cellStyle name="Comma 30 2" xfId="1290"/>
    <cellStyle name="Comma 31" xfId="1205"/>
    <cellStyle name="Comma 31 2" xfId="1284"/>
    <cellStyle name="Comma 32" xfId="1213"/>
    <cellStyle name="Comma 32 2" xfId="1289"/>
    <cellStyle name="Comma 33" xfId="1236"/>
    <cellStyle name="Comma 34" xfId="1204"/>
    <cellStyle name="Comma 35" xfId="1233"/>
    <cellStyle name="Comma 36" xfId="1222"/>
    <cellStyle name="Comma 37" xfId="1181"/>
    <cellStyle name="Comma 38" xfId="1219"/>
    <cellStyle name="Comma 39" xfId="1293"/>
    <cellStyle name="Comma 4" xfId="201"/>
    <cellStyle name="Comma 4 10" xfId="1085"/>
    <cellStyle name="Comma 4 2" xfId="202"/>
    <cellStyle name="Comma 4 2 10" xfId="1877"/>
    <cellStyle name="Comma 4 2 11" xfId="3615"/>
    <cellStyle name="Comma 4 2 2" xfId="549"/>
    <cellStyle name="Comma 4 2 3" xfId="1023"/>
    <cellStyle name="Comma 4 2 4" xfId="1073"/>
    <cellStyle name="Comma 4 2 5" xfId="1086"/>
    <cellStyle name="Comma 4 2 6" xfId="1360"/>
    <cellStyle name="Comma 4 2 7" xfId="1420"/>
    <cellStyle name="Comma 4 2 8" xfId="1491"/>
    <cellStyle name="Comma 4 2 9" xfId="1563"/>
    <cellStyle name="Comma 4 3" xfId="857"/>
    <cellStyle name="Comma 4 4" xfId="203"/>
    <cellStyle name="Comma 4 4 10" xfId="1878"/>
    <cellStyle name="Comma 4 4 2" xfId="550"/>
    <cellStyle name="Comma 4 4 3" xfId="1193"/>
    <cellStyle name="Comma 4 4 4" xfId="1246"/>
    <cellStyle name="Comma 4 4 5" xfId="1319"/>
    <cellStyle name="Comma 4 4 6" xfId="1361"/>
    <cellStyle name="Comma 4 4 7" xfId="1421"/>
    <cellStyle name="Comma 4 4 8" xfId="1492"/>
    <cellStyle name="Comma 4 4 9" xfId="1564"/>
    <cellStyle name="Comma 4 5" xfId="204"/>
    <cellStyle name="Comma 4 5 10" xfId="1879"/>
    <cellStyle name="Comma 4 5 2" xfId="551"/>
    <cellStyle name="Comma 4 5 3" xfId="1194"/>
    <cellStyle name="Comma 4 5 4" xfId="1247"/>
    <cellStyle name="Comma 4 5 5" xfId="1320"/>
    <cellStyle name="Comma 4 5 6" xfId="1362"/>
    <cellStyle name="Comma 4 5 7" xfId="1422"/>
    <cellStyle name="Comma 4 5 8" xfId="1493"/>
    <cellStyle name="Comma 4 5 9" xfId="1565"/>
    <cellStyle name="Comma 4 6" xfId="205"/>
    <cellStyle name="Comma 4 6 10" xfId="1880"/>
    <cellStyle name="Comma 4 6 2" xfId="552"/>
    <cellStyle name="Comma 4 6 3" xfId="1195"/>
    <cellStyle name="Comma 4 6 4" xfId="1248"/>
    <cellStyle name="Comma 4 6 5" xfId="1321"/>
    <cellStyle name="Comma 4 6 6" xfId="1363"/>
    <cellStyle name="Comma 4 6 7" xfId="1423"/>
    <cellStyle name="Comma 4 6 8" xfId="1494"/>
    <cellStyle name="Comma 4 6 9" xfId="1566"/>
    <cellStyle name="Comma 4 7" xfId="206"/>
    <cellStyle name="Comma 4 7 10" xfId="1881"/>
    <cellStyle name="Comma 4 7 2" xfId="553"/>
    <cellStyle name="Comma 4 7 3" xfId="1196"/>
    <cellStyle name="Comma 4 7 4" xfId="1249"/>
    <cellStyle name="Comma 4 7 5" xfId="1322"/>
    <cellStyle name="Comma 4 7 6" xfId="1364"/>
    <cellStyle name="Comma 4 7 7" xfId="1424"/>
    <cellStyle name="Comma 4 7 8" xfId="1495"/>
    <cellStyle name="Comma 4 7 9" xfId="1567"/>
    <cellStyle name="Comma 4 8" xfId="207"/>
    <cellStyle name="Comma 4 8 10" xfId="1882"/>
    <cellStyle name="Comma 4 8 2" xfId="554"/>
    <cellStyle name="Comma 4 8 3" xfId="1197"/>
    <cellStyle name="Comma 4 8 4" xfId="1250"/>
    <cellStyle name="Comma 4 8 5" xfId="1323"/>
    <cellStyle name="Comma 4 8 6" xfId="1365"/>
    <cellStyle name="Comma 4 8 7" xfId="1425"/>
    <cellStyle name="Comma 4 8 8" xfId="1496"/>
    <cellStyle name="Comma 4 8 9" xfId="1568"/>
    <cellStyle name="Comma 4 9" xfId="1072"/>
    <cellStyle name="Comma 4_RB GDP fcast Fig 2.5" xfId="208"/>
    <cellStyle name="Comma 40" xfId="1207"/>
    <cellStyle name="Comma 41" xfId="1183"/>
    <cellStyle name="Comma 42" xfId="1218"/>
    <cellStyle name="Comma 43" xfId="1226"/>
    <cellStyle name="Comma 44" xfId="1297"/>
    <cellStyle name="Comma 45" xfId="1203"/>
    <cellStyle name="Comma 46" xfId="1283"/>
    <cellStyle name="Comma 47" xfId="1294"/>
    <cellStyle name="Comma 48" xfId="1303"/>
    <cellStyle name="Comma 49" xfId="1332"/>
    <cellStyle name="Comma 5" xfId="209"/>
    <cellStyle name="Comma 5 2" xfId="210"/>
    <cellStyle name="Comma 5 2 10" xfId="1883"/>
    <cellStyle name="Comma 5 2 11" xfId="4236"/>
    <cellStyle name="Comma 5 2 2" xfId="211"/>
    <cellStyle name="Comma 5 2 3" xfId="1075"/>
    <cellStyle name="Comma 5 2 4" xfId="1088"/>
    <cellStyle name="Comma 5 2 5" xfId="1324"/>
    <cellStyle name="Comma 5 2 6" xfId="1366"/>
    <cellStyle name="Comma 5 2 7" xfId="1426"/>
    <cellStyle name="Comma 5 2 8" xfId="1497"/>
    <cellStyle name="Comma 5 2 9" xfId="1569"/>
    <cellStyle name="Comma 5 3" xfId="212"/>
    <cellStyle name="Comma 5 3 10" xfId="1884"/>
    <cellStyle name="Comma 5 3 2" xfId="1162"/>
    <cellStyle name="Comma 5 3 3" xfId="1198"/>
    <cellStyle name="Comma 5 3 4" xfId="1252"/>
    <cellStyle name="Comma 5 3 5" xfId="1325"/>
    <cellStyle name="Comma 5 3 6" xfId="1367"/>
    <cellStyle name="Comma 5 3 7" xfId="1427"/>
    <cellStyle name="Comma 5 3 8" xfId="1498"/>
    <cellStyle name="Comma 5 3 9" xfId="1570"/>
    <cellStyle name="Comma 5 4" xfId="555"/>
    <cellStyle name="Comma 5 4 2" xfId="1251"/>
    <cellStyle name="Comma 5 5" xfId="1074"/>
    <cellStyle name="Comma 5 6" xfId="1087"/>
    <cellStyle name="Comma 5 7" xfId="693"/>
    <cellStyle name="Comma 5 8" xfId="3620"/>
    <cellStyle name="Comma 50" xfId="1337"/>
    <cellStyle name="Comma 51" xfId="1338"/>
    <cellStyle name="Comma 52" xfId="1302"/>
    <cellStyle name="Comma 53" xfId="1343"/>
    <cellStyle name="Comma 54" xfId="1375"/>
    <cellStyle name="Comma 55" xfId="1386"/>
    <cellStyle name="Comma 56" xfId="1392"/>
    <cellStyle name="Comma 57" xfId="1393"/>
    <cellStyle name="Comma 58" xfId="1394"/>
    <cellStyle name="Comma 59" xfId="1395"/>
    <cellStyle name="Comma 6" xfId="213"/>
    <cellStyle name="Comma 6 2" xfId="214"/>
    <cellStyle name="Comma 6 2 10" xfId="1885"/>
    <cellStyle name="Comma 6 2 2" xfId="215"/>
    <cellStyle name="Comma 6 2 3" xfId="1077"/>
    <cellStyle name="Comma 6 2 4" xfId="1090"/>
    <cellStyle name="Comma 6 2 5" xfId="1326"/>
    <cellStyle name="Comma 6 2 6" xfId="1368"/>
    <cellStyle name="Comma 6 2 7" xfId="1428"/>
    <cellStyle name="Comma 6 2 8" xfId="1499"/>
    <cellStyle name="Comma 6 2 9" xfId="1571"/>
    <cellStyle name="Comma 6 3" xfId="556"/>
    <cellStyle name="Comma 6 4" xfId="1076"/>
    <cellStyle name="Comma 6 4 2" xfId="1759"/>
    <cellStyle name="Comma 6 4 3" xfId="3896"/>
    <cellStyle name="Comma 6 4 4" xfId="4068"/>
    <cellStyle name="Comma 6 4 4 2" xfId="4598"/>
    <cellStyle name="Comma 6 5" xfId="1089"/>
    <cellStyle name="Comma 6 5 2" xfId="1756"/>
    <cellStyle name="Comma 6 5 3" xfId="3897"/>
    <cellStyle name="Comma 6 5 4" xfId="4062"/>
    <cellStyle name="Comma 6 5 4 2" xfId="4597"/>
    <cellStyle name="Comma 6 6" xfId="3607"/>
    <cellStyle name="Comma 60" xfId="1374"/>
    <cellStyle name="Comma 61" xfId="1384"/>
    <cellStyle name="Comma 62" xfId="1397"/>
    <cellStyle name="Comma 63" xfId="1398"/>
    <cellStyle name="Comma 64" xfId="1399"/>
    <cellStyle name="Comma 65" xfId="1400"/>
    <cellStyle name="Comma 66" xfId="1401"/>
    <cellStyle name="Comma 67" xfId="1342"/>
    <cellStyle name="Comma 68" xfId="1396"/>
    <cellStyle name="Comma 69" xfId="1403"/>
    <cellStyle name="Comma 7" xfId="368"/>
    <cellStyle name="Comma 7 10" xfId="1886"/>
    <cellStyle name="Comma 7 11" xfId="694"/>
    <cellStyle name="Comma 7 12" xfId="4046"/>
    <cellStyle name="Comma 7 2" xfId="855"/>
    <cellStyle name="Comma 7 2 2" xfId="1163"/>
    <cellStyle name="Comma 7 3" xfId="1078"/>
    <cellStyle name="Comma 7 3 2" xfId="1199"/>
    <cellStyle name="Comma 7 4" xfId="1091"/>
    <cellStyle name="Comma 7 4 2" xfId="1253"/>
    <cellStyle name="Comma 7 5" xfId="1327"/>
    <cellStyle name="Comma 7 6" xfId="1369"/>
    <cellStyle name="Comma 7 7" xfId="1429"/>
    <cellStyle name="Comma 7 8" xfId="1500"/>
    <cellStyle name="Comma 7 9" xfId="1572"/>
    <cellStyle name="Comma 70" xfId="1434"/>
    <cellStyle name="Comma 71" xfId="1446"/>
    <cellStyle name="Comma 72" xfId="1455"/>
    <cellStyle name="Comma 73" xfId="1456"/>
    <cellStyle name="Comma 74" xfId="1457"/>
    <cellStyle name="Comma 75" xfId="1458"/>
    <cellStyle name="Comma 76" xfId="1459"/>
    <cellStyle name="Comma 77" xfId="1460"/>
    <cellStyle name="Comma 78" xfId="1461"/>
    <cellStyle name="Comma 79" xfId="1462"/>
    <cellStyle name="Comma 8" xfId="369"/>
    <cellStyle name="Comma 8 2" xfId="688"/>
    <cellStyle name="Comma 8 2 2" xfId="3079"/>
    <cellStyle name="Comma 8 3" xfId="574"/>
    <cellStyle name="Comma 8 4" xfId="4687"/>
    <cellStyle name="Comma 8 5" xfId="434"/>
    <cellStyle name="Comma 80" xfId="1463"/>
    <cellStyle name="Comma 81" xfId="1464"/>
    <cellStyle name="Comma 82" xfId="1465"/>
    <cellStyle name="Comma 83" xfId="1466"/>
    <cellStyle name="Comma 84" xfId="1467"/>
    <cellStyle name="Comma 85" xfId="1468"/>
    <cellStyle name="Comma 86" xfId="1469"/>
    <cellStyle name="Comma 87" xfId="1470"/>
    <cellStyle name="Comma 88" xfId="1474"/>
    <cellStyle name="Comma 89" xfId="1505"/>
    <cellStyle name="Comma 9" xfId="499"/>
    <cellStyle name="Comma 9 2" xfId="1270"/>
    <cellStyle name="Comma 9 3" xfId="848"/>
    <cellStyle name="Comma 9 4" xfId="577"/>
    <cellStyle name="Comma 9 5" xfId="4690"/>
    <cellStyle name="Comma 90" xfId="1517"/>
    <cellStyle name="Comma 91" xfId="1524"/>
    <cellStyle name="Comma 92" xfId="1525"/>
    <cellStyle name="Comma 93" xfId="1526"/>
    <cellStyle name="Comma 94" xfId="1527"/>
    <cellStyle name="Comma 95" xfId="1528"/>
    <cellStyle name="Comma 96" xfId="1529"/>
    <cellStyle name="Comma 97" xfId="1530"/>
    <cellStyle name="Comma 98" xfId="1531"/>
    <cellStyle name="Comma 99" xfId="1532"/>
    <cellStyle name="Comma0" xfId="426"/>
    <cellStyle name="CommaBorda" xfId="7"/>
    <cellStyle name="Comment Box" xfId="925"/>
    <cellStyle name="Comment Box 2" xfId="966"/>
    <cellStyle name="Comment Box 2 2" xfId="3455"/>
    <cellStyle name="Comment Box 2 3" xfId="2510"/>
    <cellStyle name="Comment Box 2_CPI" xfId="5624"/>
    <cellStyle name="Comment Box 3" xfId="3435"/>
    <cellStyle name="Comment Box 4" xfId="2490"/>
    <cellStyle name="Comment Box_CPI" xfId="5623"/>
    <cellStyle name="cp0 -CalPercent" xfId="695"/>
    <cellStyle name="cp0 -CalPercent 2" xfId="696"/>
    <cellStyle name="cp1 -CalPercent" xfId="697"/>
    <cellStyle name="cp2 -CalPercent" xfId="698"/>
    <cellStyle name="cp2 -CalPercent 2" xfId="699"/>
    <cellStyle name="cp3 -CalPercent" xfId="700"/>
    <cellStyle name="cp3 -CalPercent 2" xfId="701"/>
    <cellStyle name="cr0 -CalCurr" xfId="702"/>
    <cellStyle name="cr0 -CalCurr 2" xfId="703"/>
    <cellStyle name="cr1 -CalCurr" xfId="704"/>
    <cellStyle name="cr1 -CalCurr 2" xfId="705"/>
    <cellStyle name="cr2 -CalCurr" xfId="706"/>
    <cellStyle name="cr2 -CalCurr 2" xfId="707"/>
    <cellStyle name="cr3 -CalCurr" xfId="708"/>
    <cellStyle name="cr3 -CalCurr 2" xfId="709"/>
    <cellStyle name="cr4 -CalCurr" xfId="710"/>
    <cellStyle name="cr4 -CalCurr 2" xfId="711"/>
    <cellStyle name="Currency 2" xfId="216"/>
    <cellStyle name="Currency 2 10" xfId="1887"/>
    <cellStyle name="Currency 2 2" xfId="217"/>
    <cellStyle name="Currency 2 3" xfId="557"/>
    <cellStyle name="Currency 2 4" xfId="1254"/>
    <cellStyle name="Currency 2 5" xfId="1328"/>
    <cellStyle name="Currency 2 6" xfId="1370"/>
    <cellStyle name="Currency 2 7" xfId="1430"/>
    <cellStyle name="Currency 2 8" xfId="1501"/>
    <cellStyle name="Currency 2 9" xfId="1573"/>
    <cellStyle name="Currency 3" xfId="218"/>
    <cellStyle name="Currency 3 10" xfId="1888"/>
    <cellStyle name="Currency 3 11" xfId="3591"/>
    <cellStyle name="Currency 3 2" xfId="219"/>
    <cellStyle name="Currency 3 3" xfId="1200"/>
    <cellStyle name="Currency 3 4" xfId="1255"/>
    <cellStyle name="Currency 3 5" xfId="1329"/>
    <cellStyle name="Currency 3 6" xfId="1371"/>
    <cellStyle name="Currency 3 7" xfId="1431"/>
    <cellStyle name="Currency 3 8" xfId="1502"/>
    <cellStyle name="Currency 3 9" xfId="1574"/>
    <cellStyle name="Currency 4" xfId="429"/>
    <cellStyle name="Currency 4 10" xfId="1575"/>
    <cellStyle name="Currency 4 11" xfId="1889"/>
    <cellStyle name="Currency 4 12" xfId="712"/>
    <cellStyle name="Currency 4 13" xfId="4684"/>
    <cellStyle name="Currency 4 2" xfId="713"/>
    <cellStyle name="Currency 4 2 10" xfId="1890"/>
    <cellStyle name="Currency 4 2 2" xfId="1165"/>
    <cellStyle name="Currency 4 2 3" xfId="1202"/>
    <cellStyle name="Currency 4 2 4" xfId="1257"/>
    <cellStyle name="Currency 4 2 5" xfId="1331"/>
    <cellStyle name="Currency 4 2 6" xfId="1373"/>
    <cellStyle name="Currency 4 2 7" xfId="1433"/>
    <cellStyle name="Currency 4 2 8" xfId="1504"/>
    <cellStyle name="Currency 4 2 9" xfId="1576"/>
    <cellStyle name="Currency 4 3" xfId="1164"/>
    <cellStyle name="Currency 4 4" xfId="1201"/>
    <cellStyle name="Currency 4 5" xfId="1256"/>
    <cellStyle name="Currency 4 6" xfId="1330"/>
    <cellStyle name="Currency 4 7" xfId="1372"/>
    <cellStyle name="Currency 4 8" xfId="1432"/>
    <cellStyle name="Currency 4 9" xfId="1503"/>
    <cellStyle name="Currency 5" xfId="1065"/>
    <cellStyle name="Currency 5 2" xfId="1761"/>
    <cellStyle name="Currency 5 3" xfId="3895"/>
    <cellStyle name="Currency 5 4" xfId="4074"/>
    <cellStyle name="Currency 5 4 2" xfId="4602"/>
    <cellStyle name="Currency 6" xfId="419"/>
    <cellStyle name="Currency0" xfId="425"/>
    <cellStyle name="Data Input" xfId="926"/>
    <cellStyle name="Data Input 2" xfId="3436"/>
    <cellStyle name="Data Input 3" xfId="2491"/>
    <cellStyle name="Data Input_CPI" xfId="5625"/>
    <cellStyle name="Data Rows" xfId="927"/>
    <cellStyle name="Data Rows 2" xfId="967"/>
    <cellStyle name="Data Rows 2 2" xfId="3456"/>
    <cellStyle name="Data Rows 2 3" xfId="2511"/>
    <cellStyle name="Data Rows 3" xfId="3437"/>
    <cellStyle name="Data Rows 3 2" xfId="3578"/>
    <cellStyle name="Data Rows 3_CPI" xfId="5627"/>
    <cellStyle name="Data Rows 4" xfId="2492"/>
    <cellStyle name="Data Rows_CPI" xfId="5626"/>
    <cellStyle name="Date" xfId="424"/>
    <cellStyle name="Date (short)" xfId="929"/>
    <cellStyle name="Date (short) 2" xfId="3439"/>
    <cellStyle name="Date (short) 3" xfId="2494"/>
    <cellStyle name="Date 10" xfId="3087"/>
    <cellStyle name="Date 11" xfId="2102"/>
    <cellStyle name="Date 12" xfId="2622"/>
    <cellStyle name="Date 12 2" xfId="5456"/>
    <cellStyle name="Date 12 3" xfId="5037"/>
    <cellStyle name="Date 12_CPI" xfId="5628"/>
    <cellStyle name="Date 13" xfId="4905"/>
    <cellStyle name="Date 14" xfId="4774"/>
    <cellStyle name="Date 2" xfId="928"/>
    <cellStyle name="Date 2 2" xfId="3438"/>
    <cellStyle name="Date 2 3" xfId="2493"/>
    <cellStyle name="Date 3" xfId="1092"/>
    <cellStyle name="Date 3 2" xfId="3536"/>
    <cellStyle name="Date 3 3" xfId="2583"/>
    <cellStyle name="Date 4" xfId="1102"/>
    <cellStyle name="Date 4 2" xfId="3539"/>
    <cellStyle name="Date 4 3" xfId="2586"/>
    <cellStyle name="Date 5" xfId="1607"/>
    <cellStyle name="Date 5 2" xfId="3638"/>
    <cellStyle name="Date 5 3" xfId="2640"/>
    <cellStyle name="Date 6" xfId="1609"/>
    <cellStyle name="Date 6 2" xfId="3639"/>
    <cellStyle name="Date 6 3" xfId="2641"/>
    <cellStyle name="Date 7" xfId="1611"/>
    <cellStyle name="Date 7 2" xfId="3640"/>
    <cellStyle name="Date 7 3" xfId="2642"/>
    <cellStyle name="Date 8" xfId="1613"/>
    <cellStyle name="Date 8 2" xfId="3642"/>
    <cellStyle name="Date 8 3" xfId="2644"/>
    <cellStyle name="Date 9" xfId="1612"/>
    <cellStyle name="Date 9 2" xfId="3641"/>
    <cellStyle name="Date 9 3" xfId="2643"/>
    <cellStyle name="Date and Time" xfId="930"/>
    <cellStyle name="Date and Time 2" xfId="971"/>
    <cellStyle name="Date and Time_CPI" xfId="5629"/>
    <cellStyle name="Date Released" xfId="220"/>
    <cellStyle name="données" xfId="221"/>
    <cellStyle name="donnéesbord" xfId="222"/>
    <cellStyle name="Entry 1A" xfId="931"/>
    <cellStyle name="Entry 1A 2" xfId="973"/>
    <cellStyle name="Entry 1A 2 2" xfId="1097"/>
    <cellStyle name="Entry 1A 2 2 2" xfId="1690"/>
    <cellStyle name="Entry 1A 2 2 2 2" xfId="3713"/>
    <cellStyle name="Entry 1A 2 2 2 3" xfId="2714"/>
    <cellStyle name="Entry 1A 2 2 3" xfId="3537"/>
    <cellStyle name="Entry 1A 2 2 4" xfId="3618"/>
    <cellStyle name="Entry 1A 2 2 5" xfId="2584"/>
    <cellStyle name="Entry 1A 2 3" xfId="1105"/>
    <cellStyle name="Entry 1A 2 3 2" xfId="3541"/>
    <cellStyle name="Entry 1A 2 3 3" xfId="2588"/>
    <cellStyle name="Entry 1A 2 4" xfId="3458"/>
    <cellStyle name="Entry 1A 2 5" xfId="2512"/>
    <cellStyle name="Entry 1A 3" xfId="3440"/>
    <cellStyle name="Entry 1A 3 2" xfId="3628"/>
    <cellStyle name="Entry 1A 3_CPI" xfId="5631"/>
    <cellStyle name="Entry 1A 4" xfId="2495"/>
    <cellStyle name="Entry 1A_CPI" xfId="5630"/>
    <cellStyle name="Entry 1B" xfId="932"/>
    <cellStyle name="Entry 1B 2" xfId="974"/>
    <cellStyle name="Entry 1B 2 2" xfId="1098"/>
    <cellStyle name="Entry 1B 2 2 2" xfId="1691"/>
    <cellStyle name="Entry 1B 2 2 2 2" xfId="3714"/>
    <cellStyle name="Entry 1B 2 2 2 3" xfId="2715"/>
    <cellStyle name="Entry 1B 2 2 3" xfId="3538"/>
    <cellStyle name="Entry 1B 2 2 4" xfId="3081"/>
    <cellStyle name="Entry 1B 2 2 5" xfId="2585"/>
    <cellStyle name="Entry 1B 2 3" xfId="1104"/>
    <cellStyle name="Entry 1B 2 3 2" xfId="3540"/>
    <cellStyle name="Entry 1B 2 3 3" xfId="2587"/>
    <cellStyle name="Entry 1B 2 4" xfId="3459"/>
    <cellStyle name="Entry 1B 2 5" xfId="2513"/>
    <cellStyle name="Entry 1B 3" xfId="3441"/>
    <cellStyle name="Entry 1B 4" xfId="2496"/>
    <cellStyle name="Entry 1B_CPI" xfId="5632"/>
    <cellStyle name="Euro" xfId="223"/>
    <cellStyle name="Euro 2" xfId="2935"/>
    <cellStyle name="Euro 2 2" xfId="4239"/>
    <cellStyle name="Euro 2 3" xfId="4867"/>
    <cellStyle name="Euro 2 4" xfId="5235"/>
    <cellStyle name="Euro 2 5" xfId="4238"/>
    <cellStyle name="Euro 3" xfId="2001"/>
    <cellStyle name="Euro 3 2" xfId="4241"/>
    <cellStyle name="Euro 3 3" xfId="5358"/>
    <cellStyle name="Euro 3 4" xfId="4240"/>
    <cellStyle name="Euro 3_CPI" xfId="5633"/>
    <cellStyle name="Euro 4" xfId="4237"/>
    <cellStyle name="Euro 5" xfId="4670"/>
    <cellStyle name="Explanatory Text" xfId="384" builtinId="53" customBuiltin="1"/>
    <cellStyle name="Explanatory Text 10" xfId="1147"/>
    <cellStyle name="Explanatory Text 10 2" xfId="3568"/>
    <cellStyle name="Explanatory Text 10 3" xfId="2614"/>
    <cellStyle name="Explanatory Text 11" xfId="1666"/>
    <cellStyle name="Explanatory Text 11 2" xfId="3692"/>
    <cellStyle name="Explanatory Text 11 3" xfId="2693"/>
    <cellStyle name="Explanatory Text 12" xfId="3050"/>
    <cellStyle name="Explanatory Text 13" xfId="2120"/>
    <cellStyle name="Explanatory Text 2" xfId="45"/>
    <cellStyle name="Explanatory text 2 10" xfId="1610"/>
    <cellStyle name="Explanatory Text 2 11" xfId="1644"/>
    <cellStyle name="Explanatory Text 2 11 2" xfId="3671"/>
    <cellStyle name="Explanatory Text 2 11 3" xfId="2673"/>
    <cellStyle name="Explanatory Text 2 12" xfId="1668"/>
    <cellStyle name="Explanatory Text 2 12 2" xfId="3693"/>
    <cellStyle name="Explanatory Text 2 12 3" xfId="2694"/>
    <cellStyle name="Explanatory Text 2 13" xfId="715"/>
    <cellStyle name="Explanatory Text 2 13 2" xfId="3288"/>
    <cellStyle name="Explanatory Text 2 13 3" xfId="2344"/>
    <cellStyle name="Explanatory Text 2 13 3 2" xfId="5394"/>
    <cellStyle name="Explanatory Text 2 13 3 3" xfId="4543"/>
    <cellStyle name="Explanatory Text 2 13 3_CPI" xfId="5635"/>
    <cellStyle name="Explanatory Text 2 13 4" xfId="4714"/>
    <cellStyle name="Explanatory Text 2 13 5" xfId="5098"/>
    <cellStyle name="Explanatory Text 2 13 6" xfId="3998"/>
    <cellStyle name="Explanatory Text 2 13_CPI" xfId="5634"/>
    <cellStyle name="Explanatory Text 2 14" xfId="2936"/>
    <cellStyle name="Explanatory Text 2 15" xfId="3077"/>
    <cellStyle name="Explanatory Text 2 16" xfId="3078"/>
    <cellStyle name="Explanatory Text 2 17" xfId="3076"/>
    <cellStyle name="Explanatory Text 2 18" xfId="3585"/>
    <cellStyle name="Explanatory Text 2 19" xfId="3841"/>
    <cellStyle name="Explanatory Text 2 2" xfId="225"/>
    <cellStyle name="Explanatory Text 2 2 2" xfId="976"/>
    <cellStyle name="Explanatory Text 2 2 3" xfId="897"/>
    <cellStyle name="Explanatory Text 2 2 3 2" xfId="3411"/>
    <cellStyle name="Explanatory Text 2 2 3 3" xfId="2466"/>
    <cellStyle name="Explanatory Text 2 2 3 3 2" xfId="5429"/>
    <cellStyle name="Explanatory Text 2 2 3 3 3" xfId="4544"/>
    <cellStyle name="Explanatory Text 2 2 3 4" xfId="4750"/>
    <cellStyle name="Explanatory Text 2 2 3 5" xfId="5099"/>
    <cellStyle name="Explanatory Text 2 2 3 6" xfId="3999"/>
    <cellStyle name="Explanatory Text 2 2 4" xfId="2937"/>
    <cellStyle name="Explanatory Text 2 2 4 2" xfId="4868"/>
    <cellStyle name="Explanatory Text 2 2 4 3" xfId="5236"/>
    <cellStyle name="Explanatory Text 2 2 4 4" xfId="4242"/>
    <cellStyle name="Explanatory Text 2 2 5" xfId="2003"/>
    <cellStyle name="Explanatory Text 2 20" xfId="3590"/>
    <cellStyle name="Explanatory Text 2 21" xfId="2002"/>
    <cellStyle name="Explanatory Text 2 21 2" xfId="5016"/>
    <cellStyle name="Explanatory Text 2 21 3" xfId="5300"/>
    <cellStyle name="Explanatory Text 2 21 4" xfId="5359"/>
    <cellStyle name="Explanatory Text 2 21 5" xfId="4488"/>
    <cellStyle name="Explanatory Text 2 22" xfId="2638"/>
    <cellStyle name="Explanatory Text 2 22 2" xfId="5458"/>
    <cellStyle name="Explanatory Text 2 22 3" xfId="4472"/>
    <cellStyle name="Explanatory Text 2 23" xfId="3889"/>
    <cellStyle name="Explanatory Text 2 23 2" xfId="5510"/>
    <cellStyle name="Explanatory Text 2 23 3" xfId="4478"/>
    <cellStyle name="Explanatory Text 2 23_CPI" xfId="5636"/>
    <cellStyle name="Explanatory Text 2 24" xfId="3890"/>
    <cellStyle name="Explanatory Text 2 24 2" xfId="5511"/>
    <cellStyle name="Explanatory Text 2 24 3" xfId="4638"/>
    <cellStyle name="Explanatory Text 2 24_CPI" xfId="5637"/>
    <cellStyle name="Explanatory Text 2 25" xfId="4671"/>
    <cellStyle name="Explanatory Text 2 26" xfId="5036"/>
    <cellStyle name="Explanatory Text 2 27" xfId="4677"/>
    <cellStyle name="Explanatory Text 2 28" xfId="5034"/>
    <cellStyle name="Explanatory Text 2 29" xfId="5337"/>
    <cellStyle name="Explanatory Text 2 3" xfId="224"/>
    <cellStyle name="Explanatory Text 2 3 2" xfId="1110"/>
    <cellStyle name="Explanatory Text 2 3 2 2" xfId="3543"/>
    <cellStyle name="Explanatory Text 2 3 2 3" xfId="2590"/>
    <cellStyle name="Explanatory Text 2 3 2_CPI" xfId="5638"/>
    <cellStyle name="Explanatory text 2 3 3" xfId="933"/>
    <cellStyle name="Explanatory Text 2 30" xfId="5342"/>
    <cellStyle name="Explanatory Text 2 31" xfId="5496"/>
    <cellStyle name="Explanatory Text 2 32" xfId="5338"/>
    <cellStyle name="Explanatory Text 2 33" xfId="5344"/>
    <cellStyle name="Explanatory Text 2 34" xfId="3928"/>
    <cellStyle name="Explanatory Text 2 35" xfId="4901"/>
    <cellStyle name="Explanatory Text 2 4" xfId="1056"/>
    <cellStyle name="Explanatory text 2 4 2" xfId="1223"/>
    <cellStyle name="Explanatory Text 2 4 3" xfId="3521"/>
    <cellStyle name="Explanatory Text 2 4 4" xfId="2568"/>
    <cellStyle name="Explanatory Text 2 4 5" xfId="3849"/>
    <cellStyle name="Explanatory Text 2 4 5 2" xfId="5498"/>
    <cellStyle name="Explanatory Text 2 4 5 3" xfId="5038"/>
    <cellStyle name="Explanatory Text 2 4 6" xfId="4963"/>
    <cellStyle name="Explanatory Text 2 4 7" xfId="5333"/>
    <cellStyle name="Explanatory Text 2 5" xfId="1061"/>
    <cellStyle name="Explanatory Text 2 5 2" xfId="3531"/>
    <cellStyle name="Explanatory Text 2 5 3" xfId="2578"/>
    <cellStyle name="Explanatory Text 2 6" xfId="1059"/>
    <cellStyle name="Explanatory Text 2 6 2" xfId="3529"/>
    <cellStyle name="Explanatory Text 2 6 3" xfId="2576"/>
    <cellStyle name="Explanatory text 2 7" xfId="1093"/>
    <cellStyle name="Explanatory text 2 8" xfId="1099"/>
    <cellStyle name="Explanatory text 2 9" xfId="1608"/>
    <cellStyle name="Explanatory Text 3" xfId="714"/>
    <cellStyle name="Explanatory Text 3 2" xfId="3287"/>
    <cellStyle name="Explanatory Text 3 2 2" xfId="4951"/>
    <cellStyle name="Explanatory Text 3 2 3" xfId="5237"/>
    <cellStyle name="Explanatory Text 3 2 4" xfId="4243"/>
    <cellStyle name="Explanatory Text 3 3" xfId="2343"/>
    <cellStyle name="Explanatory Text 4" xfId="1024"/>
    <cellStyle name="Explanatory Text 4 2" xfId="3481"/>
    <cellStyle name="Explanatory Text 4 3" xfId="2529"/>
    <cellStyle name="Explanatory Text 5" xfId="1030"/>
    <cellStyle name="Explanatory Text 5 2" xfId="3483"/>
    <cellStyle name="Explanatory Text 5 3" xfId="2530"/>
    <cellStyle name="Explanatory Text 6" xfId="1031"/>
    <cellStyle name="Explanatory Text 6 2" xfId="3484"/>
    <cellStyle name="Explanatory Text 6 3" xfId="2531"/>
    <cellStyle name="Explanatory Text 7" xfId="1144"/>
    <cellStyle name="Explanatory Text 7 2" xfId="3565"/>
    <cellStyle name="Explanatory Text 7 3" xfId="2611"/>
    <cellStyle name="Explanatory Text 8" xfId="1146"/>
    <cellStyle name="Explanatory Text 8 2" xfId="3567"/>
    <cellStyle name="Explanatory Text 8 3" xfId="2613"/>
    <cellStyle name="Explanatory Text 9" xfId="1145"/>
    <cellStyle name="Explanatory Text 9 2" xfId="3566"/>
    <cellStyle name="Explanatory Text 9 3" xfId="2612"/>
    <cellStyle name="Fixed" xfId="423"/>
    <cellStyle name="Followed Hyperlink 2" xfId="934"/>
    <cellStyle name="Followed Hyperlink 2 2" xfId="3442"/>
    <cellStyle name="Followed Hyperlink 2 3" xfId="2497"/>
    <cellStyle name="Followed Hyperlink 2_CPI" xfId="5639"/>
    <cellStyle name="Followed Hyperlink 3" xfId="1231"/>
    <cellStyle name="Followed Hyperlink 3 2" xfId="3587"/>
    <cellStyle name="Followed Hyperlink 3 3" xfId="2619"/>
    <cellStyle name="Followed Hyperlink 3_CPI" xfId="5640"/>
    <cellStyle name="Followed Hyperlink 4" xfId="3460"/>
    <cellStyle name="Followed Hyperlink 5" xfId="2514"/>
    <cellStyle name="Followed Hyperlink 6" xfId="977"/>
    <cellStyle name="Good" xfId="375" builtinId="26" customBuiltin="1"/>
    <cellStyle name="Good 2" xfId="46"/>
    <cellStyle name="Good 2 2" xfId="227"/>
    <cellStyle name="Good 2 2 2" xfId="898"/>
    <cellStyle name="Good 2 2 2 2" xfId="3412"/>
    <cellStyle name="Good 2 2 2 3" xfId="2467"/>
    <cellStyle name="Good 2 2 2 3 2" xfId="5430"/>
    <cellStyle name="Good 2 2 2 3 3" xfId="4545"/>
    <cellStyle name="Good 2 2 2 4" xfId="4751"/>
    <cellStyle name="Good 2 2 2 5" xfId="5100"/>
    <cellStyle name="Good 2 2 2 6" xfId="4000"/>
    <cellStyle name="Good 2 2 3" xfId="2939"/>
    <cellStyle name="Good 2 2 3 2" xfId="4870"/>
    <cellStyle name="Good 2 2 3 3" xfId="5239"/>
    <cellStyle name="Good 2 2 3 4" xfId="4245"/>
    <cellStyle name="Good 2 2 4" xfId="2005"/>
    <cellStyle name="Good 2 3" xfId="226"/>
    <cellStyle name="Good 2 3 2" xfId="3522"/>
    <cellStyle name="Good 2 3 3" xfId="2569"/>
    <cellStyle name="Good 2 4" xfId="1645"/>
    <cellStyle name="Good 2 4 2" xfId="3672"/>
    <cellStyle name="Good 2 4 3" xfId="2674"/>
    <cellStyle name="Good 2 5" xfId="717"/>
    <cellStyle name="Good 2 5 2" xfId="3290"/>
    <cellStyle name="Good 2 5 3" xfId="2346"/>
    <cellStyle name="Good 2 5_CPI" xfId="5641"/>
    <cellStyle name="Good 2 6" xfId="2938"/>
    <cellStyle name="Good 2 6 2" xfId="4869"/>
    <cellStyle name="Good 2 6 3" xfId="5238"/>
    <cellStyle name="Good 2 6 4" xfId="4244"/>
    <cellStyle name="Good 2 7" xfId="2004"/>
    <cellStyle name="Good 3" xfId="718"/>
    <cellStyle name="Good 3 2" xfId="3291"/>
    <cellStyle name="Good 3 2 2" xfId="4952"/>
    <cellStyle name="Good 3 2 3" xfId="5240"/>
    <cellStyle name="Good 3 2 4" xfId="4246"/>
    <cellStyle name="Good 3 2_CPI" xfId="5643"/>
    <cellStyle name="Good 3 3" xfId="2347"/>
    <cellStyle name="Good 3_CPI" xfId="5642"/>
    <cellStyle name="Good 4" xfId="716"/>
    <cellStyle name="Good 4 2" xfId="3289"/>
    <cellStyle name="Good 4 3" xfId="2345"/>
    <cellStyle name="Good 5" xfId="3040"/>
    <cellStyle name="Good 6" xfId="2110"/>
    <cellStyle name="Grey" xfId="4247"/>
    <cellStyle name="Grey 2" xfId="4248"/>
    <cellStyle name="Grey 2 2" xfId="4249"/>
    <cellStyle name="Grey 3" xfId="4250"/>
    <cellStyle name="Grey 3 2" xfId="4251"/>
    <cellStyle name="h0 -Heading" xfId="719"/>
    <cellStyle name="h0 -Heading 2" xfId="720"/>
    <cellStyle name="h0 -Heading 2 2" xfId="3293"/>
    <cellStyle name="h0 -Heading 2 3" xfId="2349"/>
    <cellStyle name="h0 -Heading 3" xfId="3292"/>
    <cellStyle name="h0 -Heading 4" xfId="2348"/>
    <cellStyle name="h1 -Heading" xfId="721"/>
    <cellStyle name="h1 -Heading 2" xfId="722"/>
    <cellStyle name="h1 -Heading 2 2" xfId="3295"/>
    <cellStyle name="h1 -Heading 2 3" xfId="2351"/>
    <cellStyle name="h1 -Heading 3" xfId="3294"/>
    <cellStyle name="h1 -Heading 4" xfId="2350"/>
    <cellStyle name="h2 -Heading" xfId="723"/>
    <cellStyle name="h2 -Heading 2" xfId="724"/>
    <cellStyle name="h2 -Heading 2 2" xfId="3297"/>
    <cellStyle name="h2 -Heading 2 3" xfId="2353"/>
    <cellStyle name="h2 -Heading 3" xfId="3296"/>
    <cellStyle name="h2 -Heading 4" xfId="2352"/>
    <cellStyle name="h3 -Heading" xfId="725"/>
    <cellStyle name="h3 -Heading 2" xfId="726"/>
    <cellStyle name="h3 -Heading 2 2" xfId="3299"/>
    <cellStyle name="h3 -Heading 2 3" xfId="2355"/>
    <cellStyle name="h3 -Heading 3" xfId="3298"/>
    <cellStyle name="h3 -Heading 4" xfId="2354"/>
    <cellStyle name="Heading 1" xfId="2" builtinId="16" customBuiltin="1"/>
    <cellStyle name="Heading 1 2" xfId="14"/>
    <cellStyle name="Heading 1 2 2" xfId="229"/>
    <cellStyle name="Heading 1 2 2 2" xfId="370"/>
    <cellStyle name="Heading 1 2 2 2 2" xfId="3461"/>
    <cellStyle name="Heading 1 2 2 2 3" xfId="2515"/>
    <cellStyle name="Heading 1 2 2 2 4" xfId="978"/>
    <cellStyle name="Heading 1 2 2 3" xfId="899"/>
    <cellStyle name="Heading 1 2 2 3 2" xfId="3413"/>
    <cellStyle name="Heading 1 2 2 3 3" xfId="2468"/>
    <cellStyle name="Heading 1 2 2 3 3 2" xfId="5431"/>
    <cellStyle name="Heading 1 2 2 3 3 3" xfId="4546"/>
    <cellStyle name="Heading 1 2 2 3 4" xfId="4752"/>
    <cellStyle name="Heading 1 2 2 3 5" xfId="5101"/>
    <cellStyle name="Heading 1 2 2 3 6" xfId="4001"/>
    <cellStyle name="Heading 1 2 2 4" xfId="2941"/>
    <cellStyle name="Heading 1 2 2 4 2" xfId="4872"/>
    <cellStyle name="Heading 1 2 2 4 3" xfId="5242"/>
    <cellStyle name="Heading 1 2 2 4 4" xfId="4253"/>
    <cellStyle name="Heading 1 2 2 5" xfId="2007"/>
    <cellStyle name="Heading 1 2 2_CPI" xfId="5644"/>
    <cellStyle name="Heading 1 2 3" xfId="228"/>
    <cellStyle name="Heading 1 2 3 2" xfId="371"/>
    <cellStyle name="Heading 1 2 3 2 2" xfId="3544"/>
    <cellStyle name="Heading 1 2 3 2 3" xfId="2591"/>
    <cellStyle name="Heading 1 2 3 3" xfId="3443"/>
    <cellStyle name="Heading 1 2 3 4" xfId="2498"/>
    <cellStyle name="Heading 1 2 3 5" xfId="935"/>
    <cellStyle name="Heading 1 2 3_CPI" xfId="5645"/>
    <cellStyle name="Heading 1 2 4" xfId="1224"/>
    <cellStyle name="Heading 1 2 4 2" xfId="3583"/>
    <cellStyle name="Heading 1 2 4 3" xfId="2617"/>
    <cellStyle name="Heading 1 2 4_CPI" xfId="5646"/>
    <cellStyle name="Heading 1 2 5" xfId="1646"/>
    <cellStyle name="Heading 1 2 5 2" xfId="3673"/>
    <cellStyle name="Heading 1 2 5 3" xfId="2675"/>
    <cellStyle name="Heading 1 2 6" xfId="2940"/>
    <cellStyle name="Heading 1 2 6 2" xfId="4871"/>
    <cellStyle name="Heading 1 2 6 3" xfId="5241"/>
    <cellStyle name="Heading 1 2 6 4" xfId="4252"/>
    <cellStyle name="Heading 1 2 7" xfId="2006"/>
    <cellStyle name="Heading 1 2_CPI" xfId="353"/>
    <cellStyle name="Heading 1 3" xfId="422"/>
    <cellStyle name="Heading 1 3 2" xfId="728"/>
    <cellStyle name="Heading 1 3 2 2" xfId="3301"/>
    <cellStyle name="Heading 1 3 2 3" xfId="2357"/>
    <cellStyle name="Heading 1 3 2 4" xfId="5243"/>
    <cellStyle name="Heading 1 3 2 5" xfId="4254"/>
    <cellStyle name="Heading 1 3 2_CPI" xfId="5647"/>
    <cellStyle name="Heading 1 3 3" xfId="3086"/>
    <cellStyle name="Heading 1 3 4" xfId="2101"/>
    <cellStyle name="Heading 1 4" xfId="727"/>
    <cellStyle name="Heading 1 4 2" xfId="3300"/>
    <cellStyle name="Heading 1 4 3" xfId="2356"/>
    <cellStyle name="Heading 1 5" xfId="864"/>
    <cellStyle name="Heading 1 5 2" xfId="3379"/>
    <cellStyle name="Heading 1 5 3" xfId="3610"/>
    <cellStyle name="Heading 1 5 4" xfId="2434"/>
    <cellStyle name="Heading 1 6" xfId="3036"/>
    <cellStyle name="Heading 1 7" xfId="2106"/>
    <cellStyle name="Heading 1 8" xfId="411"/>
    <cellStyle name="Heading 1-noindex" xfId="936"/>
    <cellStyle name="Heading 1-noindex 2" xfId="979"/>
    <cellStyle name="Heading 1-noindex 2 2" xfId="3462"/>
    <cellStyle name="Heading 1-noindex 2 3" xfId="2516"/>
    <cellStyle name="Heading 1-noindex 3" xfId="3444"/>
    <cellStyle name="Heading 1-noindex 3 2" xfId="3554"/>
    <cellStyle name="Heading 1-noindex 3_CPI" xfId="5649"/>
    <cellStyle name="Heading 1-noindex 4" xfId="2499"/>
    <cellStyle name="Heading 1-noindex_CPI" xfId="5648"/>
    <cellStyle name="Heading 2" xfId="3" builtinId="17" customBuiltin="1"/>
    <cellStyle name="Heading 2 2" xfId="12"/>
    <cellStyle name="Heading 2 2 2" xfId="231"/>
    <cellStyle name="Heading 2 2 2 2" xfId="372"/>
    <cellStyle name="Heading 2 2 2 2 2" xfId="3545"/>
    <cellStyle name="Heading 2 2 2 2 3" xfId="2592"/>
    <cellStyle name="Heading 2 2 2 2 4" xfId="1111"/>
    <cellStyle name="Heading 2 2 2 3" xfId="900"/>
    <cellStyle name="Heading 2 2 2 3 2" xfId="3414"/>
    <cellStyle name="Heading 2 2 2 3 3" xfId="2469"/>
    <cellStyle name="Heading 2 2 2 3 3 2" xfId="5432"/>
    <cellStyle name="Heading 2 2 2 3 3 3" xfId="4547"/>
    <cellStyle name="Heading 2 2 2 3 4" xfId="4753"/>
    <cellStyle name="Heading 2 2 2 3 5" xfId="5102"/>
    <cellStyle name="Heading 2 2 2 3 6" xfId="4002"/>
    <cellStyle name="Heading 2 2 2 4" xfId="2943"/>
    <cellStyle name="Heading 2 2 2 4 2" xfId="4874"/>
    <cellStyle name="Heading 2 2 2 4 3" xfId="5245"/>
    <cellStyle name="Heading 2 2 2 4 4" xfId="4256"/>
    <cellStyle name="Heading 2 2 2 5" xfId="2009"/>
    <cellStyle name="Heading 2 2 2_CPI" xfId="5650"/>
    <cellStyle name="Heading 2 2 3" xfId="230"/>
    <cellStyle name="Heading 2 2 3 2" xfId="373"/>
    <cellStyle name="Heading 2 2 3 2 2" xfId="3445"/>
    <cellStyle name="Heading 2 2 3 3" xfId="2500"/>
    <cellStyle name="Heading 2 2 3 4" xfId="937"/>
    <cellStyle name="Heading 2 2 3_CPI" xfId="5651"/>
    <cellStyle name="Heading 2 2 4" xfId="1647"/>
    <cellStyle name="Heading 2 2 4 2" xfId="3674"/>
    <cellStyle name="Heading 2 2 4 3" xfId="2676"/>
    <cellStyle name="Heading 2 2 5" xfId="2942"/>
    <cellStyle name="Heading 2 2 5 2" xfId="4873"/>
    <cellStyle name="Heading 2 2 5 3" xfId="5244"/>
    <cellStyle name="Heading 2 2 5 4" xfId="4255"/>
    <cellStyle name="Heading 2 2 6" xfId="2008"/>
    <cellStyle name="Heading 2 2_CPI" xfId="354"/>
    <cellStyle name="Heading 2 3" xfId="421"/>
    <cellStyle name="Heading 2 3 2" xfId="730"/>
    <cellStyle name="Heading 2 3 2 2" xfId="3303"/>
    <cellStyle name="Heading 2 3 2 3" xfId="2359"/>
    <cellStyle name="Heading 2 3 2 4" xfId="5246"/>
    <cellStyle name="Heading 2 3 2 5" xfId="4257"/>
    <cellStyle name="Heading 2 3 2_CPI" xfId="5652"/>
    <cellStyle name="Heading 2 3 3" xfId="3085"/>
    <cellStyle name="Heading 2 3 4" xfId="2100"/>
    <cellStyle name="Heading 2 4" xfId="729"/>
    <cellStyle name="Heading 2 4 2" xfId="3302"/>
    <cellStyle name="Heading 2 4 3" xfId="2358"/>
    <cellStyle name="Heading 2 5" xfId="865"/>
    <cellStyle name="Heading 2 5 2" xfId="3380"/>
    <cellStyle name="Heading 2 5 3" xfId="2435"/>
    <cellStyle name="Heading 2 6" xfId="3037"/>
    <cellStyle name="Heading 2 7" xfId="2107"/>
    <cellStyle name="Heading 2 8" xfId="412"/>
    <cellStyle name="Heading 3" xfId="4" builtinId="18" customBuiltin="1"/>
    <cellStyle name="Heading 3 2" xfId="47"/>
    <cellStyle name="Heading 3 2 10" xfId="5495"/>
    <cellStyle name="Heading 3 2 11" xfId="3930"/>
    <cellStyle name="Heading 3 2 12" xfId="3857"/>
    <cellStyle name="Heading 3 2 2" xfId="233"/>
    <cellStyle name="Heading 3 2 2 10" xfId="3932"/>
    <cellStyle name="Heading 3 2 2 11" xfId="3855"/>
    <cellStyle name="Heading 3 2 2 2" xfId="1112"/>
    <cellStyle name="Heading 3 2 2 2 2" xfId="3546"/>
    <cellStyle name="Heading 3 2 2 2 2 2" xfId="3886"/>
    <cellStyle name="Heading 3 2 2 2 2 2 2" xfId="5507"/>
    <cellStyle name="Heading 3 2 2 2 2 2 3" xfId="5535"/>
    <cellStyle name="Heading 3 2 2 2 2 3" xfId="4968"/>
    <cellStyle name="Heading 3 2 2 2 2 4" xfId="3864"/>
    <cellStyle name="Heading 3 2 2 2 3" xfId="2593"/>
    <cellStyle name="Heading 3 2 2 2 3 2" xfId="3880"/>
    <cellStyle name="Heading 3 2 2 2 3 2 2" xfId="5503"/>
    <cellStyle name="Heading 3 2 2 2 3 2 3" xfId="5531"/>
    <cellStyle name="Heading 3 2 2 2 3 3" xfId="4775"/>
    <cellStyle name="Heading 3 2 2 2 3 4" xfId="3856"/>
    <cellStyle name="Heading 3 2 2 2 4" xfId="3874"/>
    <cellStyle name="Heading 3 2 2 2 4 2" xfId="5354"/>
    <cellStyle name="Heading 3 2 2 2 5" xfId="3891"/>
    <cellStyle name="Heading 3 2 2 2 5 2" xfId="5512"/>
    <cellStyle name="Heading 3 2 2 2 5 3" xfId="5538"/>
    <cellStyle name="Heading 3 2 2 2 6" xfId="5341"/>
    <cellStyle name="Heading 3 2 2 2 7" xfId="5490"/>
    <cellStyle name="Heading 3 2 2 2 8" xfId="3934"/>
    <cellStyle name="Heading 3 2 2 2 9" xfId="3852"/>
    <cellStyle name="Heading 3 2 2 3" xfId="901"/>
    <cellStyle name="Heading 3 2 2 3 2" xfId="3415"/>
    <cellStyle name="Heading 3 2 2 3 2 2" xfId="3885"/>
    <cellStyle name="Heading 3 2 2 3 2 2 2" xfId="5506"/>
    <cellStyle name="Heading 3 2 2 3 2 2 3" xfId="5534"/>
    <cellStyle name="Heading 3 2 2 3 2 3" xfId="4065"/>
    <cellStyle name="Heading 3 2 2 3 2 4" xfId="3866"/>
    <cellStyle name="Heading 3 2 2 3 3" xfId="2470"/>
    <cellStyle name="Heading 3 2 2 3 3 2" xfId="3879"/>
    <cellStyle name="Heading 3 2 2 3 3 2 2" xfId="5502"/>
    <cellStyle name="Heading 3 2 2 3 3 2 3" xfId="5530"/>
    <cellStyle name="Heading 3 2 2 3 3 3" xfId="5433"/>
    <cellStyle name="Heading 3 2 2 3 3 3 2" xfId="5526"/>
    <cellStyle name="Heading 3 2 2 3 3 4" xfId="4548"/>
    <cellStyle name="Heading 3 2 2 3 3 5" xfId="3935"/>
    <cellStyle name="Heading 3 2 2 3 3 6" xfId="3859"/>
    <cellStyle name="Heading 3 2 2 3 4" xfId="3873"/>
    <cellStyle name="Heading 3 2 2 3 4 2" xfId="5353"/>
    <cellStyle name="Heading 3 2 2 3 4 2 2" xfId="5525"/>
    <cellStyle name="Heading 3 2 2 3 4 3" xfId="4754"/>
    <cellStyle name="Heading 3 2 2 3 4 4" xfId="3931"/>
    <cellStyle name="Heading 3 2 2 3 5" xfId="5103"/>
    <cellStyle name="Heading 3 2 2 3 5 2" xfId="5524"/>
    <cellStyle name="Heading 3 2 2 3 6" xfId="4003"/>
    <cellStyle name="Heading 3 2 2 3 7" xfId="3933"/>
    <cellStyle name="Heading 3 2 2 3 8" xfId="3861"/>
    <cellStyle name="Heading 3 2 2 4" xfId="2945"/>
    <cellStyle name="Heading 3 2 2 4 2" xfId="3883"/>
    <cellStyle name="Heading 3 2 2 4 2 2" xfId="4876"/>
    <cellStyle name="Heading 3 2 2 4 2 3" xfId="5523"/>
    <cellStyle name="Heading 3 2 2 4 3" xfId="5248"/>
    <cellStyle name="Heading 3 2 2 4 4" xfId="4259"/>
    <cellStyle name="Heading 3 2 2 4 5" xfId="3862"/>
    <cellStyle name="Heading 3 2 2 5" xfId="2011"/>
    <cellStyle name="Heading 3 2 2 5 2" xfId="3877"/>
    <cellStyle name="Heading 3 2 2 5 2 2" xfId="5500"/>
    <cellStyle name="Heading 3 2 2 5 2 3" xfId="5528"/>
    <cellStyle name="Heading 3 2 2 5 3" xfId="4673"/>
    <cellStyle name="Heading 3 2 2 5 4" xfId="3869"/>
    <cellStyle name="Heading 3 2 2 6" xfId="3871"/>
    <cellStyle name="Heading 3 2 2 6 2" xfId="5351"/>
    <cellStyle name="Heading 3 2 2 7" xfId="3894"/>
    <cellStyle name="Heading 3 2 2 7 2" xfId="5514"/>
    <cellStyle name="Heading 3 2 2 7 3" xfId="5540"/>
    <cellStyle name="Heading 3 2 2 8" xfId="5348"/>
    <cellStyle name="Heading 3 2 2 9" xfId="5492"/>
    <cellStyle name="Heading 3 2 3" xfId="232"/>
    <cellStyle name="Heading 3 2 3 2" xfId="4260"/>
    <cellStyle name="Heading 3 2 3 3" xfId="938"/>
    <cellStyle name="Heading 3 2 4" xfId="1648"/>
    <cellStyle name="Heading 3 2 4 2" xfId="3675"/>
    <cellStyle name="Heading 3 2 4 2 2" xfId="3887"/>
    <cellStyle name="Heading 3 2 4 2 2 2" xfId="5508"/>
    <cellStyle name="Heading 3 2 4 2 2 3" xfId="5536"/>
    <cellStyle name="Heading 3 2 4 2 3" xfId="4973"/>
    <cellStyle name="Heading 3 2 4 2 4" xfId="3865"/>
    <cellStyle name="Heading 3 2 4 3" xfId="2677"/>
    <cellStyle name="Heading 3 2 4 3 2" xfId="3881"/>
    <cellStyle name="Heading 3 2 4 3 2 2" xfId="5504"/>
    <cellStyle name="Heading 3 2 4 3 2 3" xfId="5532"/>
    <cellStyle name="Heading 3 2 4 3 3" xfId="4796"/>
    <cellStyle name="Heading 3 2 4 3 4" xfId="3850"/>
    <cellStyle name="Heading 3 2 4 4" xfId="3875"/>
    <cellStyle name="Heading 3 2 4 4 2" xfId="5355"/>
    <cellStyle name="Heading 3 2 4 5" xfId="3888"/>
    <cellStyle name="Heading 3 2 4 5 2" xfId="5509"/>
    <cellStyle name="Heading 3 2 4 5 3" xfId="5537"/>
    <cellStyle name="Heading 3 2 4 6" xfId="5339"/>
    <cellStyle name="Heading 3 2 4 7" xfId="5493"/>
    <cellStyle name="Heading 3 2 4 8" xfId="3936"/>
    <cellStyle name="Heading 3 2 4 9" xfId="3854"/>
    <cellStyle name="Heading 3 2 5" xfId="2944"/>
    <cellStyle name="Heading 3 2 5 2" xfId="3882"/>
    <cellStyle name="Heading 3 2 5 2 2" xfId="4875"/>
    <cellStyle name="Heading 3 2 5 2 3" xfId="5522"/>
    <cellStyle name="Heading 3 2 5 3" xfId="5247"/>
    <cellStyle name="Heading 3 2 5 4" xfId="4258"/>
    <cellStyle name="Heading 3 2 5 5" xfId="3853"/>
    <cellStyle name="Heading 3 2 6" xfId="2010"/>
    <cellStyle name="Heading 3 2 6 2" xfId="3876"/>
    <cellStyle name="Heading 3 2 6 2 2" xfId="5499"/>
    <cellStyle name="Heading 3 2 6 2 3" xfId="5527"/>
    <cellStyle name="Heading 3 2 6 3" xfId="4672"/>
    <cellStyle name="Heading 3 2 6 4" xfId="3863"/>
    <cellStyle name="Heading 3 2 7" xfId="3870"/>
    <cellStyle name="Heading 3 2 7 2" xfId="5350"/>
    <cellStyle name="Heading 3 2 8" xfId="3892"/>
    <cellStyle name="Heading 3 2 8 2" xfId="5513"/>
    <cellStyle name="Heading 3 2 8 3" xfId="5539"/>
    <cellStyle name="Heading 3 2 9" xfId="5441"/>
    <cellStyle name="Heading 3 3" xfId="732"/>
    <cellStyle name="Heading 3 3 2" xfId="3305"/>
    <cellStyle name="Heading 3 3 2 2" xfId="4954"/>
    <cellStyle name="Heading 3 3 2 3" xfId="5249"/>
    <cellStyle name="Heading 3 3 2 4" xfId="4261"/>
    <cellStyle name="Heading 3 3 2_CPI" xfId="5654"/>
    <cellStyle name="Heading 3 3 3" xfId="2361"/>
    <cellStyle name="Heading 3 3_CPI" xfId="5653"/>
    <cellStyle name="Heading 3 4" xfId="731"/>
    <cellStyle name="Heading 3 4 2" xfId="3304"/>
    <cellStyle name="Heading 3 4 2 2" xfId="3884"/>
    <cellStyle name="Heading 3 4 2 2 2" xfId="5505"/>
    <cellStyle name="Heading 3 4 2 2 3" xfId="5533"/>
    <cellStyle name="Heading 3 4 2 3" xfId="4953"/>
    <cellStyle name="Heading 3 4 2 4" xfId="3867"/>
    <cellStyle name="Heading 3 4 3" xfId="2360"/>
    <cellStyle name="Heading 3 4 3 2" xfId="3878"/>
    <cellStyle name="Heading 3 4 3 2 2" xfId="5501"/>
    <cellStyle name="Heading 3 4 3 2 3" xfId="5529"/>
    <cellStyle name="Heading 3 4 3 3" xfId="4715"/>
    <cellStyle name="Heading 3 4 3 4" xfId="3858"/>
    <cellStyle name="Heading 3 4 4" xfId="3872"/>
    <cellStyle name="Heading 3 4 4 2" xfId="5352"/>
    <cellStyle name="Heading 3 4 5" xfId="3913"/>
    <cellStyle name="Heading 3 4 5 2" xfId="5516"/>
    <cellStyle name="Heading 3 4 5 3" xfId="5541"/>
    <cellStyle name="Heading 3 4 6" xfId="5494"/>
    <cellStyle name="Heading 3 4 7" xfId="5521"/>
    <cellStyle name="Heading 3 4 8" xfId="3929"/>
    <cellStyle name="Heading 3 4 9" xfId="3851"/>
    <cellStyle name="Heading 3 5" xfId="3038"/>
    <cellStyle name="Heading 3 6" xfId="2108"/>
    <cellStyle name="Heading 3 7" xfId="413"/>
    <cellStyle name="Heading 4" xfId="374" builtinId="19" customBuiltin="1"/>
    <cellStyle name="Heading 4 2" xfId="48"/>
    <cellStyle name="Heading 4 2 2" xfId="235"/>
    <cellStyle name="Heading 4 2 2 2" xfId="1113"/>
    <cellStyle name="Heading 4 2 2 2 2" xfId="3547"/>
    <cellStyle name="Heading 4 2 2 2 3" xfId="2594"/>
    <cellStyle name="Heading 4 2 2 3" xfId="902"/>
    <cellStyle name="Heading 4 2 2 3 2" xfId="3416"/>
    <cellStyle name="Heading 4 2 2 3 3" xfId="2471"/>
    <cellStyle name="Heading 4 2 2 3 3 2" xfId="5434"/>
    <cellStyle name="Heading 4 2 2 3 3 3" xfId="4549"/>
    <cellStyle name="Heading 4 2 2 3 4" xfId="4755"/>
    <cellStyle name="Heading 4 2 2 3 5" xfId="5104"/>
    <cellStyle name="Heading 4 2 2 3 6" xfId="4004"/>
    <cellStyle name="Heading 4 2 2 4" xfId="2947"/>
    <cellStyle name="Heading 4 2 2 4 2" xfId="4878"/>
    <cellStyle name="Heading 4 2 2 4 3" xfId="5251"/>
    <cellStyle name="Heading 4 2 2 4 4" xfId="4263"/>
    <cellStyle name="Heading 4 2 2 5" xfId="2013"/>
    <cellStyle name="Heading 4 2 3" xfId="234"/>
    <cellStyle name="Heading 4 2 3 2" xfId="3446"/>
    <cellStyle name="Heading 4 2 3 3" xfId="2501"/>
    <cellStyle name="Heading 4 2 3 4" xfId="939"/>
    <cellStyle name="Heading 4 2 4" xfId="1649"/>
    <cellStyle name="Heading 4 2 4 2" xfId="3676"/>
    <cellStyle name="Heading 4 2 4 3" xfId="2678"/>
    <cellStyle name="Heading 4 2 5" xfId="2946"/>
    <cellStyle name="Heading 4 2 5 2" xfId="4877"/>
    <cellStyle name="Heading 4 2 5 3" xfId="5250"/>
    <cellStyle name="Heading 4 2 5 4" xfId="4262"/>
    <cellStyle name="Heading 4 2 6" xfId="2012"/>
    <cellStyle name="Heading 4 3" xfId="734"/>
    <cellStyle name="Heading 4 3 2" xfId="980"/>
    <cellStyle name="Heading 4 3 2 2" xfId="1114"/>
    <cellStyle name="Heading 4 3 2 2 2" xfId="3548"/>
    <cellStyle name="Heading 4 3 2 2 3" xfId="2595"/>
    <cellStyle name="Heading 4 3 2 2_CPI" xfId="5657"/>
    <cellStyle name="Heading 4 3 2 3" xfId="3463"/>
    <cellStyle name="Heading 4 3 2 4" xfId="2517"/>
    <cellStyle name="Heading 4 3 2_CPI" xfId="5656"/>
    <cellStyle name="Heading 4 3 3" xfId="1232"/>
    <cellStyle name="Heading 4 3 3 2" xfId="3588"/>
    <cellStyle name="Heading 4 3 3 3" xfId="2620"/>
    <cellStyle name="Heading 4 3 3_CPI" xfId="5658"/>
    <cellStyle name="Heading 4 3 4" xfId="3307"/>
    <cellStyle name="Heading 4 3 4 2" xfId="4955"/>
    <cellStyle name="Heading 4 3 4 3" xfId="5252"/>
    <cellStyle name="Heading 4 3 4 4" xfId="4264"/>
    <cellStyle name="Heading 4 3 4_CPI" xfId="5659"/>
    <cellStyle name="Heading 4 3 5" xfId="2363"/>
    <cellStyle name="Heading 4 3_CPI" xfId="5655"/>
    <cellStyle name="Heading 4 4" xfId="733"/>
    <cellStyle name="Heading 4 4 2" xfId="3306"/>
    <cellStyle name="Heading 4 4 3" xfId="2362"/>
    <cellStyle name="Heading 4 5" xfId="3039"/>
    <cellStyle name="Heading 4 6" xfId="2109"/>
    <cellStyle name="Heavy Box" xfId="940"/>
    <cellStyle name="Heavy Box 2" xfId="982"/>
    <cellStyle name="Heavy Box 2 2" xfId="3464"/>
    <cellStyle name="Heavy Box 2 3" xfId="2518"/>
    <cellStyle name="Heavy Box 2_CPI" xfId="5661"/>
    <cellStyle name="Heavy Box 3" xfId="981"/>
    <cellStyle name="Heavy Box 4" xfId="3447"/>
    <cellStyle name="Heavy Box 5" xfId="2502"/>
    <cellStyle name="Heavy Box_CPI" xfId="5660"/>
    <cellStyle name="hp0 -Hyperlink" xfId="735"/>
    <cellStyle name="hp0 -Hyperlink 2" xfId="3308"/>
    <cellStyle name="hp0 -Hyperlink 3" xfId="2364"/>
    <cellStyle name="hp1 -Hyperlink" xfId="736"/>
    <cellStyle name="hp1 -Hyperlink 2" xfId="3309"/>
    <cellStyle name="hp1 -Hyperlink 3" xfId="2365"/>
    <cellStyle name="hp2 -Hyperlink" xfId="737"/>
    <cellStyle name="hp2 -Hyperlink 2" xfId="3310"/>
    <cellStyle name="hp2 -Hyperlink 3" xfId="2366"/>
    <cellStyle name="hp3 -Hyperlink" xfId="738"/>
    <cellStyle name="hp3 -Hyperlink 2" xfId="3311"/>
    <cellStyle name="hp3 -Hyperlink 3" xfId="2367"/>
    <cellStyle name="Hyperlink 2" xfId="236"/>
    <cellStyle name="Hyperlink 2 2" xfId="740"/>
    <cellStyle name="Hyperlink 2 2 2" xfId="858"/>
    <cellStyle name="Hyperlink 2 2 2 2" xfId="1117"/>
    <cellStyle name="Hyperlink 2 2 2 3" xfId="3375"/>
    <cellStyle name="Hyperlink 2 2 2 4" xfId="2430"/>
    <cellStyle name="Hyperlink 2 2 3" xfId="984"/>
    <cellStyle name="Hyperlink 2 2 3 2" xfId="3466"/>
    <cellStyle name="Hyperlink 2 2 3 3" xfId="2520"/>
    <cellStyle name="Hyperlink 2 2 3_CPI" xfId="5662"/>
    <cellStyle name="Hyperlink 2 3" xfId="856"/>
    <cellStyle name="Hyperlink 2 3 2" xfId="1116"/>
    <cellStyle name="Hyperlink 2 3 3" xfId="3374"/>
    <cellStyle name="Hyperlink 2 3 4" xfId="2429"/>
    <cellStyle name="Hyperlink 2 4" xfId="859"/>
    <cellStyle name="Hyperlink 2 4 2" xfId="1225"/>
    <cellStyle name="Hyperlink 2 4 2 2" xfId="3584"/>
    <cellStyle name="Hyperlink 2 4 2 3" xfId="2618"/>
    <cellStyle name="Hyperlink 2 4 2_CPI" xfId="5663"/>
    <cellStyle name="Hyperlink 2 4 3" xfId="3376"/>
    <cellStyle name="Hyperlink 2 4 4" xfId="2431"/>
    <cellStyle name="Hyperlink 2 5" xfId="941"/>
    <cellStyle name="Hyperlink 2 5 2" xfId="3448"/>
    <cellStyle name="Hyperlink 2 5 3" xfId="2503"/>
    <cellStyle name="Hyperlink 2 5_CPI" xfId="5664"/>
    <cellStyle name="Hyperlink 2 6" xfId="1041"/>
    <cellStyle name="Hyperlink 2 7" xfId="1650"/>
    <cellStyle name="Hyperlink 2 7 2" xfId="3677"/>
    <cellStyle name="Hyperlink 2 7 3" xfId="2679"/>
    <cellStyle name="Hyperlink 2 8" xfId="739"/>
    <cellStyle name="Hyperlink 3" xfId="237"/>
    <cellStyle name="Hyperlink 3 2" xfId="1043"/>
    <cellStyle name="Hyperlink 3 2 2" xfId="3493"/>
    <cellStyle name="Hyperlink 3 2 3" xfId="2540"/>
    <cellStyle name="Hyperlink 3 3" xfId="1115"/>
    <cellStyle name="Hyperlink 3 4" xfId="903"/>
    <cellStyle name="Hyperlink 3 4 2" xfId="3417"/>
    <cellStyle name="Hyperlink 3 4 3" xfId="2472"/>
    <cellStyle name="Hyperlink 3 4_CPI" xfId="5665"/>
    <cellStyle name="Hyperlink 3 5" xfId="2949"/>
    <cellStyle name="Hyperlink 3 6" xfId="2014"/>
    <cellStyle name="Hyperlink 4" xfId="366"/>
    <cellStyle name="Hyperlink 4 2" xfId="983"/>
    <cellStyle name="Hyperlink 4 2 2" xfId="3465"/>
    <cellStyle name="Hyperlink 4 2 3" xfId="2519"/>
    <cellStyle name="Hyperlink 4 2_CPI" xfId="5667"/>
    <cellStyle name="Hyperlink 4 3" xfId="3194"/>
    <cellStyle name="Hyperlink 4 4" xfId="2250"/>
    <cellStyle name="Hyperlink 4 5" xfId="558"/>
    <cellStyle name="Hyperlink 4_CPI" xfId="5666"/>
    <cellStyle name="Hyperlink 5" xfId="1025"/>
    <cellStyle name="Hyperlink 6" xfId="2948"/>
    <cellStyle name="Hyperlink 7" xfId="5012"/>
    <cellStyle name="Hyperlink 8" xfId="4683"/>
    <cellStyle name="ic0 -InpComma" xfId="741"/>
    <cellStyle name="ic1 -InpComma" xfId="742"/>
    <cellStyle name="ic2 -InpComma" xfId="743"/>
    <cellStyle name="ic3 -InpComma" xfId="744"/>
    <cellStyle name="ic4 -InpComma" xfId="745"/>
    <cellStyle name="idDMMY -InpDate" xfId="746"/>
    <cellStyle name="idDMMYHM -InpDateTime" xfId="747"/>
    <cellStyle name="idDMY -InpDate" xfId="748"/>
    <cellStyle name="idMDY -InpDate" xfId="749"/>
    <cellStyle name="idMMY -InpDate" xfId="750"/>
    <cellStyle name="if0 -InpFixed" xfId="751"/>
    <cellStyle name="if0b-InpFixedB" xfId="752"/>
    <cellStyle name="if0-InpFixed" xfId="753"/>
    <cellStyle name="iln -InpTableTextNoWrap" xfId="754"/>
    <cellStyle name="ilnb-InpTableTextNoWrapB" xfId="755"/>
    <cellStyle name="ilw -InpTableTextWrap" xfId="756"/>
    <cellStyle name="ilw -InpTableTextWrap 2" xfId="3312"/>
    <cellStyle name="ilw -InpTableTextWrap 3" xfId="2368"/>
    <cellStyle name="imHM  -InpTime" xfId="757"/>
    <cellStyle name="imHM24+ -InpTime" xfId="758"/>
    <cellStyle name="Input" xfId="5" builtinId="20" customBuiltin="1"/>
    <cellStyle name="Input 2" xfId="13"/>
    <cellStyle name="Input 2 2" xfId="239"/>
    <cellStyle name="Input 2 2 2" xfId="1674"/>
    <cellStyle name="Input 2 2 2 2" xfId="1848"/>
    <cellStyle name="Input 2 2 2 2 2" xfId="3823"/>
    <cellStyle name="Input 2 2 2 2 3" xfId="2818"/>
    <cellStyle name="Input 2 2 2 3" xfId="1779"/>
    <cellStyle name="Input 2 2 2 3 2" xfId="3755"/>
    <cellStyle name="Input 2 2 2 3 3" xfId="2750"/>
    <cellStyle name="Input 2 2 2 4" xfId="3699"/>
    <cellStyle name="Input 2 2 2 5" xfId="2700"/>
    <cellStyle name="Input 2 2 3" xfId="1802"/>
    <cellStyle name="Input 2 2 3 2" xfId="3777"/>
    <cellStyle name="Input 2 2 3 2 2" xfId="4629"/>
    <cellStyle name="Input 2 2 3 3" xfId="2772"/>
    <cellStyle name="Input 2 2 3 3 2" xfId="5478"/>
    <cellStyle name="Input 2 2 3 3 3" xfId="4550"/>
    <cellStyle name="Input 2 2 3 4" xfId="4484"/>
    <cellStyle name="Input 2 2 3 5" xfId="4803"/>
    <cellStyle name="Input 2 2 3 6" xfId="5105"/>
    <cellStyle name="Input 2 2 3 7" xfId="4005"/>
    <cellStyle name="Input 2 2 4" xfId="1828"/>
    <cellStyle name="Input 2 2 4 2" xfId="3803"/>
    <cellStyle name="Input 2 2 4 3" xfId="2798"/>
    <cellStyle name="Input 2 2 5" xfId="904"/>
    <cellStyle name="Input 2 2 5 2" xfId="3418"/>
    <cellStyle name="Input 2 2 5 3" xfId="2473"/>
    <cellStyle name="Input 2 2 6" xfId="2951"/>
    <cellStyle name="Input 2 2 6 2" xfId="4880"/>
    <cellStyle name="Input 2 2 6 3" xfId="5254"/>
    <cellStyle name="Input 2 2 6 4" xfId="4266"/>
    <cellStyle name="Input 2 2 7" xfId="2016"/>
    <cellStyle name="Input 2 2 7 2" xfId="5360"/>
    <cellStyle name="Input 2 2 7 3" xfId="4471"/>
    <cellStyle name="Input 2 2 8" xfId="4474"/>
    <cellStyle name="Input 2 2 9" xfId="4674"/>
    <cellStyle name="Input 2 3" xfId="238"/>
    <cellStyle name="Input 2 3 2" xfId="1679"/>
    <cellStyle name="Input 2 3 2 2" xfId="1852"/>
    <cellStyle name="Input 2 3 2 2 2" xfId="3827"/>
    <cellStyle name="Input 2 3 2 2 3" xfId="2822"/>
    <cellStyle name="Input 2 3 2 3" xfId="1809"/>
    <cellStyle name="Input 2 3 2 3 2" xfId="3784"/>
    <cellStyle name="Input 2 3 2 3 3" xfId="2779"/>
    <cellStyle name="Input 2 3 2 4" xfId="3704"/>
    <cellStyle name="Input 2 3 2 5" xfId="2705"/>
    <cellStyle name="Input 2 3 3" xfId="1812"/>
    <cellStyle name="Input 2 3 3 2" xfId="3787"/>
    <cellStyle name="Input 2 3 3 3" xfId="2782"/>
    <cellStyle name="Input 2 3 4" xfId="1787"/>
    <cellStyle name="Input 2 3 4 2" xfId="3763"/>
    <cellStyle name="Input 2 3 4 3" xfId="2758"/>
    <cellStyle name="Input 2 3 5" xfId="3523"/>
    <cellStyle name="Input 2 3 6" xfId="2570"/>
    <cellStyle name="Input 2 4" xfId="1062"/>
    <cellStyle name="Input 2 4 2" xfId="1684"/>
    <cellStyle name="Input 2 4 2 2" xfId="1856"/>
    <cellStyle name="Input 2 4 2 2 2" xfId="3831"/>
    <cellStyle name="Input 2 4 2 2 3" xfId="2826"/>
    <cellStyle name="Input 2 4 2 3" xfId="1775"/>
    <cellStyle name="Input 2 4 2 3 2" xfId="3751"/>
    <cellStyle name="Input 2 4 2 3 3" xfId="2746"/>
    <cellStyle name="Input 2 4 2 4" xfId="3709"/>
    <cellStyle name="Input 2 4 2 5" xfId="2710"/>
    <cellStyle name="Input 2 4 3" xfId="1818"/>
    <cellStyle name="Input 2 4 3 2" xfId="3793"/>
    <cellStyle name="Input 2 4 3 3" xfId="2788"/>
    <cellStyle name="Input 2 4 4" xfId="1785"/>
    <cellStyle name="Input 2 4 4 2" xfId="3761"/>
    <cellStyle name="Input 2 4 4 3" xfId="2756"/>
    <cellStyle name="Input 2 4 5" xfId="3532"/>
    <cellStyle name="Input 2 4 6" xfId="2579"/>
    <cellStyle name="Input 2 5" xfId="1651"/>
    <cellStyle name="Input 2 5 2" xfId="1842"/>
    <cellStyle name="Input 2 5 2 2" xfId="3817"/>
    <cellStyle name="Input 2 5 2 3" xfId="2812"/>
    <cellStyle name="Input 2 5 3" xfId="1839"/>
    <cellStyle name="Input 2 5 3 2" xfId="3814"/>
    <cellStyle name="Input 2 5 3 3" xfId="2809"/>
    <cellStyle name="Input 2 5 4" xfId="3678"/>
    <cellStyle name="Input 2 5 5" xfId="2680"/>
    <cellStyle name="Input 2 6" xfId="760"/>
    <cellStyle name="Input 2 6 2" xfId="3314"/>
    <cellStyle name="Input 2 6 3" xfId="2370"/>
    <cellStyle name="Input 2 6_CPI" xfId="5668"/>
    <cellStyle name="Input 2 7" xfId="2950"/>
    <cellStyle name="Input 2 7 2" xfId="4634"/>
    <cellStyle name="Input 2 7 3" xfId="4879"/>
    <cellStyle name="Input 2 7 4" xfId="5253"/>
    <cellStyle name="Input 2 7 5" xfId="4265"/>
    <cellStyle name="Input 2 8" xfId="2015"/>
    <cellStyle name="Input 2_CPI" xfId="355"/>
    <cellStyle name="Input 3" xfId="761"/>
    <cellStyle name="Input 3 2" xfId="3315"/>
    <cellStyle name="Input 3 2 2" xfId="4956"/>
    <cellStyle name="Input 3 2 3" xfId="5255"/>
    <cellStyle name="Input 3 2 4" xfId="4267"/>
    <cellStyle name="Input 3 2_CPI" xfId="5670"/>
    <cellStyle name="Input 3 3" xfId="2371"/>
    <cellStyle name="Input 3_CPI" xfId="5669"/>
    <cellStyle name="Input 4" xfId="759"/>
    <cellStyle name="Input 4 2" xfId="1118"/>
    <cellStyle name="Input 4 2 2" xfId="1823"/>
    <cellStyle name="Input 4 2 2 2" xfId="3798"/>
    <cellStyle name="Input 4 2 2 3" xfId="2793"/>
    <cellStyle name="Input 4 2 3" xfId="1831"/>
    <cellStyle name="Input 4 2 3 2" xfId="3806"/>
    <cellStyle name="Input 4 2 3 3" xfId="2801"/>
    <cellStyle name="Input 4 2 4" xfId="3549"/>
    <cellStyle name="Input 4 2 5" xfId="2596"/>
    <cellStyle name="Input 4 3" xfId="1788"/>
    <cellStyle name="Input 4 3 2" xfId="3764"/>
    <cellStyle name="Input 4 3 3" xfId="2759"/>
    <cellStyle name="Input 4 4" xfId="1834"/>
    <cellStyle name="Input 4 4 2" xfId="3809"/>
    <cellStyle name="Input 4 4 3" xfId="2804"/>
    <cellStyle name="Input 4 5" xfId="3313"/>
    <cellStyle name="Input 4 6" xfId="2369"/>
    <cellStyle name="Input 5" xfId="3043"/>
    <cellStyle name="Input 6" xfId="2113"/>
    <cellStyle name="Input 7" xfId="414"/>
    <cellStyle name="ip0 -InpPercent" xfId="762"/>
    <cellStyle name="ip1 -InpPercent" xfId="763"/>
    <cellStyle name="ip2 -InpPercent" xfId="764"/>
    <cellStyle name="ip3 -InpPercent" xfId="765"/>
    <cellStyle name="ir0 -InpCurr" xfId="766"/>
    <cellStyle name="ir1 -InpCurr" xfId="767"/>
    <cellStyle name="ir2 -InpCurr" xfId="768"/>
    <cellStyle name="ir3 -InpCurr" xfId="769"/>
    <cellStyle name="ir4 -InpCurr" xfId="770"/>
    <cellStyle name="is0 -InpSideText" xfId="771"/>
    <cellStyle name="is1 -InpSideText" xfId="772"/>
    <cellStyle name="is2 -InpSideText" xfId="773"/>
    <cellStyle name="is3 -InpSideText" xfId="774"/>
    <cellStyle name="is4 -InpSideText" xfId="775"/>
    <cellStyle name="itn -InpTopTextNoWrap" xfId="776"/>
    <cellStyle name="itw -InpTopTextWrap" xfId="777"/>
    <cellStyle name="Label 1" xfId="942"/>
    <cellStyle name="Label 1 2" xfId="986"/>
    <cellStyle name="Label 1_CPI" xfId="5671"/>
    <cellStyle name="Label 2a" xfId="943"/>
    <cellStyle name="Label 2a 2" xfId="988"/>
    <cellStyle name="Label 2a centre" xfId="944"/>
    <cellStyle name="Label 2a centre 2" xfId="990"/>
    <cellStyle name="Label 2a centre 2 2" xfId="3468"/>
    <cellStyle name="Label 2a centre 2 3" xfId="2522"/>
    <cellStyle name="Label 2a centre 3" xfId="3449"/>
    <cellStyle name="Label 2a centre 4" xfId="2504"/>
    <cellStyle name="Label 2a centre_CPI" xfId="5673"/>
    <cellStyle name="Label 2a merge" xfId="945"/>
    <cellStyle name="Label 2a merge 2" xfId="3450"/>
    <cellStyle name="Label 2a merge 3" xfId="2505"/>
    <cellStyle name="Label 2a merge_CPI" xfId="5674"/>
    <cellStyle name="Label 2a_CPI" xfId="5672"/>
    <cellStyle name="Label 2b" xfId="946"/>
    <cellStyle name="Label 2b merged" xfId="947"/>
    <cellStyle name="Label 2b_CPI" xfId="5675"/>
    <cellStyle name="Line rows" xfId="4268"/>
    <cellStyle name="Line rows 2" xfId="4269"/>
    <cellStyle name="Line rows 2 2" xfId="4270"/>
    <cellStyle name="Line rows 3" xfId="4271"/>
    <cellStyle name="Line rows 3 2" xfId="4272"/>
    <cellStyle name="Link" xfId="948"/>
    <cellStyle name="Link 2" xfId="992"/>
    <cellStyle name="Link 2 2" xfId="3469"/>
    <cellStyle name="Link 2 3" xfId="2523"/>
    <cellStyle name="Link 2_CPI" xfId="5677"/>
    <cellStyle name="Link 3" xfId="991"/>
    <cellStyle name="Link 4" xfId="3451"/>
    <cellStyle name="Link 5" xfId="2506"/>
    <cellStyle name="Link_CPI" xfId="5676"/>
    <cellStyle name="Linked Cell" xfId="380" builtinId="24" customBuiltin="1"/>
    <cellStyle name="Linked Cell 2" xfId="49"/>
    <cellStyle name="Linked Cell 2 2" xfId="241"/>
    <cellStyle name="Linked Cell 2 2 2" xfId="1259"/>
    <cellStyle name="Linked Cell 2 2 2 2" xfId="3592"/>
    <cellStyle name="Linked Cell 2 2 2 3" xfId="2623"/>
    <cellStyle name="Linked Cell 2 2 3" xfId="905"/>
    <cellStyle name="Linked Cell 2 2 3 2" xfId="3419"/>
    <cellStyle name="Linked Cell 2 2 3 3" xfId="2474"/>
    <cellStyle name="Linked Cell 2 2 3 3 2" xfId="5435"/>
    <cellStyle name="Linked Cell 2 2 3 3 3" xfId="4551"/>
    <cellStyle name="Linked Cell 2 2 3 4" xfId="4756"/>
    <cellStyle name="Linked Cell 2 2 3 5" xfId="5106"/>
    <cellStyle name="Linked Cell 2 2 3 6" xfId="4006"/>
    <cellStyle name="Linked Cell 2 2 4" xfId="2953"/>
    <cellStyle name="Linked Cell 2 2 4 2" xfId="4882"/>
    <cellStyle name="Linked Cell 2 2 4 3" xfId="5257"/>
    <cellStyle name="Linked Cell 2 2 4 4" xfId="4274"/>
    <cellStyle name="Linked Cell 2 2 5" xfId="2018"/>
    <cellStyle name="Linked Cell 2 3" xfId="240"/>
    <cellStyle name="Linked Cell 2 3 2" xfId="3679"/>
    <cellStyle name="Linked Cell 2 3 3" xfId="2681"/>
    <cellStyle name="Linked Cell 2 3 4" xfId="1652"/>
    <cellStyle name="Linked Cell 2 4" xfId="2952"/>
    <cellStyle name="Linked Cell 2 4 2" xfId="4881"/>
    <cellStyle name="Linked Cell 2 4 3" xfId="5256"/>
    <cellStyle name="Linked Cell 2 4 4" xfId="4273"/>
    <cellStyle name="Linked Cell 2 5" xfId="2017"/>
    <cellStyle name="Linked Cell 3" xfId="779"/>
    <cellStyle name="Linked Cell 3 2" xfId="3317"/>
    <cellStyle name="Linked Cell 3 2 2" xfId="4957"/>
    <cellStyle name="Linked Cell 3 2 3" xfId="5258"/>
    <cellStyle name="Linked Cell 3 2 4" xfId="4275"/>
    <cellStyle name="Linked Cell 3 2_CPI" xfId="5679"/>
    <cellStyle name="Linked Cell 3 3" xfId="2373"/>
    <cellStyle name="Linked Cell 3_CPI" xfId="5678"/>
    <cellStyle name="Linked Cell 4" xfId="778"/>
    <cellStyle name="Linked Cell 4 2" xfId="3316"/>
    <cellStyle name="Linked Cell 4 3" xfId="2372"/>
    <cellStyle name="Linked Cell 5" xfId="3046"/>
    <cellStyle name="Linked Cell 6" xfId="2116"/>
    <cellStyle name="ltn -TableTextNoWrap" xfId="780"/>
    <cellStyle name="ltn -TableTextNoWrap 2" xfId="781"/>
    <cellStyle name="ltw -TableTextWrap" xfId="782"/>
    <cellStyle name="ltw -TableTextWrap 2" xfId="783"/>
    <cellStyle name="ltw -TableTextWrap 2 2" xfId="3319"/>
    <cellStyle name="ltw -TableTextWrap 2 3" xfId="2375"/>
    <cellStyle name="ltw -TableTextWrap 3" xfId="3318"/>
    <cellStyle name="ltw -TableTextWrap 4" xfId="2374"/>
    <cellStyle name="mmm" xfId="242"/>
    <cellStyle name="Neutral" xfId="377" builtinId="28" customBuiltin="1"/>
    <cellStyle name="Neutral 2" xfId="50"/>
    <cellStyle name="Neutral 2 2" xfId="244"/>
    <cellStyle name="Neutral 2 2 2" xfId="906"/>
    <cellStyle name="Neutral 2 2 2 2" xfId="3420"/>
    <cellStyle name="Neutral 2 2 2 3" xfId="2475"/>
    <cellStyle name="Neutral 2 2 2 3 2" xfId="5436"/>
    <cellStyle name="Neutral 2 2 2 3 3" xfId="4552"/>
    <cellStyle name="Neutral 2 2 2 4" xfId="4757"/>
    <cellStyle name="Neutral 2 2 2 5" xfId="5107"/>
    <cellStyle name="Neutral 2 2 2 6" xfId="4008"/>
    <cellStyle name="Neutral 2 2 3" xfId="2955"/>
    <cellStyle name="Neutral 2 2 3 2" xfId="4884"/>
    <cellStyle name="Neutral 2 2 3 3" xfId="5260"/>
    <cellStyle name="Neutral 2 2 3 4" xfId="4277"/>
    <cellStyle name="Neutral 2 2 4" xfId="2020"/>
    <cellStyle name="Neutral 2 3" xfId="243"/>
    <cellStyle name="Neutral 2 3 2" xfId="3524"/>
    <cellStyle name="Neutral 2 3 3" xfId="2571"/>
    <cellStyle name="Neutral 2 4" xfId="1653"/>
    <cellStyle name="Neutral 2 4 2" xfId="3680"/>
    <cellStyle name="Neutral 2 4 3" xfId="2682"/>
    <cellStyle name="Neutral 2 5" xfId="785"/>
    <cellStyle name="Neutral 2 5 2" xfId="3321"/>
    <cellStyle name="Neutral 2 5 3" xfId="2377"/>
    <cellStyle name="Neutral 2 5_CPI" xfId="5680"/>
    <cellStyle name="Neutral 2 6" xfId="2954"/>
    <cellStyle name="Neutral 2 6 2" xfId="4883"/>
    <cellStyle name="Neutral 2 6 3" xfId="5259"/>
    <cellStyle name="Neutral 2 6 4" xfId="4276"/>
    <cellStyle name="Neutral 2 7" xfId="2019"/>
    <cellStyle name="Neutral 3" xfId="786"/>
    <cellStyle name="Neutral 3 2" xfId="3322"/>
    <cellStyle name="Neutral 3 2 2" xfId="4958"/>
    <cellStyle name="Neutral 3 2 3" xfId="5261"/>
    <cellStyle name="Neutral 3 2 4" xfId="4278"/>
    <cellStyle name="Neutral 3 2_CPI" xfId="5682"/>
    <cellStyle name="Neutral 3 3" xfId="2378"/>
    <cellStyle name="Neutral 3_CPI" xfId="5681"/>
    <cellStyle name="Neutral 4" xfId="784"/>
    <cellStyle name="Neutral 4 2" xfId="3320"/>
    <cellStyle name="Neutral 4 3" xfId="2376"/>
    <cellStyle name="Neutral 5" xfId="3042"/>
    <cellStyle name="Neutral 6" xfId="2112"/>
    <cellStyle name="Normal" xfId="0" builtinId="0"/>
    <cellStyle name="Normal - Style1" xfId="245"/>
    <cellStyle name="Normal - Style1 2" xfId="2956"/>
    <cellStyle name="Normal - Style1 3" xfId="2021"/>
    <cellStyle name="Normal 10" xfId="51"/>
    <cellStyle name="Normal 10 2" xfId="246"/>
    <cellStyle name="Normal 10 2 2" xfId="247"/>
    <cellStyle name="Normal 10 2 2 2" xfId="1271"/>
    <cellStyle name="Normal 10 2 2 2 2" xfId="3601"/>
    <cellStyle name="Normal 10 2 2 2 3" xfId="2632"/>
    <cellStyle name="Normal 10 2 2 3" xfId="2959"/>
    <cellStyle name="Normal 10 2 2 4" xfId="2024"/>
    <cellStyle name="Normal 10 2 3" xfId="435"/>
    <cellStyle name="Normal 10 2 3 2" xfId="1136"/>
    <cellStyle name="Normal 10 2 3 2 2" xfId="3559"/>
    <cellStyle name="Normal 10 2 3 2 3" xfId="2605"/>
    <cellStyle name="Normal 10 2 3 3" xfId="3094"/>
    <cellStyle name="Normal 10 2 3 4" xfId="2150"/>
    <cellStyle name="Normal 10 2 4" xfId="907"/>
    <cellStyle name="Normal 10 2 4 2" xfId="3421"/>
    <cellStyle name="Normal 10 2 4 3" xfId="2476"/>
    <cellStyle name="Normal 10 2 4_CPI" xfId="5685"/>
    <cellStyle name="Normal 10 2 5" xfId="2958"/>
    <cellStyle name="Normal 10 2 5 2" xfId="4885"/>
    <cellStyle name="Normal 10 2 5 3" xfId="5263"/>
    <cellStyle name="Normal 10 2 5 4" xfId="4280"/>
    <cellStyle name="Normal 10 2 6" xfId="2023"/>
    <cellStyle name="Normal 10 3" xfId="248"/>
    <cellStyle name="Normal 10 3 2" xfId="249"/>
    <cellStyle name="Normal 10 3 2 2" xfId="2961"/>
    <cellStyle name="Normal 10 3 2 3" xfId="2026"/>
    <cellStyle name="Normal 10 3 3" xfId="436"/>
    <cellStyle name="Normal 10 3 3 2" xfId="1260"/>
    <cellStyle name="Normal 10 3 3 2 2" xfId="3593"/>
    <cellStyle name="Normal 10 3 3 2 3" xfId="2624"/>
    <cellStyle name="Normal 10 3 3 3" xfId="3095"/>
    <cellStyle name="Normal 10 3 3 3 2" xfId="4902"/>
    <cellStyle name="Normal 10 3 3 3 3" xfId="5302"/>
    <cellStyle name="Normal 10 3 3 3 4" xfId="4553"/>
    <cellStyle name="Normal 10 3 3 4" xfId="2151"/>
    <cellStyle name="Normal 10 3 3 5" xfId="5108"/>
    <cellStyle name="Normal 10 3 3 6" xfId="4009"/>
    <cellStyle name="Normal 10 3 4" xfId="2960"/>
    <cellStyle name="Normal 10 3 5" xfId="2025"/>
    <cellStyle name="Normal 10 4" xfId="437"/>
    <cellStyle name="Normal 10 4 2" xfId="1891"/>
    <cellStyle name="Normal 10 4 2 2" xfId="3835"/>
    <cellStyle name="Normal 10 4 2 3" xfId="2830"/>
    <cellStyle name="Normal 10 4 3" xfId="559"/>
    <cellStyle name="Normal 10 4 3 2" xfId="3195"/>
    <cellStyle name="Normal 10 4 3 3" xfId="2251"/>
    <cellStyle name="Normal 10 4 3 4" xfId="3906"/>
    <cellStyle name="Normal 10 4 3_CPI" xfId="5686"/>
    <cellStyle name="Normal 10 4 4" xfId="3096"/>
    <cellStyle name="Normal 10 4 4 2" xfId="4619"/>
    <cellStyle name="Normal 10 4 4 3" xfId="4903"/>
    <cellStyle name="Normal 10 4 4 4" xfId="5145"/>
    <cellStyle name="Normal 10 4 4 5" xfId="4100"/>
    <cellStyle name="Normal 10 4 5" xfId="2152"/>
    <cellStyle name="Normal 10 4 5 2" xfId="5369"/>
    <cellStyle name="Normal 10 4 5 3" xfId="4057"/>
    <cellStyle name="Normal 10 4 5_CPI" xfId="5687"/>
    <cellStyle name="Normal 10 4 6" xfId="4688"/>
    <cellStyle name="Normal 10 5" xfId="438"/>
    <cellStyle name="Normal 10 5 2" xfId="787"/>
    <cellStyle name="Normal 10 5 2 2" xfId="3323"/>
    <cellStyle name="Normal 10 5 2 3" xfId="2379"/>
    <cellStyle name="Normal 10 5 3" xfId="3097"/>
    <cellStyle name="Normal 10 5 4" xfId="2153"/>
    <cellStyle name="Normal 10 6" xfId="439"/>
    <cellStyle name="Normal 10 6 2" xfId="3098"/>
    <cellStyle name="Normal 10 6 3" xfId="2154"/>
    <cellStyle name="Normal 10 6 4" xfId="5262"/>
    <cellStyle name="Normal 10 6 5" xfId="4279"/>
    <cellStyle name="Normal 10 7" xfId="440"/>
    <cellStyle name="Normal 10 7 2" xfId="3099"/>
    <cellStyle name="Normal 10 7 3" xfId="2155"/>
    <cellStyle name="Normal 10 8" xfId="2957"/>
    <cellStyle name="Normal 10 9" xfId="2022"/>
    <cellStyle name="Normal 10_CPI" xfId="5684"/>
    <cellStyle name="Normal 101" xfId="3612"/>
    <cellStyle name="Normal 11" xfId="52"/>
    <cellStyle name="Normal 11 2" xfId="250"/>
    <cellStyle name="Normal 11 2 2" xfId="441"/>
    <cellStyle name="Normal 11 2 2 2" xfId="1272"/>
    <cellStyle name="Normal 11 2 2 2 2" xfId="3602"/>
    <cellStyle name="Normal 11 2 2 2 3" xfId="2633"/>
    <cellStyle name="Normal 11 2 2 3" xfId="3100"/>
    <cellStyle name="Normal 11 2 2 4" xfId="2156"/>
    <cellStyle name="Normal 11 2 3" xfId="1137"/>
    <cellStyle name="Normal 11 2 3 2" xfId="3560"/>
    <cellStyle name="Normal 11 2 3 3" xfId="2606"/>
    <cellStyle name="Normal 11 2 4" xfId="2963"/>
    <cellStyle name="Normal 11 2 5" xfId="2028"/>
    <cellStyle name="Normal 11 3" xfId="442"/>
    <cellStyle name="Normal 11 3 2" xfId="1261"/>
    <cellStyle name="Normal 11 3 2 2" xfId="3594"/>
    <cellStyle name="Normal 11 3 2 3" xfId="2625"/>
    <cellStyle name="Normal 11 3 3" xfId="3101"/>
    <cellStyle name="Normal 11 3 4" xfId="2157"/>
    <cellStyle name="Normal 11 4" xfId="443"/>
    <cellStyle name="Normal 11 4 2" xfId="1892"/>
    <cellStyle name="Normal 11 4 2 2" xfId="3836"/>
    <cellStyle name="Normal 11 4 2 3" xfId="2831"/>
    <cellStyle name="Normal 11 4 3" xfId="3102"/>
    <cellStyle name="Normal 11 4 3 2" xfId="3907"/>
    <cellStyle name="Normal 11 4 3 2 2" xfId="5515"/>
    <cellStyle name="Normal 11 4 3 2 3" xfId="4904"/>
    <cellStyle name="Normal 11 4 3 3" xfId="5039"/>
    <cellStyle name="Normal 11 4 4" xfId="2158"/>
    <cellStyle name="Normal 11 4 4 2" xfId="4620"/>
    <cellStyle name="Normal 11 4 4 3" xfId="5370"/>
    <cellStyle name="Normal 11 4 4 4" xfId="4101"/>
    <cellStyle name="Normal 11 4 4_CPI" xfId="5688"/>
    <cellStyle name="Normal 11 4 5" xfId="4689"/>
    <cellStyle name="Normal 11 5" xfId="788"/>
    <cellStyle name="Normal 11 5 2" xfId="3324"/>
    <cellStyle name="Normal 11 5 3" xfId="2380"/>
    <cellStyle name="Normal 11 6" xfId="2962"/>
    <cellStyle name="Normal 11 6 2" xfId="4886"/>
    <cellStyle name="Normal 11 6 3" xfId="5264"/>
    <cellStyle name="Normal 11 6 4" xfId="4281"/>
    <cellStyle name="Normal 11 7" xfId="2027"/>
    <cellStyle name="Normal 11_CPI 2009" xfId="362"/>
    <cellStyle name="Normal 12" xfId="16"/>
    <cellStyle name="Normal 12 2" xfId="251"/>
    <cellStyle name="Normal 12 2 2" xfId="1273"/>
    <cellStyle name="Normal 12 2 2 2" xfId="3603"/>
    <cellStyle name="Normal 12 2 2 3" xfId="2634"/>
    <cellStyle name="Normal 12 2 3" xfId="1138"/>
    <cellStyle name="Normal 12 2 3 2" xfId="3561"/>
    <cellStyle name="Normal 12 2 3 3" xfId="2607"/>
    <cellStyle name="Normal 12 2 4" xfId="2965"/>
    <cellStyle name="Normal 12 2 5" xfId="2030"/>
    <cellStyle name="Normal 12 3" xfId="1262"/>
    <cellStyle name="Normal 12 3 2" xfId="3595"/>
    <cellStyle name="Normal 12 3 3" xfId="2626"/>
    <cellStyle name="Normal 12 4" xfId="1893"/>
    <cellStyle name="Normal 12 4 2" xfId="3837"/>
    <cellStyle name="Normal 12 4 3" xfId="2832"/>
    <cellStyle name="Normal 12 4 3 2" xfId="3908"/>
    <cellStyle name="Normal 12 4 3 3" xfId="5486"/>
    <cellStyle name="Normal 12 4 3_CPI" xfId="5689"/>
    <cellStyle name="Normal 12 4 4" xfId="4102"/>
    <cellStyle name="Normal 12 4 4 2" xfId="4621"/>
    <cellStyle name="Normal 12 4 5" xfId="4811"/>
    <cellStyle name="Normal 12 5" xfId="789"/>
    <cellStyle name="Normal 12 5 2" xfId="3325"/>
    <cellStyle name="Normal 12 5 3" xfId="2381"/>
    <cellStyle name="Normal 12 6" xfId="2964"/>
    <cellStyle name="Normal 12 6 2" xfId="4887"/>
    <cellStyle name="Normal 12 6 3" xfId="5265"/>
    <cellStyle name="Normal 12 6 4" xfId="4282"/>
    <cellStyle name="Normal 12 7" xfId="2029"/>
    <cellStyle name="Normal 12_CPI 2009" xfId="363"/>
    <cellStyle name="Normal 13" xfId="252"/>
    <cellStyle name="Normal 13 2" xfId="253"/>
    <cellStyle name="Normal 13 2 2" xfId="1274"/>
    <cellStyle name="Normal 13 2 2 2" xfId="3604"/>
    <cellStyle name="Normal 13 2 2 3" xfId="2635"/>
    <cellStyle name="Normal 13 2 3" xfId="1139"/>
    <cellStyle name="Normal 13 2 3 2" xfId="3562"/>
    <cellStyle name="Normal 13 2 3 3" xfId="2608"/>
    <cellStyle name="Normal 13 2 4" xfId="2967"/>
    <cellStyle name="Normal 13 2 5" xfId="2032"/>
    <cellStyle name="Normal 13 3" xfId="1263"/>
    <cellStyle name="Normal 13 3 2" xfId="3596"/>
    <cellStyle name="Normal 13 3 3" xfId="2627"/>
    <cellStyle name="Normal 13 4" xfId="1894"/>
    <cellStyle name="Normal 13 4 2" xfId="3838"/>
    <cellStyle name="Normal 13 4 3" xfId="2833"/>
    <cellStyle name="Normal 13 4 3 2" xfId="3909"/>
    <cellStyle name="Normal 13 4 3 3" xfId="5487"/>
    <cellStyle name="Normal 13 4 3_CPI" xfId="5690"/>
    <cellStyle name="Normal 13 4 4" xfId="4103"/>
    <cellStyle name="Normal 13 4 4 2" xfId="4622"/>
    <cellStyle name="Normal 13 4 5" xfId="4812"/>
    <cellStyle name="Normal 13 5" xfId="790"/>
    <cellStyle name="Normal 13 5 2" xfId="3326"/>
    <cellStyle name="Normal 13 5 3" xfId="2382"/>
    <cellStyle name="Normal 13 6" xfId="2966"/>
    <cellStyle name="Normal 13 7" xfId="2031"/>
    <cellStyle name="Normal 13_CPI 2009" xfId="364"/>
    <cellStyle name="Normal 14" xfId="254"/>
    <cellStyle name="Normal 14 2" xfId="255"/>
    <cellStyle name="Normal 14 2 2" xfId="1275"/>
    <cellStyle name="Normal 14 2 2 2" xfId="3605"/>
    <cellStyle name="Normal 14 2 2 3" xfId="2636"/>
    <cellStyle name="Normal 14 2 3" xfId="1140"/>
    <cellStyle name="Normal 14 2 3 2" xfId="3563"/>
    <cellStyle name="Normal 14 2 3 3" xfId="2609"/>
    <cellStyle name="Normal 14 2 3 3 2" xfId="5455"/>
    <cellStyle name="Normal 14 2 3 3 3" xfId="4555"/>
    <cellStyle name="Normal 14 2 3 3_CPI" xfId="5691"/>
    <cellStyle name="Normal 14 2 3 4" xfId="4777"/>
    <cellStyle name="Normal 14 2 3 5" xfId="5110"/>
    <cellStyle name="Normal 14 2 3 6" xfId="4012"/>
    <cellStyle name="Normal 14 2 4" xfId="2969"/>
    <cellStyle name="Normal 14 2 5" xfId="2034"/>
    <cellStyle name="Normal 14 3" xfId="1264"/>
    <cellStyle name="Normal 14 3 2" xfId="3597"/>
    <cellStyle name="Normal 14 3 3" xfId="2628"/>
    <cellStyle name="Normal 14 4" xfId="1895"/>
    <cellStyle name="Normal 14 4 2" xfId="3839"/>
    <cellStyle name="Normal 14 4 3" xfId="2834"/>
    <cellStyle name="Normal 14 4 3 2" xfId="3910"/>
    <cellStyle name="Normal 14 4 3 3" xfId="5488"/>
    <cellStyle name="Normal 14 4 3_CPI" xfId="5692"/>
    <cellStyle name="Normal 14 4 4" xfId="4104"/>
    <cellStyle name="Normal 14 4 4 2" xfId="4623"/>
    <cellStyle name="Normal 14 4 5" xfId="4813"/>
    <cellStyle name="Normal 14 5" xfId="791"/>
    <cellStyle name="Normal 14 5 2" xfId="3327"/>
    <cellStyle name="Normal 14 5 3" xfId="2383"/>
    <cellStyle name="Normal 14 5 3 2" xfId="5395"/>
    <cellStyle name="Normal 14 5 3 3" xfId="4554"/>
    <cellStyle name="Normal 14 5 3_CPI" xfId="5693"/>
    <cellStyle name="Normal 14 5 4" xfId="4716"/>
    <cellStyle name="Normal 14 5 5" xfId="5109"/>
    <cellStyle name="Normal 14 5 6" xfId="4011"/>
    <cellStyle name="Normal 14 6" xfId="2968"/>
    <cellStyle name="Normal 14 7" xfId="2033"/>
    <cellStyle name="Normal 14_CPI 2009" xfId="365"/>
    <cellStyle name="Normal 15" xfId="256"/>
    <cellStyle name="Normal 15 2" xfId="1036"/>
    <cellStyle name="Normal 15 2 2" xfId="1268"/>
    <cellStyle name="Normal 15 2 2 2" xfId="3600"/>
    <cellStyle name="Normal 15 2 2 3" xfId="2631"/>
    <cellStyle name="Normal 15 2 3" xfId="3487"/>
    <cellStyle name="Normal 15 2 4" xfId="2534"/>
    <cellStyle name="Normal 15 2_CPI" xfId="5695"/>
    <cellStyle name="Normal 15 3" xfId="582"/>
    <cellStyle name="Normal 15 3 2" xfId="3209"/>
    <cellStyle name="Normal 15 3 3" xfId="2265"/>
    <cellStyle name="Normal 15 4" xfId="2970"/>
    <cellStyle name="Normal 15 5" xfId="2035"/>
    <cellStyle name="Normal 15_CPI" xfId="5694"/>
    <cellStyle name="Normal 16" xfId="428"/>
    <cellStyle name="Normal 16 2" xfId="1135"/>
    <cellStyle name="Normal 16 2 2" xfId="3558"/>
    <cellStyle name="Normal 16 2 3" xfId="2604"/>
    <cellStyle name="Normal 16 3" xfId="3089"/>
    <cellStyle name="Normal 16 3 2" xfId="4588"/>
    <cellStyle name="Normal 16 4" xfId="3471"/>
    <cellStyle name="Normal 16 5" xfId="2104"/>
    <cellStyle name="Normal 17" xfId="430"/>
    <cellStyle name="Normal 17 2" xfId="1220"/>
    <cellStyle name="Normal 17 2 2" xfId="3581"/>
    <cellStyle name="Normal 17 2 3" xfId="2615"/>
    <cellStyle name="Normal 17 2_CPI" xfId="5696"/>
    <cellStyle name="Normal 17 3" xfId="1757"/>
    <cellStyle name="Normal 17 3 2" xfId="3743"/>
    <cellStyle name="Normal 17 3 3" xfId="2738"/>
    <cellStyle name="Normal 17 4" xfId="3090"/>
    <cellStyle name="Normal 17 5" xfId="2146"/>
    <cellStyle name="Normal 17 5 2" xfId="4592"/>
    <cellStyle name="Normal 17 5 3" xfId="5367"/>
    <cellStyle name="Normal 17 5 4" xfId="4050"/>
    <cellStyle name="Normal 17 5_CPI" xfId="5697"/>
    <cellStyle name="Normal 17 6" xfId="4685"/>
    <cellStyle name="Normal 18" xfId="431"/>
    <cellStyle name="Normal 18 2" xfId="1605"/>
    <cellStyle name="Normal 18 2 2" xfId="3637"/>
    <cellStyle name="Normal 18 2 3" xfId="2639"/>
    <cellStyle name="Normal 18 3" xfId="3091"/>
    <cellStyle name="Normal 18 3 2" xfId="4594"/>
    <cellStyle name="Normal 18 4" xfId="3080"/>
    <cellStyle name="Normal 18 5" xfId="2147"/>
    <cellStyle name="Normal 19" xfId="432"/>
    <cellStyle name="Normal 19 2" xfId="1752"/>
    <cellStyle name="Normal 19 2 2" xfId="3741"/>
    <cellStyle name="Normal 19 2 3" xfId="2736"/>
    <cellStyle name="Normal 19 3" xfId="3092"/>
    <cellStyle name="Normal 19 4" xfId="2148"/>
    <cellStyle name="Normal 19 4 2" xfId="4606"/>
    <cellStyle name="Normal 19 4 3" xfId="5368"/>
    <cellStyle name="Normal 19 4 4" xfId="4084"/>
    <cellStyle name="Normal 19 4_CPI" xfId="5698"/>
    <cellStyle name="Normal 19 5" xfId="4686"/>
    <cellStyle name="Normal 2" xfId="53"/>
    <cellStyle name="Normal 2 10" xfId="444"/>
    <cellStyle name="Normal 2 10 2" xfId="1221"/>
    <cellStyle name="Normal 2 10 2 2" xfId="3582"/>
    <cellStyle name="Normal 2 10 2 3" xfId="2616"/>
    <cellStyle name="Normal 2 10 2_CPI" xfId="5699"/>
    <cellStyle name="Normal 2 10 3" xfId="867"/>
    <cellStyle name="Normal 2 10 3 2" xfId="3382"/>
    <cellStyle name="Normal 2 10 3 3" xfId="2437"/>
    <cellStyle name="Normal 2 10 4" xfId="3103"/>
    <cellStyle name="Normal 2 10 5" xfId="2159"/>
    <cellStyle name="Normal 2 11" xfId="445"/>
    <cellStyle name="Normal 2 11 2" xfId="908"/>
    <cellStyle name="Normal 2 11 2 2" xfId="3422"/>
    <cellStyle name="Normal 2 11 2 3" xfId="2477"/>
    <cellStyle name="Normal 2 11 2_CPI" xfId="5700"/>
    <cellStyle name="Normal 2 11 3" xfId="3104"/>
    <cellStyle name="Normal 2 11 4" xfId="3479"/>
    <cellStyle name="Normal 2 11 5" xfId="2160"/>
    <cellStyle name="Normal 2 12" xfId="920"/>
    <cellStyle name="Normal 2 12 2" xfId="3434"/>
    <cellStyle name="Normal 2 12 3" xfId="2489"/>
    <cellStyle name="Normal 2 12_CPI" xfId="5701"/>
    <cellStyle name="Normal 2 13" xfId="2971"/>
    <cellStyle name="Normal 2 14" xfId="2036"/>
    <cellStyle name="Normal 2 2" xfId="54"/>
    <cellStyle name="Normal 2 2 10" xfId="3623"/>
    <cellStyle name="Normal 2 2 11" xfId="2037"/>
    <cellStyle name="Normal 2 2 2" xfId="257"/>
    <cellStyle name="Normal 2 2 2 2" xfId="258"/>
    <cellStyle name="Normal 2 2 2 2 2" xfId="259"/>
    <cellStyle name="Normal 2 2 2 2 2 2" xfId="448"/>
    <cellStyle name="Normal 2 2 2 2 2 2 2" xfId="3107"/>
    <cellStyle name="Normal 2 2 2 2 2 2 3" xfId="2163"/>
    <cellStyle name="Normal 2 2 2 2 3" xfId="449"/>
    <cellStyle name="Normal 2 2 2 2 3 2" xfId="3108"/>
    <cellStyle name="Normal 2 2 2 2 3 3" xfId="2164"/>
    <cellStyle name="Normal 2 2 2 2 4" xfId="450"/>
    <cellStyle name="Normal 2 2 2 2 4 2" xfId="3109"/>
    <cellStyle name="Normal 2 2 2 2 4 3" xfId="2165"/>
    <cellStyle name="Normal 2 2 2 2 5" xfId="447"/>
    <cellStyle name="Normal 2 2 2 2 5 2" xfId="3106"/>
    <cellStyle name="Normal 2 2 2 2 5 3" xfId="2162"/>
    <cellStyle name="Normal 2 2 2 3" xfId="260"/>
    <cellStyle name="Normal 2 2 2 3 2" xfId="451"/>
    <cellStyle name="Normal 2 2 2 3 2 2" xfId="3110"/>
    <cellStyle name="Normal 2 2 2 3 2 3" xfId="2166"/>
    <cellStyle name="Normal 2 2 2 4" xfId="452"/>
    <cellStyle name="Normal 2 2 2 4 2" xfId="3111"/>
    <cellStyle name="Normal 2 2 2 4 3" xfId="2167"/>
    <cellStyle name="Normal 2 2 2 4 4" xfId="5267"/>
    <cellStyle name="Normal 2 2 2 4 5" xfId="4284"/>
    <cellStyle name="Normal 2 2 2 5" xfId="446"/>
    <cellStyle name="Normal 2 2 2 5 2" xfId="3105"/>
    <cellStyle name="Normal 2 2 2 5 3" xfId="2161"/>
    <cellStyle name="Normal 2 2 3" xfId="261"/>
    <cellStyle name="Normal 2 2 3 2" xfId="262"/>
    <cellStyle name="Normal 2 2 3 2 2" xfId="263"/>
    <cellStyle name="Normal 2 2 3 3" xfId="264"/>
    <cellStyle name="Normal 2 2 3 4" xfId="453"/>
    <cellStyle name="Normal 2 2 3 4 2" xfId="3112"/>
    <cellStyle name="Normal 2 2 3 4 3" xfId="2168"/>
    <cellStyle name="Normal 2 2 4" xfId="265"/>
    <cellStyle name="Normal 2 2 4 2" xfId="266"/>
    <cellStyle name="Normal 2 2 4 2 2" xfId="267"/>
    <cellStyle name="Normal 2 2 4 3" xfId="268"/>
    <cellStyle name="Normal 2 2 4 4" xfId="454"/>
    <cellStyle name="Normal 2 2 4 4 2" xfId="3113"/>
    <cellStyle name="Normal 2 2 4 4 3" xfId="2169"/>
    <cellStyle name="Normal 2 2 5" xfId="455"/>
    <cellStyle name="Normal 2 2 5 2" xfId="792"/>
    <cellStyle name="Normal 2 2 5 3" xfId="3114"/>
    <cellStyle name="Normal 2 2 5 4" xfId="3736"/>
    <cellStyle name="Normal 2 2 5 5" xfId="2170"/>
    <cellStyle name="Normal 2 2 6" xfId="456"/>
    <cellStyle name="Normal 2 2 6 2" xfId="793"/>
    <cellStyle name="Normal 2 2 6 2 2" xfId="3328"/>
    <cellStyle name="Normal 2 2 6 2 3" xfId="2384"/>
    <cellStyle name="Normal 2 2 6 2_CPI" xfId="5702"/>
    <cellStyle name="Normal 2 2 6 3" xfId="3115"/>
    <cellStyle name="Normal 2 2 6 4" xfId="3478"/>
    <cellStyle name="Normal 2 2 6 5" xfId="2171"/>
    <cellStyle name="Normal 2 2 7" xfId="457"/>
    <cellStyle name="Normal 2 2 7 2" xfId="1120"/>
    <cellStyle name="Normal 2 2 7 2 2" xfId="3550"/>
    <cellStyle name="Normal 2 2 7 2 3" xfId="2597"/>
    <cellStyle name="Normal 2 2 7 3" xfId="3116"/>
    <cellStyle name="Normal 2 2 7 4" xfId="2172"/>
    <cellStyle name="Normal 2 2 8" xfId="535"/>
    <cellStyle name="Normal 2 2 8 2" xfId="3191"/>
    <cellStyle name="Normal 2 2 8 3" xfId="2247"/>
    <cellStyle name="Normal 2 2 8 4" xfId="5266"/>
    <cellStyle name="Normal 2 2 8 5" xfId="4283"/>
    <cellStyle name="Normal 2 2 9" xfId="2972"/>
    <cellStyle name="Normal 2 2_C03" xfId="269"/>
    <cellStyle name="Normal 2 3" xfId="270"/>
    <cellStyle name="Normal 2 3 2" xfId="271"/>
    <cellStyle name="Normal 2 3 2 2" xfId="272"/>
    <cellStyle name="Normal 2 3 2 3" xfId="794"/>
    <cellStyle name="Normal 2 3 2 3 2" xfId="3329"/>
    <cellStyle name="Normal 2 3 2 3 3" xfId="2385"/>
    <cellStyle name="Normal 2 3 2 3 3 2" xfId="5396"/>
    <cellStyle name="Normal 2 3 2 3 3 3" xfId="4556"/>
    <cellStyle name="Normal 2 3 2 3 3_CPI" xfId="5703"/>
    <cellStyle name="Normal 2 3 2 3 4" xfId="4717"/>
    <cellStyle name="Normal 2 3 2 3 5" xfId="5111"/>
    <cellStyle name="Normal 2 3 2 3 6" xfId="4013"/>
    <cellStyle name="Normal 2 3 3" xfId="273"/>
    <cellStyle name="Normal 2 3 3 2" xfId="1654"/>
    <cellStyle name="Normal 2 3 3 2 2" xfId="3681"/>
    <cellStyle name="Normal 2 3 3 2 3" xfId="2683"/>
    <cellStyle name="Normal 2 3 3 2 3 2" xfId="5471"/>
    <cellStyle name="Normal 2 3 3 2 3 3" xfId="4557"/>
    <cellStyle name="Normal 2 3 3 2 3_CPI" xfId="5704"/>
    <cellStyle name="Normal 2 3 3 2 4" xfId="4797"/>
    <cellStyle name="Normal 2 3 3 2 5" xfId="5112"/>
    <cellStyle name="Normal 2 3 3 2 6" xfId="4014"/>
    <cellStyle name="Normal 2 3 3 3" xfId="3477"/>
    <cellStyle name="Normal 2 3 4" xfId="458"/>
    <cellStyle name="Normal 2 3 4 2" xfId="3117"/>
    <cellStyle name="Normal 2 3 4 3" xfId="2173"/>
    <cellStyle name="Normal 2 3 5" xfId="3626"/>
    <cellStyle name="Normal 2 4" xfId="274"/>
    <cellStyle name="Normal 2 4 2" xfId="2973"/>
    <cellStyle name="Normal 2 4 2 2" xfId="4888"/>
    <cellStyle name="Normal 2 4 2 3" xfId="5268"/>
    <cellStyle name="Normal 2 4 2 4" xfId="4285"/>
    <cellStyle name="Normal 2 4 3" xfId="3457"/>
    <cellStyle name="Normal 2 4 4" xfId="2038"/>
    <cellStyle name="Normal 2 5" xfId="275"/>
    <cellStyle name="Normal 2 5 2" xfId="2974"/>
    <cellStyle name="Normal 2 5 3" xfId="2039"/>
    <cellStyle name="Normal 2 6" xfId="276"/>
    <cellStyle name="Normal 2 6 2" xfId="2975"/>
    <cellStyle name="Normal 2 6 3" xfId="2040"/>
    <cellStyle name="Normal 2 7" xfId="277"/>
    <cellStyle name="Normal 2 7 2" xfId="460"/>
    <cellStyle name="Normal 2 7 2 2" xfId="461"/>
    <cellStyle name="Normal 2 7 2 2 2" xfId="3120"/>
    <cellStyle name="Normal 2 7 2 2 3" xfId="2176"/>
    <cellStyle name="Normal 2 7 2 2 4" xfId="5142"/>
    <cellStyle name="Normal 2 7 2 2 5" xfId="4085"/>
    <cellStyle name="Normal 2 7 2 3" xfId="462"/>
    <cellStyle name="Normal 2 7 2 3 2" xfId="3121"/>
    <cellStyle name="Normal 2 7 2 3 3" xfId="2177"/>
    <cellStyle name="Normal 2 7 2 3 4" xfId="5303"/>
    <cellStyle name="Normal 2 7 2 3 5" xfId="4558"/>
    <cellStyle name="Normal 2 7 2 4" xfId="463"/>
    <cellStyle name="Normal 2 7 2 4 2" xfId="3122"/>
    <cellStyle name="Normal 2 7 2 4 3" xfId="2178"/>
    <cellStyle name="Normal 2 7 2 5" xfId="795"/>
    <cellStyle name="Normal 2 7 2 6" xfId="3119"/>
    <cellStyle name="Normal 2 7 2 7" xfId="2175"/>
    <cellStyle name="Normal 2 7 2 8" xfId="5113"/>
    <cellStyle name="Normal 2 7 2 9" xfId="4015"/>
    <cellStyle name="Normal 2 7 3" xfId="464"/>
    <cellStyle name="Normal 2 7 3 2" xfId="3123"/>
    <cellStyle name="Normal 2 7 3 3" xfId="2179"/>
    <cellStyle name="Normal 2 7 4" xfId="465"/>
    <cellStyle name="Normal 2 7 4 2" xfId="3124"/>
    <cellStyle name="Normal 2 7 4 3" xfId="2180"/>
    <cellStyle name="Normal 2 7 5" xfId="459"/>
    <cellStyle name="Normal 2 7 5 2" xfId="3118"/>
    <cellStyle name="Normal 2 7 5 3" xfId="2174"/>
    <cellStyle name="Normal 2 7 6" xfId="2976"/>
    <cellStyle name="Normal 2 7 7" xfId="3729"/>
    <cellStyle name="Normal 2 7 8" xfId="2041"/>
    <cellStyle name="Normal 2 8" xfId="278"/>
    <cellStyle name="Normal 2 8 2" xfId="466"/>
    <cellStyle name="Normal 2 8 2 2" xfId="796"/>
    <cellStyle name="Normal 2 8 2 3" xfId="3125"/>
    <cellStyle name="Normal 2 8 2 3 2" xfId="4906"/>
    <cellStyle name="Normal 2 8 2 3 3" xfId="5304"/>
    <cellStyle name="Normal 2 8 2 3 4" xfId="4559"/>
    <cellStyle name="Normal 2 8 2 4" xfId="2181"/>
    <cellStyle name="Normal 2 8 2 5" xfId="5114"/>
    <cellStyle name="Normal 2 8 2 6" xfId="4016"/>
    <cellStyle name="Normal 2 8 3" xfId="2977"/>
    <cellStyle name="Normal 2 8 4" xfId="2042"/>
    <cellStyle name="Normal 2 9" xfId="279"/>
    <cellStyle name="Normal 2 9 2" xfId="467"/>
    <cellStyle name="Normal 2 9 2 2" xfId="1119"/>
    <cellStyle name="Normal 2 9 2 3" xfId="3126"/>
    <cellStyle name="Normal 2 9 2 4" xfId="2182"/>
    <cellStyle name="Normal 2 9 3" xfId="862"/>
    <cellStyle name="Normal 2 9 3 2" xfId="3377"/>
    <cellStyle name="Normal 2 9 3 3" xfId="2432"/>
    <cellStyle name="Normal 2 9 3 3 2" xfId="5401"/>
    <cellStyle name="Normal 2 9 3 3 3" xfId="4560"/>
    <cellStyle name="Normal 2 9 3 3_CPI" xfId="5705"/>
    <cellStyle name="Normal 2 9 3 4" xfId="4722"/>
    <cellStyle name="Normal 2 9 3 5" xfId="5115"/>
    <cellStyle name="Normal 2 9 3 6" xfId="4017"/>
    <cellStyle name="Normal 2 9 4" xfId="2978"/>
    <cellStyle name="Normal 2 9 5" xfId="2043"/>
    <cellStyle name="Normal 2_C03" xfId="280"/>
    <cellStyle name="Normal 20" xfId="433"/>
    <cellStyle name="Normal 20 2" xfId="1671"/>
    <cellStyle name="Normal 20 2 2" xfId="3696"/>
    <cellStyle name="Normal 20 2 3" xfId="2697"/>
    <cellStyle name="Normal 20 3" xfId="3093"/>
    <cellStyle name="Normal 20 4" xfId="2149"/>
    <cellStyle name="Normal 21" xfId="500"/>
    <cellStyle name="Normal 21 2" xfId="1764"/>
    <cellStyle name="Normal 21 2 2" xfId="3746"/>
    <cellStyle name="Normal 21 2 3" xfId="2741"/>
    <cellStyle name="Normal 21 3" xfId="1695"/>
    <cellStyle name="Normal 21 3 2" xfId="3716"/>
    <cellStyle name="Normal 21 3 3" xfId="2716"/>
    <cellStyle name="Normal 21 4" xfId="3158"/>
    <cellStyle name="Normal 21 4 2" xfId="4608"/>
    <cellStyle name="Normal 21 4 3" xfId="4908"/>
    <cellStyle name="Normal 21 4 4" xfId="5143"/>
    <cellStyle name="Normal 21 4 5" xfId="4089"/>
    <cellStyle name="Normal 21 5" xfId="2214"/>
    <cellStyle name="Normal 22" xfId="533"/>
    <cellStyle name="Normal 22 2" xfId="1769"/>
    <cellStyle name="Normal 22 2 2" xfId="3747"/>
    <cellStyle name="Normal 22 2 3" xfId="2742"/>
    <cellStyle name="Normal 22 3" xfId="1704"/>
    <cellStyle name="Normal 22 3 2" xfId="3721"/>
    <cellStyle name="Normal 22 3 3" xfId="2721"/>
    <cellStyle name="Normal 22 4" xfId="3190"/>
    <cellStyle name="Normal 22 4 2" xfId="4613"/>
    <cellStyle name="Normal 22 4 3" xfId="4913"/>
    <cellStyle name="Normal 22 4 4" xfId="5144"/>
    <cellStyle name="Normal 22 4 5" xfId="4094"/>
    <cellStyle name="Normal 22 5" xfId="2246"/>
    <cellStyle name="Normal 23" xfId="1706"/>
    <cellStyle name="Normal 23 2" xfId="1771"/>
    <cellStyle name="Normal 23 2 2" xfId="3748"/>
    <cellStyle name="Normal 23 2 3" xfId="2743"/>
    <cellStyle name="Normal 23 3" xfId="3723"/>
    <cellStyle name="Normal 23 4" xfId="2722"/>
    <cellStyle name="Normal 23 4 2" xfId="4615"/>
    <cellStyle name="Normal 23 4 3" xfId="5474"/>
    <cellStyle name="Normal 23 4 4" xfId="4096"/>
    <cellStyle name="Normal 23 4_CPI" xfId="5706"/>
    <cellStyle name="Normal 23 5" xfId="4799"/>
    <cellStyle name="Normal 24" xfId="1711"/>
    <cellStyle name="Normal 24 2" xfId="3725"/>
    <cellStyle name="Normal 24 3" xfId="2723"/>
    <cellStyle name="Normal 25" xfId="1729"/>
    <cellStyle name="Normal 25 2" xfId="3727"/>
    <cellStyle name="Normal 25 3" xfId="2724"/>
    <cellStyle name="Normal 26" xfId="1732"/>
    <cellStyle name="Normal 26 2" xfId="3728"/>
    <cellStyle name="Normal 26 3" xfId="2725"/>
    <cellStyle name="Normal 27" xfId="1734"/>
    <cellStyle name="Normal 27 2" xfId="3730"/>
    <cellStyle name="Normal 27 3" xfId="2726"/>
    <cellStyle name="Normal 28" xfId="1736"/>
    <cellStyle name="Normal 28 2" xfId="3731"/>
    <cellStyle name="Normal 28 3" xfId="2727"/>
    <cellStyle name="Normal 29" xfId="1738"/>
    <cellStyle name="Normal 29 2" xfId="3732"/>
    <cellStyle name="Normal 29 3" xfId="2728"/>
    <cellStyle name="Normal 3" xfId="55"/>
    <cellStyle name="Normal 3 10" xfId="1700"/>
    <cellStyle name="Normal 3 10 2" xfId="3718"/>
    <cellStyle name="Normal 3 10 3" xfId="2718"/>
    <cellStyle name="Normal 3 11" xfId="536"/>
    <cellStyle name="Normal 3 11 2" xfId="3192"/>
    <cellStyle name="Normal 3 11 3" xfId="2248"/>
    <cellStyle name="Normal 3 12" xfId="2979"/>
    <cellStyle name="Normal 3 13" xfId="2044"/>
    <cellStyle name="Normal 3 2" xfId="56"/>
    <cellStyle name="Normal 3 2 2" xfId="282"/>
    <cellStyle name="Normal 3 2 2 2" xfId="283"/>
    <cellStyle name="Normal 3 2 2 2 2" xfId="2982"/>
    <cellStyle name="Normal 3 2 2 2 3" xfId="2047"/>
    <cellStyle name="Normal 3 2 2 3" xfId="797"/>
    <cellStyle name="Normal 3 2 2 3 2" xfId="3330"/>
    <cellStyle name="Normal 3 2 2 3 3" xfId="2386"/>
    <cellStyle name="Normal 3 2 2 3 3 2" xfId="5397"/>
    <cellStyle name="Normal 3 2 2 3 3 3" xfId="4561"/>
    <cellStyle name="Normal 3 2 2 3 3_CPI" xfId="5708"/>
    <cellStyle name="Normal 3 2 2 3 4" xfId="4718"/>
    <cellStyle name="Normal 3 2 2 3 5" xfId="5116"/>
    <cellStyle name="Normal 3 2 2 3 6" xfId="4018"/>
    <cellStyle name="Normal 3 2 2 3_CPI" xfId="5707"/>
    <cellStyle name="Normal 3 2 2 4" xfId="2981"/>
    <cellStyle name="Normal 3 2 2 5" xfId="2046"/>
    <cellStyle name="Normal 3 2 2_CPI" xfId="356"/>
    <cellStyle name="Normal 3 2 3" xfId="281"/>
    <cellStyle name="Normal 3 2 3 2" xfId="798"/>
    <cellStyle name="Normal 3 2 3 2 2" xfId="3331"/>
    <cellStyle name="Normal 3 2 3 2 3" xfId="2387"/>
    <cellStyle name="Normal 3 2 3 3" xfId="561"/>
    <cellStyle name="Normal 3 2 3 3 2" xfId="3197"/>
    <cellStyle name="Normal 3 2 3 3 3" xfId="2253"/>
    <cellStyle name="Normal 3 2 3 3_CPI" xfId="5710"/>
    <cellStyle name="Normal 3 2 3 4" xfId="3127"/>
    <cellStyle name="Normal 3 2 3 5" xfId="3726"/>
    <cellStyle name="Normal 3 2 3 6" xfId="2183"/>
    <cellStyle name="Normal 3 2 3 7" xfId="468"/>
    <cellStyle name="Normal 3 2 3_CPI" xfId="5709"/>
    <cellStyle name="Normal 3 2 4" xfId="1034"/>
    <cellStyle name="Normal 3 2 4 2" xfId="3485"/>
    <cellStyle name="Normal 3 2 4 3" xfId="2532"/>
    <cellStyle name="Normal 3 2 4_CPI" xfId="5711"/>
    <cellStyle name="Normal 3 2 5" xfId="2980"/>
    <cellStyle name="Normal 3 2 6" xfId="2045"/>
    <cellStyle name="Normal 3 2 7" xfId="416"/>
    <cellStyle name="Normal 3 3" xfId="284"/>
    <cellStyle name="Normal 3 3 2" xfId="285"/>
    <cellStyle name="Normal 3 3 2 2" xfId="2984"/>
    <cellStyle name="Normal 3 3 2 3" xfId="3476"/>
    <cellStyle name="Normal 3 3 2 4" xfId="2049"/>
    <cellStyle name="Normal 3 3 3" xfId="286"/>
    <cellStyle name="Normal 3 3 3 2" xfId="1038"/>
    <cellStyle name="Normal 3 3 3 2 2" xfId="3489"/>
    <cellStyle name="Normal 3 3 3 2 3" xfId="2536"/>
    <cellStyle name="Normal 3 3 3 2 3 2" xfId="5442"/>
    <cellStyle name="Normal 3 3 3 2 3 3" xfId="4562"/>
    <cellStyle name="Normal 3 3 3 2 3_CPI" xfId="5712"/>
    <cellStyle name="Normal 3 3 3 2 4" xfId="4761"/>
    <cellStyle name="Normal 3 3 3 2 5" xfId="5117"/>
    <cellStyle name="Normal 3 3 3 2 6" xfId="4019"/>
    <cellStyle name="Normal 3 3 3 3" xfId="2985"/>
    <cellStyle name="Normal 3 3 3 4" xfId="2050"/>
    <cellStyle name="Normal 3 3 4" xfId="562"/>
    <cellStyle name="Normal 3 3 4 2" xfId="3198"/>
    <cellStyle name="Normal 3 3 4 3" xfId="2254"/>
    <cellStyle name="Normal 3 3 5" xfId="2983"/>
    <cellStyle name="Normal 3 3 5 2" xfId="4889"/>
    <cellStyle name="Normal 3 3 5 3" xfId="5269"/>
    <cellStyle name="Normal 3 3 5 4" xfId="4286"/>
    <cellStyle name="Normal 3 3 6" xfId="3724"/>
    <cellStyle name="Normal 3 3 7" xfId="2048"/>
    <cellStyle name="Normal 3 3_CPI" xfId="357"/>
    <cellStyle name="Normal 3 4" xfId="287"/>
    <cellStyle name="Normal 3 4 2" xfId="2986"/>
    <cellStyle name="Normal 3 4 2 2" xfId="4890"/>
    <cellStyle name="Normal 3 4 2 3" xfId="5270"/>
    <cellStyle name="Normal 3 4 2 4" xfId="4287"/>
    <cellStyle name="Normal 3 4 3" xfId="2051"/>
    <cellStyle name="Normal 3 5" xfId="288"/>
    <cellStyle name="Normal 3 5 2" xfId="289"/>
    <cellStyle name="Normal 3 5 2 2" xfId="2988"/>
    <cellStyle name="Normal 3 5 2 3" xfId="2053"/>
    <cellStyle name="Normal 3 5 3" xfId="799"/>
    <cellStyle name="Normal 3 5 3 2" xfId="3332"/>
    <cellStyle name="Normal 3 5 3 3" xfId="2388"/>
    <cellStyle name="Normal 3 5 3 3 2" xfId="5398"/>
    <cellStyle name="Normal 3 5 3 3 3" xfId="4563"/>
    <cellStyle name="Normal 3 5 3 3_CPI" xfId="5714"/>
    <cellStyle name="Normal 3 5 3 4" xfId="4719"/>
    <cellStyle name="Normal 3 5 3 5" xfId="5118"/>
    <cellStyle name="Normal 3 5 3 6" xfId="4020"/>
    <cellStyle name="Normal 3 5 3_CPI" xfId="5713"/>
    <cellStyle name="Normal 3 5 4" xfId="2987"/>
    <cellStyle name="Normal 3 5 5" xfId="3722"/>
    <cellStyle name="Normal 3 5 6" xfId="2052"/>
    <cellStyle name="Normal 3 6" xfId="290"/>
    <cellStyle name="Normal 3 6 2" xfId="291"/>
    <cellStyle name="Normal 3 6 2 2" xfId="2990"/>
    <cellStyle name="Normal 3 6 2 3" xfId="2055"/>
    <cellStyle name="Normal 3 6 3" xfId="469"/>
    <cellStyle name="Normal 3 6 3 2" xfId="909"/>
    <cellStyle name="Normal 3 6 3 2 2" xfId="3423"/>
    <cellStyle name="Normal 3 6 3 2 3" xfId="2478"/>
    <cellStyle name="Normal 3 6 3 2_CPI" xfId="5715"/>
    <cellStyle name="Normal 3 6 3 3" xfId="3128"/>
    <cellStyle name="Normal 3 6 3 4" xfId="2184"/>
    <cellStyle name="Normal 3 6 4" xfId="2989"/>
    <cellStyle name="Normal 3 6 5" xfId="2054"/>
    <cellStyle name="Normal 3 7" xfId="470"/>
    <cellStyle name="Normal 3 7 2" xfId="1655"/>
    <cellStyle name="Normal 3 7 2 2" xfId="3682"/>
    <cellStyle name="Normal 3 7 2 3" xfId="2684"/>
    <cellStyle name="Normal 3 7 3" xfId="560"/>
    <cellStyle name="Normal 3 7 3 2" xfId="3196"/>
    <cellStyle name="Normal 3 7 3 3" xfId="2252"/>
    <cellStyle name="Normal 3 7 3_CPI" xfId="5716"/>
    <cellStyle name="Normal 3 7 4" xfId="3129"/>
    <cellStyle name="Normal 3 7 5" xfId="2185"/>
    <cellStyle name="Normal 3 8" xfId="1669"/>
    <cellStyle name="Normal 3 8 2" xfId="3694"/>
    <cellStyle name="Normal 3 8 3" xfId="2695"/>
    <cellStyle name="Normal 3 9" xfId="1665"/>
    <cellStyle name="Normal 3 9 2" xfId="3691"/>
    <cellStyle name="Normal 3 9 3" xfId="2692"/>
    <cellStyle name="Normal 3_CPI" xfId="5542"/>
    <cellStyle name="Normal 30" xfId="292"/>
    <cellStyle name="Normal 30 2" xfId="2991"/>
    <cellStyle name="Normal 30 3" xfId="2056"/>
    <cellStyle name="Normal 31" xfId="293"/>
    <cellStyle name="Normal 31 2" xfId="2992"/>
    <cellStyle name="Normal 31 3" xfId="2057"/>
    <cellStyle name="Normal 32" xfId="1740"/>
    <cellStyle name="Normal 32 2" xfId="3733"/>
    <cellStyle name="Normal 32 3" xfId="2729"/>
    <cellStyle name="Normal 33" xfId="1742"/>
    <cellStyle name="Normal 33 2" xfId="3734"/>
    <cellStyle name="Normal 33 3" xfId="2730"/>
    <cellStyle name="Normal 34" xfId="1744"/>
    <cellStyle name="Normal 34 2" xfId="3735"/>
    <cellStyle name="Normal 34 3" xfId="2731"/>
    <cellStyle name="Normal 35" xfId="1746"/>
    <cellStyle name="Normal 35 2" xfId="3737"/>
    <cellStyle name="Normal 35 3" xfId="2732"/>
    <cellStyle name="Normal 36" xfId="1748"/>
    <cellStyle name="Normal 36 2" xfId="3738"/>
    <cellStyle name="Normal 36 3" xfId="2733"/>
    <cellStyle name="Normal 37" xfId="1750"/>
    <cellStyle name="Normal 37 2" xfId="3739"/>
    <cellStyle name="Normal 37 3" xfId="2734"/>
    <cellStyle name="Normal 38" xfId="1751"/>
    <cellStyle name="Normal 38 2" xfId="3740"/>
    <cellStyle name="Normal 38 3" xfId="2735"/>
    <cellStyle name="Normal 39" xfId="1859"/>
    <cellStyle name="Normal 39 2" xfId="3834"/>
    <cellStyle name="Normal 39 3" xfId="2829"/>
    <cellStyle name="Normal 39 3 2" xfId="3904"/>
    <cellStyle name="Normal 39 3 3" xfId="5485"/>
    <cellStyle name="Normal 39 3_CPI" xfId="5717"/>
    <cellStyle name="Normal 39 4" xfId="4098"/>
    <cellStyle name="Normal 39 4 2" xfId="4617"/>
    <cellStyle name="Normal 39 5" xfId="4810"/>
    <cellStyle name="Normal 4" xfId="57"/>
    <cellStyle name="Normal 4 10" xfId="471"/>
    <cellStyle name="Normal 4 10 2" xfId="1702"/>
    <cellStyle name="Normal 4 10 2 2" xfId="3720"/>
    <cellStyle name="Normal 4 10 2 3" xfId="2720"/>
    <cellStyle name="Normal 4 10 3" xfId="3130"/>
    <cellStyle name="Normal 4 10 4" xfId="2186"/>
    <cellStyle name="Normal 4 11" xfId="472"/>
    <cellStyle name="Normal 4 11 2" xfId="3131"/>
    <cellStyle name="Normal 4 11 3" xfId="2187"/>
    <cellStyle name="Normal 4 11 4" xfId="5271"/>
    <cellStyle name="Normal 4 11 5" xfId="4288"/>
    <cellStyle name="Normal 4 12" xfId="537"/>
    <cellStyle name="Normal 4 13" xfId="2993"/>
    <cellStyle name="Normal 4 14" xfId="3625"/>
    <cellStyle name="Normal 4 15" xfId="2058"/>
    <cellStyle name="Normal 4 2" xfId="58"/>
    <cellStyle name="Normal 4 2 10" xfId="2059"/>
    <cellStyle name="Normal 4 2 2" xfId="294"/>
    <cellStyle name="Normal 4 2 2 2" xfId="475"/>
    <cellStyle name="Normal 4 2 2 2 2" xfId="476"/>
    <cellStyle name="Normal 4 2 2 2 2 2" xfId="3135"/>
    <cellStyle name="Normal 4 2 2 2 2 3" xfId="2191"/>
    <cellStyle name="Normal 4 2 2 2 2_CPI" xfId="5718"/>
    <cellStyle name="Normal 4 2 2 2 3" xfId="477"/>
    <cellStyle name="Normal 4 2 2 2 3 2" xfId="3136"/>
    <cellStyle name="Normal 4 2 2 2 3 3" xfId="2192"/>
    <cellStyle name="Normal 4 2 2 2 3_CPI" xfId="5719"/>
    <cellStyle name="Normal 4 2 2 2 4" xfId="478"/>
    <cellStyle name="Normal 4 2 2 2 4 2" xfId="3137"/>
    <cellStyle name="Normal 4 2 2 2 4 3" xfId="2193"/>
    <cellStyle name="Normal 4 2 2 2 4_CPI" xfId="5720"/>
    <cellStyle name="Normal 4 2 2 2 5" xfId="3134"/>
    <cellStyle name="Normal 4 2 2 2 6" xfId="2190"/>
    <cellStyle name="Normal 4 2 2 3" xfId="479"/>
    <cellStyle name="Normal 4 2 2 3 2" xfId="3138"/>
    <cellStyle name="Normal 4 2 2 3 3" xfId="2194"/>
    <cellStyle name="Normal 4 2 2 4" xfId="480"/>
    <cellStyle name="Normal 4 2 2 4 2" xfId="3139"/>
    <cellStyle name="Normal 4 2 2 4 3" xfId="2195"/>
    <cellStyle name="Normal 4 2 2 5" xfId="474"/>
    <cellStyle name="Normal 4 2 2 5 2" xfId="3133"/>
    <cellStyle name="Normal 4 2 2 5 3" xfId="2189"/>
    <cellStyle name="Normal 4 2 2 5_CPI" xfId="5721"/>
    <cellStyle name="Normal 4 2 2 6" xfId="2995"/>
    <cellStyle name="Normal 4 2 2 7" xfId="2060"/>
    <cellStyle name="Normal 4 2 3" xfId="295"/>
    <cellStyle name="Normal 4 2 3 2" xfId="481"/>
    <cellStyle name="Normal 4 2 3 2 2" xfId="800"/>
    <cellStyle name="Normal 4 2 3 2 3" xfId="3140"/>
    <cellStyle name="Normal 4 2 3 2 3 2" xfId="4907"/>
    <cellStyle name="Normal 4 2 3 2 3 3" xfId="5305"/>
    <cellStyle name="Normal 4 2 3 2 3 4" xfId="4564"/>
    <cellStyle name="Normal 4 2 3 2 3_CPI" xfId="5723"/>
    <cellStyle name="Normal 4 2 3 2 4" xfId="2196"/>
    <cellStyle name="Normal 4 2 3 2 5" xfId="5119"/>
    <cellStyle name="Normal 4 2 3 2 6" xfId="4021"/>
    <cellStyle name="Normal 4 2 3 2_CPI" xfId="5722"/>
    <cellStyle name="Normal 4 2 3 3" xfId="2996"/>
    <cellStyle name="Normal 4 2 3 4" xfId="2061"/>
    <cellStyle name="Normal 4 2 4" xfId="482"/>
    <cellStyle name="Normal 4 2 4 2" xfId="801"/>
    <cellStyle name="Normal 4 2 4 2 2" xfId="3333"/>
    <cellStyle name="Normal 4 2 4 2 3" xfId="2389"/>
    <cellStyle name="Normal 4 2 4 3" xfId="3141"/>
    <cellStyle name="Normal 4 2 4 4" xfId="2197"/>
    <cellStyle name="Normal 4 2 4_CPI" xfId="5724"/>
    <cellStyle name="Normal 4 2 5" xfId="483"/>
    <cellStyle name="Normal 4 2 5 2" xfId="3142"/>
    <cellStyle name="Normal 4 2 5 3" xfId="2198"/>
    <cellStyle name="Normal 4 2 5_CPI" xfId="5725"/>
    <cellStyle name="Normal 4 2 6" xfId="484"/>
    <cellStyle name="Normal 4 2 6 2" xfId="3143"/>
    <cellStyle name="Normal 4 2 6 3" xfId="2199"/>
    <cellStyle name="Normal 4 2 6 4" xfId="5272"/>
    <cellStyle name="Normal 4 2 6 5" xfId="4289"/>
    <cellStyle name="Normal 4 2 6_CPI" xfId="5726"/>
    <cellStyle name="Normal 4 2 7" xfId="485"/>
    <cellStyle name="Normal 4 2 7 2" xfId="3144"/>
    <cellStyle name="Normal 4 2 7 3" xfId="2200"/>
    <cellStyle name="Normal 4 2 7_CPI" xfId="5727"/>
    <cellStyle name="Normal 4 2 8" xfId="473"/>
    <cellStyle name="Normal 4 2 8 2" xfId="3132"/>
    <cellStyle name="Normal 4 2 8 3" xfId="2188"/>
    <cellStyle name="Normal 4 2 9" xfId="2994"/>
    <cellStyle name="Normal 4 2_CPI" xfId="5544"/>
    <cellStyle name="Normal 4 3" xfId="296"/>
    <cellStyle name="Normal 4 3 2" xfId="486"/>
    <cellStyle name="Normal 4 3 2 2" xfId="1039"/>
    <cellStyle name="Normal 4 3 2 2 2" xfId="3490"/>
    <cellStyle name="Normal 4 3 2 2 3" xfId="2537"/>
    <cellStyle name="Normal 4 3 2 2_CPI" xfId="5730"/>
    <cellStyle name="Normal 4 3 2 3" xfId="3145"/>
    <cellStyle name="Normal 4 3 2 4" xfId="2201"/>
    <cellStyle name="Normal 4 3 2_CPI" xfId="5729"/>
    <cellStyle name="Normal 4 3 3" xfId="802"/>
    <cellStyle name="Normal 4 3 4" xfId="2997"/>
    <cellStyle name="Normal 4 3 5" xfId="3689"/>
    <cellStyle name="Normal 4 3 6" xfId="2062"/>
    <cellStyle name="Normal 4 3_CPI" xfId="5728"/>
    <cellStyle name="Normal 4 4" xfId="297"/>
    <cellStyle name="Normal 4 4 2" xfId="298"/>
    <cellStyle name="Normal 4 4 3" xfId="487"/>
    <cellStyle name="Normal 4 4 3 2" xfId="3146"/>
    <cellStyle name="Normal 4 4 3 3" xfId="2202"/>
    <cellStyle name="Normal 4 4 3_CPI" xfId="5731"/>
    <cellStyle name="Normal 4 5" xfId="488"/>
    <cellStyle name="Normal 4 5 2" xfId="1656"/>
    <cellStyle name="Normal 4 5 2 2" xfId="3683"/>
    <cellStyle name="Normal 4 5 2 3" xfId="2685"/>
    <cellStyle name="Normal 4 5 3" xfId="3147"/>
    <cellStyle name="Normal 4 5 4" xfId="2203"/>
    <cellStyle name="Normal 4 5_CPI" xfId="5732"/>
    <cellStyle name="Normal 4 6" xfId="489"/>
    <cellStyle name="Normal 4 6 2" xfId="1670"/>
    <cellStyle name="Normal 4 6 2 2" xfId="3695"/>
    <cellStyle name="Normal 4 6 2 3" xfId="2696"/>
    <cellStyle name="Normal 4 6 3" xfId="3148"/>
    <cellStyle name="Normal 4 6 4" xfId="2204"/>
    <cellStyle name="Normal 4 6_CPI" xfId="5733"/>
    <cellStyle name="Normal 4 7" xfId="490"/>
    <cellStyle name="Normal 4 7 2" xfId="491"/>
    <cellStyle name="Normal 4 7 2 2" xfId="492"/>
    <cellStyle name="Normal 4 7 2 2 2" xfId="3151"/>
    <cellStyle name="Normal 4 7 2 2 3" xfId="2207"/>
    <cellStyle name="Normal 4 7 2 3" xfId="493"/>
    <cellStyle name="Normal 4 7 2 3 2" xfId="3152"/>
    <cellStyle name="Normal 4 7 2 3 3" xfId="2208"/>
    <cellStyle name="Normal 4 7 2 4" xfId="494"/>
    <cellStyle name="Normal 4 7 2 4 2" xfId="3153"/>
    <cellStyle name="Normal 4 7 2 4 3" xfId="2209"/>
    <cellStyle name="Normal 4 7 2 5" xfId="3150"/>
    <cellStyle name="Normal 4 7 2 6" xfId="2206"/>
    <cellStyle name="Normal 4 7 2_CPI" xfId="5734"/>
    <cellStyle name="Normal 4 7 3" xfId="495"/>
    <cellStyle name="Normal 4 7 3 2" xfId="3154"/>
    <cellStyle name="Normal 4 7 3 3" xfId="2210"/>
    <cellStyle name="Normal 4 7 3_CPI" xfId="5735"/>
    <cellStyle name="Normal 4 7 4" xfId="496"/>
    <cellStyle name="Normal 4 7 4 2" xfId="3155"/>
    <cellStyle name="Normal 4 7 4 3" xfId="2211"/>
    <cellStyle name="Normal 4 7 4_CPI" xfId="5736"/>
    <cellStyle name="Normal 4 7 5" xfId="1664"/>
    <cellStyle name="Normal 4 7 5 2" xfId="3690"/>
    <cellStyle name="Normal 4 7 5 3" xfId="2691"/>
    <cellStyle name="Normal 4 7 6" xfId="3149"/>
    <cellStyle name="Normal 4 7 7" xfId="2205"/>
    <cellStyle name="Normal 4 8" xfId="497"/>
    <cellStyle name="Normal 4 8 2" xfId="1701"/>
    <cellStyle name="Normal 4 8 2 2" xfId="3719"/>
    <cellStyle name="Normal 4 8 2 3" xfId="2719"/>
    <cellStyle name="Normal 4 8 3" xfId="3156"/>
    <cellStyle name="Normal 4 8 4" xfId="2212"/>
    <cellStyle name="Normal 4 9" xfId="498"/>
    <cellStyle name="Normal 4 9 2" xfId="1696"/>
    <cellStyle name="Normal 4 9 2 2" xfId="3717"/>
    <cellStyle name="Normal 4 9 2 3" xfId="2717"/>
    <cellStyle name="Normal 4 9 3" xfId="3157"/>
    <cellStyle name="Normal 4 9 4" xfId="2213"/>
    <cellStyle name="Normal 4_CPI" xfId="5543"/>
    <cellStyle name="Normal 40" xfId="1899"/>
    <cellStyle name="Normal 40 2" xfId="3843"/>
    <cellStyle name="Normal 40 3" xfId="2836"/>
    <cellStyle name="Normal 40 4" xfId="5043"/>
    <cellStyle name="Normal 40 5" xfId="3937"/>
    <cellStyle name="Normal 40_CPI" xfId="5737"/>
    <cellStyle name="Normal 41" xfId="1900"/>
    <cellStyle name="Normal 41 2" xfId="3844"/>
    <cellStyle name="Normal 41 3" xfId="2837"/>
    <cellStyle name="Normal 41 4" xfId="5044"/>
    <cellStyle name="Normal 41 5" xfId="3940"/>
    <cellStyle name="Normal 41_CPI" xfId="5738"/>
    <cellStyle name="Normal 42" xfId="1901"/>
    <cellStyle name="Normal 42 2" xfId="3845"/>
    <cellStyle name="Normal 42 3" xfId="2838"/>
    <cellStyle name="Normal 42 4" xfId="5141"/>
    <cellStyle name="Normal 42 5" xfId="4073"/>
    <cellStyle name="Normal 42_CPI" xfId="5739"/>
    <cellStyle name="Normal 43" xfId="1903"/>
    <cellStyle name="Normal 43 2" xfId="3846"/>
    <cellStyle name="Normal 43 3" xfId="2839"/>
    <cellStyle name="Normal 43_CPI" xfId="5740"/>
    <cellStyle name="Normal 44" xfId="2840"/>
    <cellStyle name="Normal 45" xfId="3034"/>
    <cellStyle name="Normal 46" xfId="3715"/>
    <cellStyle name="Normal 47" xfId="3627"/>
    <cellStyle name="Normal 48" xfId="3632"/>
    <cellStyle name="Normal 49" xfId="3848"/>
    <cellStyle name="Normal 5" xfId="59"/>
    <cellStyle name="Normal 5 2" xfId="60"/>
    <cellStyle name="Normal 5 2 2" xfId="911"/>
    <cellStyle name="Normal 5 2 2 2" xfId="3425"/>
    <cellStyle name="Normal 5 2 2 3" xfId="2480"/>
    <cellStyle name="Normal 5 2 2_CPI" xfId="5742"/>
    <cellStyle name="Normal 5 2 3" xfId="803"/>
    <cellStyle name="Normal 5 2 4" xfId="2999"/>
    <cellStyle name="Normal 5 2 5" xfId="2064"/>
    <cellStyle name="Normal 5 2_CPI" xfId="5741"/>
    <cellStyle name="Normal 5 3" xfId="299"/>
    <cellStyle name="Normal 5 3 2" xfId="501"/>
    <cellStyle name="Normal 5 3 2 2" xfId="1037"/>
    <cellStyle name="Normal 5 3 2 2 2" xfId="3488"/>
    <cellStyle name="Normal 5 3 2 2 3" xfId="2535"/>
    <cellStyle name="Normal 5 3 2 2_CPI" xfId="5745"/>
    <cellStyle name="Normal 5 3 2 3" xfId="3159"/>
    <cellStyle name="Normal 5 3 2 4" xfId="2215"/>
    <cellStyle name="Normal 5 3 2_CPI" xfId="5744"/>
    <cellStyle name="Normal 5 3 3" xfId="1121"/>
    <cellStyle name="Normal 5 3 4" xfId="910"/>
    <cellStyle name="Normal 5 3 4 2" xfId="3424"/>
    <cellStyle name="Normal 5 3 4 3" xfId="2479"/>
    <cellStyle name="Normal 5 3 4_CPI" xfId="5746"/>
    <cellStyle name="Normal 5 3 5" xfId="3000"/>
    <cellStyle name="Normal 5 3 6" xfId="3631"/>
    <cellStyle name="Normal 5 3 7" xfId="2065"/>
    <cellStyle name="Normal 5 3_CPI" xfId="5743"/>
    <cellStyle name="Normal 5 4" xfId="300"/>
    <cellStyle name="Normal 5 4 2" xfId="301"/>
    <cellStyle name="Normal 5 4 3" xfId="502"/>
    <cellStyle name="Normal 5 4 3 2" xfId="1657"/>
    <cellStyle name="Normal 5 4 3 2 2" xfId="3684"/>
    <cellStyle name="Normal 5 4 3 2 3" xfId="2686"/>
    <cellStyle name="Normal 5 4 3 2_CPI" xfId="5749"/>
    <cellStyle name="Normal 5 4 3 3" xfId="3160"/>
    <cellStyle name="Normal 5 4 3 3 2" xfId="4909"/>
    <cellStyle name="Normal 5 4 3 3 3" xfId="5306"/>
    <cellStyle name="Normal 5 4 3 3 4" xfId="4566"/>
    <cellStyle name="Normal 5 4 3 3_CPI" xfId="5750"/>
    <cellStyle name="Normal 5 4 3 4" xfId="2216"/>
    <cellStyle name="Normal 5 4 3 5" xfId="5120"/>
    <cellStyle name="Normal 5 4 3 6" xfId="4022"/>
    <cellStyle name="Normal 5 4 3_CPI" xfId="5748"/>
    <cellStyle name="Normal 5 4_CPI" xfId="5747"/>
    <cellStyle name="Normal 5 5" xfId="503"/>
    <cellStyle name="Normal 5 5 2" xfId="3161"/>
    <cellStyle name="Normal 5 5 3" xfId="2217"/>
    <cellStyle name="Normal 5 5_CPI" xfId="5751"/>
    <cellStyle name="Normal 5 6" xfId="504"/>
    <cellStyle name="Normal 5 6 2" xfId="3162"/>
    <cellStyle name="Normal 5 6 3" xfId="2218"/>
    <cellStyle name="Normal 5 6 4" xfId="5273"/>
    <cellStyle name="Normal 5 6 5" xfId="4290"/>
    <cellStyle name="Normal 5 6_CPI" xfId="5752"/>
    <cellStyle name="Normal 5 7" xfId="505"/>
    <cellStyle name="Normal 5 7 2" xfId="3163"/>
    <cellStyle name="Normal 5 7 3" xfId="2219"/>
    <cellStyle name="Normal 5 7_CPI" xfId="5753"/>
    <cellStyle name="Normal 5 8" xfId="2998"/>
    <cellStyle name="Normal 5 9" xfId="2063"/>
    <cellStyle name="Normal 5_CPI" xfId="5545"/>
    <cellStyle name="Normal 50" xfId="3480"/>
    <cellStyle name="Normal 51" xfId="1906"/>
    <cellStyle name="Normal 51 2" xfId="5356"/>
    <cellStyle name="Normal 51 3" xfId="5010"/>
    <cellStyle name="Normal 51_CPI" xfId="5754"/>
    <cellStyle name="Normal 52" xfId="2521"/>
    <cellStyle name="Normal 52 2" xfId="5440"/>
    <cellStyle name="Normal 52 3" xfId="5013"/>
    <cellStyle name="Normal 52_CPI" xfId="5755"/>
    <cellStyle name="Normal 53" xfId="5015"/>
    <cellStyle name="Normal 54" xfId="5017"/>
    <cellStyle name="Normal 55" xfId="506"/>
    <cellStyle name="Normal 55 2" xfId="3164"/>
    <cellStyle name="Normal 55 3" xfId="2220"/>
    <cellStyle name="Normal 55_CPI" xfId="5756"/>
    <cellStyle name="Normal 56" xfId="507"/>
    <cellStyle name="Normal 56 2" xfId="3165"/>
    <cellStyle name="Normal 56 3" xfId="2221"/>
    <cellStyle name="Normal 56_CPI" xfId="5757"/>
    <cellStyle name="Normal 57" xfId="4668"/>
    <cellStyle name="Normal 58" xfId="5035"/>
    <cellStyle name="Normal 59" xfId="4776"/>
    <cellStyle name="Normal 6" xfId="61"/>
    <cellStyle name="Normal 6 2" xfId="62"/>
    <cellStyle name="Normal 6 2 2" xfId="302"/>
    <cellStyle name="Normal 6 2 2 2" xfId="913"/>
    <cellStyle name="Normal 6 2 2 2 2" xfId="3427"/>
    <cellStyle name="Normal 6 2 2 2 3" xfId="2482"/>
    <cellStyle name="Normal 6 2 2 2 3 2" xfId="5437"/>
    <cellStyle name="Normal 6 2 2 2 3 3" xfId="4567"/>
    <cellStyle name="Normal 6 2 2 2 3_CPI" xfId="5762"/>
    <cellStyle name="Normal 6 2 2 2 4" xfId="4758"/>
    <cellStyle name="Normal 6 2 2 2 5" xfId="5121"/>
    <cellStyle name="Normal 6 2 2 2 6" xfId="4023"/>
    <cellStyle name="Normal 6 2 2 2_CPI" xfId="5761"/>
    <cellStyle name="Normal 6 2 2 3" xfId="3003"/>
    <cellStyle name="Normal 6 2 2 4" xfId="2068"/>
    <cellStyle name="Normal 6 2 2_CPI" xfId="5760"/>
    <cellStyle name="Normal 6 2 3" xfId="508"/>
    <cellStyle name="Normal 6 2 3 2" xfId="564"/>
    <cellStyle name="Normal 6 2 3 2 2" xfId="3200"/>
    <cellStyle name="Normal 6 2 3 2 3" xfId="2256"/>
    <cellStyle name="Normal 6 2 3 2_CPI" xfId="5764"/>
    <cellStyle name="Normal 6 2 3 3" xfId="3166"/>
    <cellStyle name="Normal 6 2 3 4" xfId="2222"/>
    <cellStyle name="Normal 6 2 3_CPI" xfId="5763"/>
    <cellStyle name="Normal 6 2 4" xfId="3002"/>
    <cellStyle name="Normal 6 2 4 2" xfId="4891"/>
    <cellStyle name="Normal 6 2 4 3" xfId="5275"/>
    <cellStyle name="Normal 6 2 4 4" xfId="4292"/>
    <cellStyle name="Normal 6 2 4_CPI" xfId="5765"/>
    <cellStyle name="Normal 6 2 5" xfId="3608"/>
    <cellStyle name="Normal 6 2 6" xfId="2067"/>
    <cellStyle name="Normal 6 2_CPI" xfId="5759"/>
    <cellStyle name="Normal 6 3" xfId="303"/>
    <cellStyle name="Normal 6 3 2" xfId="509"/>
    <cellStyle name="Normal 6 3 2 2" xfId="912"/>
    <cellStyle name="Normal 6 3 2 2 2" xfId="3426"/>
    <cellStyle name="Normal 6 3 2 2 3" xfId="2481"/>
    <cellStyle name="Normal 6 3 2 2_CPI" xfId="5768"/>
    <cellStyle name="Normal 6 3 2 3" xfId="3167"/>
    <cellStyle name="Normal 6 3 2 3 2" xfId="4910"/>
    <cellStyle name="Normal 6 3 2 3 3" xfId="5307"/>
    <cellStyle name="Normal 6 3 2 3 4" xfId="4568"/>
    <cellStyle name="Normal 6 3 2 3_CPI" xfId="5769"/>
    <cellStyle name="Normal 6 3 2 4" xfId="2223"/>
    <cellStyle name="Normal 6 3 2 5" xfId="5122"/>
    <cellStyle name="Normal 6 3 2 6" xfId="4024"/>
    <cellStyle name="Normal 6 3 2_CPI" xfId="5767"/>
    <cellStyle name="Normal 6 3 3" xfId="3004"/>
    <cellStyle name="Normal 6 3 4" xfId="2069"/>
    <cellStyle name="Normal 6 3_CPI" xfId="5766"/>
    <cellStyle name="Normal 6 4" xfId="510"/>
    <cellStyle name="Normal 6 4 2" xfId="1615"/>
    <cellStyle name="Normal 6 4 2 2" xfId="3643"/>
    <cellStyle name="Normal 6 4 2 3" xfId="2645"/>
    <cellStyle name="Normal 6 4 2_CPI" xfId="5771"/>
    <cellStyle name="Normal 6 4 3" xfId="563"/>
    <cellStyle name="Normal 6 4 3 2" xfId="3199"/>
    <cellStyle name="Normal 6 4 3 3" xfId="2255"/>
    <cellStyle name="Normal 6 4 3_CPI" xfId="5772"/>
    <cellStyle name="Normal 6 4 4" xfId="3168"/>
    <cellStyle name="Normal 6 4 5" xfId="2224"/>
    <cellStyle name="Normal 6 4_CPI" xfId="5770"/>
    <cellStyle name="Normal 6 5" xfId="511"/>
    <cellStyle name="Normal 6 5 2" xfId="3169"/>
    <cellStyle name="Normal 6 5 3" xfId="2225"/>
    <cellStyle name="Normal 6 5 4" xfId="5274"/>
    <cellStyle name="Normal 6 5 5" xfId="4291"/>
    <cellStyle name="Normal 6 5_CPI" xfId="5773"/>
    <cellStyle name="Normal 6 6" xfId="512"/>
    <cellStyle name="Normal 6 6 2" xfId="3170"/>
    <cellStyle name="Normal 6 6 3" xfId="2226"/>
    <cellStyle name="Normal 6 6_CPI" xfId="5774"/>
    <cellStyle name="Normal 6 7" xfId="513"/>
    <cellStyle name="Normal 6 7 2" xfId="3171"/>
    <cellStyle name="Normal 6 7 3" xfId="2227"/>
    <cellStyle name="Normal 6 7_CPI" xfId="5775"/>
    <cellStyle name="Normal 6 8" xfId="3001"/>
    <cellStyle name="Normal 6 9" xfId="2066"/>
    <cellStyle name="Normal 6_CPI" xfId="5758"/>
    <cellStyle name="Normal 60" xfId="4779"/>
    <cellStyle name="Normal 7" xfId="63"/>
    <cellStyle name="Normal 7 2" xfId="64"/>
    <cellStyle name="Normal 7 2 2" xfId="304"/>
    <cellStyle name="Normal 7 2 2 2" xfId="804"/>
    <cellStyle name="Normal 7 2 2 2 2" xfId="3334"/>
    <cellStyle name="Normal 7 2 2 2 3" xfId="2390"/>
    <cellStyle name="Normal 7 2 2 2 3 2" xfId="5399"/>
    <cellStyle name="Normal 7 2 2 2 3 3" xfId="4569"/>
    <cellStyle name="Normal 7 2 2 2 3_CPI" xfId="5780"/>
    <cellStyle name="Normal 7 2 2 2 4" xfId="4720"/>
    <cellStyle name="Normal 7 2 2 2 5" xfId="5123"/>
    <cellStyle name="Normal 7 2 2 2 6" xfId="4025"/>
    <cellStyle name="Normal 7 2 2 2_CPI" xfId="5779"/>
    <cellStyle name="Normal 7 2 2 3" xfId="3007"/>
    <cellStyle name="Normal 7 2 2 4" xfId="2072"/>
    <cellStyle name="Normal 7 2 2_CPI" xfId="5778"/>
    <cellStyle name="Normal 7 2 3" xfId="514"/>
    <cellStyle name="Normal 7 2 3 2" xfId="566"/>
    <cellStyle name="Normal 7 2 3 2 2" xfId="3202"/>
    <cellStyle name="Normal 7 2 3 2 3" xfId="2258"/>
    <cellStyle name="Normal 7 2 3 2_CPI" xfId="5782"/>
    <cellStyle name="Normal 7 2 3 3" xfId="3172"/>
    <cellStyle name="Normal 7 2 3 4" xfId="2228"/>
    <cellStyle name="Normal 7 2 3_CPI" xfId="5781"/>
    <cellStyle name="Normal 7 2 4" xfId="3006"/>
    <cellStyle name="Normal 7 2 4 2" xfId="4892"/>
    <cellStyle name="Normal 7 2 4 3" xfId="5276"/>
    <cellStyle name="Normal 7 2 4 4" xfId="4293"/>
    <cellStyle name="Normal 7 2 4_CPI" xfId="5783"/>
    <cellStyle name="Normal 7 2 5" xfId="2071"/>
    <cellStyle name="Normal 7 2_CPI" xfId="5777"/>
    <cellStyle name="Normal 7 3" xfId="65"/>
    <cellStyle name="Normal 7 3 2" xfId="305"/>
    <cellStyle name="Normal 7 3 2 2" xfId="914"/>
    <cellStyle name="Normal 7 3 2 2 2" xfId="3428"/>
    <cellStyle name="Normal 7 3 2 2 3" xfId="2483"/>
    <cellStyle name="Normal 7 3 2 2 3 2" xfId="5438"/>
    <cellStyle name="Normal 7 3 2 2 3 3" xfId="4570"/>
    <cellStyle name="Normal 7 3 2 2 3_CPI" xfId="5787"/>
    <cellStyle name="Normal 7 3 2 2 4" xfId="4759"/>
    <cellStyle name="Normal 7 3 2 2 5" xfId="5124"/>
    <cellStyle name="Normal 7 3 2 2 6" xfId="4026"/>
    <cellStyle name="Normal 7 3 2 2_CPI" xfId="5786"/>
    <cellStyle name="Normal 7 3 2 3" xfId="3009"/>
    <cellStyle name="Normal 7 3 2 4" xfId="2074"/>
    <cellStyle name="Normal 7 3 2_CPI" xfId="5785"/>
    <cellStyle name="Normal 7 3 3" xfId="515"/>
    <cellStyle name="Normal 7 3 3 2" xfId="567"/>
    <cellStyle name="Normal 7 3 3 2 2" xfId="3203"/>
    <cellStyle name="Normal 7 3 3 2 3" xfId="2259"/>
    <cellStyle name="Normal 7 3 3 2_CPI" xfId="5789"/>
    <cellStyle name="Normal 7 3 3 3" xfId="3173"/>
    <cellStyle name="Normal 7 3 3 4" xfId="2229"/>
    <cellStyle name="Normal 7 3 3_CPI" xfId="5788"/>
    <cellStyle name="Normal 7 3 4" xfId="3008"/>
    <cellStyle name="Normal 7 3 5" xfId="2073"/>
    <cellStyle name="Normal 7 3_CPI" xfId="5784"/>
    <cellStyle name="Normal 7 4" xfId="306"/>
    <cellStyle name="Normal 7 4 2" xfId="516"/>
    <cellStyle name="Normal 7 4 2 2" xfId="3174"/>
    <cellStyle name="Normal 7 4 2 3" xfId="2230"/>
    <cellStyle name="Normal 7 4 2_CPI" xfId="5791"/>
    <cellStyle name="Normal 7 4 3" xfId="3010"/>
    <cellStyle name="Normal 7 4 4" xfId="2075"/>
    <cellStyle name="Normal 7 4_CPI" xfId="5790"/>
    <cellStyle name="Normal 7 5" xfId="307"/>
    <cellStyle name="Normal 7 5 2" xfId="517"/>
    <cellStyle name="Normal 7 5 2 2" xfId="805"/>
    <cellStyle name="Normal 7 5 2 2 2" xfId="3335"/>
    <cellStyle name="Normal 7 5 2 2 3" xfId="2391"/>
    <cellStyle name="Normal 7 5 2 2_CPI" xfId="5794"/>
    <cellStyle name="Normal 7 5 2 3" xfId="3175"/>
    <cellStyle name="Normal 7 5 2 3 2" xfId="4911"/>
    <cellStyle name="Normal 7 5 2 3 3" xfId="5308"/>
    <cellStyle name="Normal 7 5 2 3 4" xfId="4571"/>
    <cellStyle name="Normal 7 5 2 3_CPI" xfId="5795"/>
    <cellStyle name="Normal 7 5 2 4" xfId="2231"/>
    <cellStyle name="Normal 7 5 2 5" xfId="5125"/>
    <cellStyle name="Normal 7 5 2 6" xfId="4027"/>
    <cellStyle name="Normal 7 5 2_CPI" xfId="5793"/>
    <cellStyle name="Normal 7 5 3" xfId="3011"/>
    <cellStyle name="Normal 7 5 4" xfId="2076"/>
    <cellStyle name="Normal 7 5_CPI" xfId="5792"/>
    <cellStyle name="Normal 7 6" xfId="518"/>
    <cellStyle name="Normal 7 6 2" xfId="565"/>
    <cellStyle name="Normal 7 6 2 2" xfId="3201"/>
    <cellStyle name="Normal 7 6 2 3" xfId="2257"/>
    <cellStyle name="Normal 7 6 2_CPI" xfId="5797"/>
    <cellStyle name="Normal 7 6 3" xfId="3176"/>
    <cellStyle name="Normal 7 6 4" xfId="3635"/>
    <cellStyle name="Normal 7 6 5" xfId="2232"/>
    <cellStyle name="Normal 7 6_CPI" xfId="5796"/>
    <cellStyle name="Normal 7 7" xfId="519"/>
    <cellStyle name="Normal 7 7 2" xfId="3177"/>
    <cellStyle name="Normal 7 7 3" xfId="2233"/>
    <cellStyle name="Normal 7 7_CPI" xfId="5798"/>
    <cellStyle name="Normal 7 8" xfId="3005"/>
    <cellStyle name="Normal 7 9" xfId="2070"/>
    <cellStyle name="Normal 7_CPI" xfId="5776"/>
    <cellStyle name="Normal 8" xfId="66"/>
    <cellStyle name="Normal 8 2" xfId="308"/>
    <cellStyle name="Normal 8 2 2" xfId="520"/>
    <cellStyle name="Normal 8 2 2 2" xfId="806"/>
    <cellStyle name="Normal 8 2 2 2 2" xfId="3336"/>
    <cellStyle name="Normal 8 2 2 2 3" xfId="2392"/>
    <cellStyle name="Normal 8 2 2 2_CPI" xfId="5802"/>
    <cellStyle name="Normal 8 2 2 3" xfId="3178"/>
    <cellStyle name="Normal 8 2 2 3 2" xfId="4912"/>
    <cellStyle name="Normal 8 2 2 3 3" xfId="5309"/>
    <cellStyle name="Normal 8 2 2 3 4" xfId="4573"/>
    <cellStyle name="Normal 8 2 2 3_CPI" xfId="5803"/>
    <cellStyle name="Normal 8 2 2 4" xfId="2234"/>
    <cellStyle name="Normal 8 2 2 5" xfId="5126"/>
    <cellStyle name="Normal 8 2 2 6" xfId="4029"/>
    <cellStyle name="Normal 8 2 2_CPI" xfId="5801"/>
    <cellStyle name="Normal 8 2 3" xfId="3013"/>
    <cellStyle name="Normal 8 2 4" xfId="2078"/>
    <cellStyle name="Normal 8 2_CPI" xfId="5800"/>
    <cellStyle name="Normal 8 3" xfId="521"/>
    <cellStyle name="Normal 8 3 2" xfId="1141"/>
    <cellStyle name="Normal 8 3 2 2" xfId="1276"/>
    <cellStyle name="Normal 8 3 2 2 2" xfId="3606"/>
    <cellStyle name="Normal 8 3 2 2 3" xfId="2637"/>
    <cellStyle name="Normal 8 3 2 2_CPI" xfId="5806"/>
    <cellStyle name="Normal 8 3 2 3" xfId="3564"/>
    <cellStyle name="Normal 8 3 2 4" xfId="2610"/>
    <cellStyle name="Normal 8 3 2_CPI" xfId="5805"/>
    <cellStyle name="Normal 8 3 3" xfId="1265"/>
    <cellStyle name="Normal 8 3 3 2" xfId="3598"/>
    <cellStyle name="Normal 8 3 3 3" xfId="2629"/>
    <cellStyle name="Normal 8 3 3_CPI" xfId="5807"/>
    <cellStyle name="Normal 8 3 4" xfId="1896"/>
    <cellStyle name="Normal 8 3 4 2" xfId="3840"/>
    <cellStyle name="Normal 8 3 4 3" xfId="2835"/>
    <cellStyle name="Normal 8 3 4 3 2" xfId="3911"/>
    <cellStyle name="Normal 8 3 4 3 3" xfId="5489"/>
    <cellStyle name="Normal 8 3 4 3_CPI" xfId="5809"/>
    <cellStyle name="Normal 8 3 4 4" xfId="4105"/>
    <cellStyle name="Normal 8 3 4 4 2" xfId="4624"/>
    <cellStyle name="Normal 8 3 4 4_CPI" xfId="5810"/>
    <cellStyle name="Normal 8 3 4 5" xfId="4814"/>
    <cellStyle name="Normal 8 3 4_CPI" xfId="5808"/>
    <cellStyle name="Normal 8 3 5" xfId="807"/>
    <cellStyle name="Normal 8 3 5 2" xfId="3337"/>
    <cellStyle name="Normal 8 3 5 3" xfId="2393"/>
    <cellStyle name="Normal 8 3 5_CPI" xfId="5811"/>
    <cellStyle name="Normal 8 3 6" xfId="568"/>
    <cellStyle name="Normal 8 3 6 2" xfId="3204"/>
    <cellStyle name="Normal 8 3 6 3" xfId="2260"/>
    <cellStyle name="Normal 8 3 6_CPI" xfId="5812"/>
    <cellStyle name="Normal 8 3 7" xfId="3179"/>
    <cellStyle name="Normal 8 3 8" xfId="2235"/>
    <cellStyle name="Normal 8 3_CPI" xfId="5804"/>
    <cellStyle name="Normal 8 4" xfId="522"/>
    <cellStyle name="Normal 8 4 2" xfId="1122"/>
    <cellStyle name="Normal 8 4 2 2" xfId="3551"/>
    <cellStyle name="Normal 8 4 2 3" xfId="2598"/>
    <cellStyle name="Normal 8 4 2_CPI" xfId="5814"/>
    <cellStyle name="Normal 8 4 3" xfId="915"/>
    <cellStyle name="Normal 8 4 3 2" xfId="3429"/>
    <cellStyle name="Normal 8 4 3 3" xfId="2484"/>
    <cellStyle name="Normal 8 4 3_CPI" xfId="5815"/>
    <cellStyle name="Normal 8 4 4" xfId="3180"/>
    <cellStyle name="Normal 8 4 5" xfId="2236"/>
    <cellStyle name="Normal 8 4_CPI" xfId="5813"/>
    <cellStyle name="Normal 8 5" xfId="523"/>
    <cellStyle name="Normal 8 5 2" xfId="993"/>
    <cellStyle name="Normal 8 5 2 2" xfId="3470"/>
    <cellStyle name="Normal 8 5 2 3" xfId="2524"/>
    <cellStyle name="Normal 8 5 2_CPI" xfId="5817"/>
    <cellStyle name="Normal 8 5 3" xfId="3181"/>
    <cellStyle name="Normal 8 5 4" xfId="2237"/>
    <cellStyle name="Normal 8 5_CPI" xfId="5816"/>
    <cellStyle name="Normal 8 6" xfId="524"/>
    <cellStyle name="Normal 8 6 2" xfId="3182"/>
    <cellStyle name="Normal 8 6 3" xfId="2238"/>
    <cellStyle name="Normal 8 6 4" xfId="5277"/>
    <cellStyle name="Normal 8 6 5" xfId="4294"/>
    <cellStyle name="Normal 8 6_CPI" xfId="5818"/>
    <cellStyle name="Normal 8 7" xfId="525"/>
    <cellStyle name="Normal 8 7 2" xfId="3183"/>
    <cellStyle name="Normal 8 7 3" xfId="2239"/>
    <cellStyle name="Normal 8 7_CPI" xfId="5819"/>
    <cellStyle name="Normal 8 8" xfId="3012"/>
    <cellStyle name="Normal 8 9" xfId="2077"/>
    <cellStyle name="Normal 8_CPI" xfId="5799"/>
    <cellStyle name="Normal 9" xfId="15"/>
    <cellStyle name="Normal 9 10" xfId="2079"/>
    <cellStyle name="Normal 9 2" xfId="309"/>
    <cellStyle name="Normal 9 2 2" xfId="3184"/>
    <cellStyle name="Normal 9 2 3" xfId="3576"/>
    <cellStyle name="Normal 9 2 4" xfId="2240"/>
    <cellStyle name="Normal 9 2 5" xfId="5279"/>
    <cellStyle name="Normal 9 2 6" xfId="4296"/>
    <cellStyle name="Normal 9 2 7" xfId="526"/>
    <cellStyle name="Normal 9 2_CPI" xfId="5820"/>
    <cellStyle name="Normal 9 3" xfId="359"/>
    <cellStyle name="Normal 9 3 2" xfId="3185"/>
    <cellStyle name="Normal 9 3 3" xfId="3636"/>
    <cellStyle name="Normal 9 3 4" xfId="2241"/>
    <cellStyle name="Normal 9 3 5" xfId="5278"/>
    <cellStyle name="Normal 9 3 6" xfId="4295"/>
    <cellStyle name="Normal 9 3 7" xfId="527"/>
    <cellStyle name="Normal 9 3_CPI" xfId="5821"/>
    <cellStyle name="Normal 9 4" xfId="360"/>
    <cellStyle name="Normal 9 4 2" xfId="3186"/>
    <cellStyle name="Normal 9 4 3" xfId="2242"/>
    <cellStyle name="Normal 9 4 4" xfId="528"/>
    <cellStyle name="Normal 9 4_CPI" xfId="5822"/>
    <cellStyle name="Normal 9 5" xfId="361"/>
    <cellStyle name="Normal 9 5 2" xfId="3187"/>
    <cellStyle name="Normal 9 5 3" xfId="2243"/>
    <cellStyle name="Normal 9 5 4" xfId="529"/>
    <cellStyle name="Normal 9 5_CPI" xfId="5823"/>
    <cellStyle name="Normal 9 6" xfId="530"/>
    <cellStyle name="Normal 9 6 2" xfId="3188"/>
    <cellStyle name="Normal 9 6 3" xfId="2244"/>
    <cellStyle name="Normal 9 6_CPI" xfId="5824"/>
    <cellStyle name="Normal 9 7" xfId="531"/>
    <cellStyle name="Normal 9 7 2" xfId="3189"/>
    <cellStyle name="Normal 9 7 3" xfId="2245"/>
    <cellStyle name="Normal 9 7_CPI" xfId="5825"/>
    <cellStyle name="Normal 9 8" xfId="3014"/>
    <cellStyle name="Normal 9 9" xfId="3482"/>
    <cellStyle name="Normal 9_CPI" xfId="358"/>
    <cellStyle name="Normal_Chapter 4_data 2" xfId="351"/>
    <cellStyle name="Normal_CPI" xfId="5683"/>
    <cellStyle name="Note" xfId="383" builtinId="10" customBuiltin="1"/>
    <cellStyle name="Note 2" xfId="67"/>
    <cellStyle name="Note 2 2" xfId="311"/>
    <cellStyle name="Note 2 2 2" xfId="312"/>
    <cellStyle name="Note 2 2 2 2" xfId="1849"/>
    <cellStyle name="Note 2 2 2 2 2" xfId="3824"/>
    <cellStyle name="Note 2 2 2 2 2 2" xfId="4655"/>
    <cellStyle name="Note 2 2 2 2 2_CPI" xfId="5830"/>
    <cellStyle name="Note 2 2 2 2 3" xfId="2819"/>
    <cellStyle name="Note 2 2 2 2 3 2" xfId="4646"/>
    <cellStyle name="Note 2 2 2 2 3 3" xfId="5484"/>
    <cellStyle name="Note 2 2 2 2 3 4" xfId="4575"/>
    <cellStyle name="Note 2 2 2 2 3_CPI" xfId="5831"/>
    <cellStyle name="Note 2 2 2 2 4" xfId="4644"/>
    <cellStyle name="Note 2 2 2 2 5" xfId="4809"/>
    <cellStyle name="Note 2 2 2 2 6" xfId="5128"/>
    <cellStyle name="Note 2 2 2 2 7" xfId="4032"/>
    <cellStyle name="Note 2 2 2 2_CPI" xfId="5829"/>
    <cellStyle name="Note 2 2 2 3" xfId="1675"/>
    <cellStyle name="Note 2 2 2 3 2" xfId="3700"/>
    <cellStyle name="Note 2 2 2 3 3" xfId="2701"/>
    <cellStyle name="Note 2 2 2 3_CPI" xfId="5832"/>
    <cellStyle name="Note 2 2 2 4" xfId="3017"/>
    <cellStyle name="Note 2 2 2 5" xfId="2082"/>
    <cellStyle name="Note 2 2 2_CPI" xfId="5828"/>
    <cellStyle name="Note 2 2 3" xfId="1804"/>
    <cellStyle name="Note 2 2 3 2" xfId="3779"/>
    <cellStyle name="Note 2 2 3 2 2" xfId="4653"/>
    <cellStyle name="Note 2 2 3 2_CPI" xfId="5834"/>
    <cellStyle name="Note 2 2 3 3" xfId="2774"/>
    <cellStyle name="Note 2 2 3 3 2" xfId="4645"/>
    <cellStyle name="Note 2 2 3 3 3" xfId="5479"/>
    <cellStyle name="Note 2 2 3 3 4" xfId="4574"/>
    <cellStyle name="Note 2 2 3 3_CPI" xfId="5835"/>
    <cellStyle name="Note 2 2 3 4" xfId="4642"/>
    <cellStyle name="Note 2 2 3 5" xfId="4804"/>
    <cellStyle name="Note 2 2 3 6" xfId="5127"/>
    <cellStyle name="Note 2 2 3 7" xfId="4031"/>
    <cellStyle name="Note 2 2 3_CPI" xfId="5833"/>
    <cellStyle name="Note 2 2 4" xfId="916"/>
    <cellStyle name="Note 2 2 4 2" xfId="3430"/>
    <cellStyle name="Note 2 2 4 3" xfId="2485"/>
    <cellStyle name="Note 2 2 4_CPI" xfId="5836"/>
    <cellStyle name="Note 2 2 5" xfId="3016"/>
    <cellStyle name="Note 2 2 6" xfId="2081"/>
    <cellStyle name="Note 2 2_CPI" xfId="5827"/>
    <cellStyle name="Note 2 3" xfId="313"/>
    <cellStyle name="Note 2 3 2" xfId="1680"/>
    <cellStyle name="Note 2 3 2 2" xfId="1853"/>
    <cellStyle name="Note 2 3 2 2 2" xfId="3828"/>
    <cellStyle name="Note 2 3 2 2 3" xfId="2823"/>
    <cellStyle name="Note 2 3 2 2_CPI" xfId="5839"/>
    <cellStyle name="Note 2 3 2 3" xfId="3705"/>
    <cellStyle name="Note 2 3 2 4" xfId="2706"/>
    <cellStyle name="Note 2 3 2_CPI" xfId="5838"/>
    <cellStyle name="Note 2 3 3" xfId="1813"/>
    <cellStyle name="Note 2 3 3 2" xfId="3788"/>
    <cellStyle name="Note 2 3 3 2 2" xfId="4654"/>
    <cellStyle name="Note 2 3 3 2_CPI" xfId="5841"/>
    <cellStyle name="Note 2 3 3 3" xfId="2783"/>
    <cellStyle name="Note 2 3 3 3 2" xfId="4647"/>
    <cellStyle name="Note 2 3 3 3 3" xfId="5482"/>
    <cellStyle name="Note 2 3 3 3 4" xfId="4576"/>
    <cellStyle name="Note 2 3 3 3_CPI" xfId="5842"/>
    <cellStyle name="Note 2 3 3 4" xfId="4643"/>
    <cellStyle name="Note 2 3 3 5" xfId="4807"/>
    <cellStyle name="Note 2 3 3 6" xfId="5129"/>
    <cellStyle name="Note 2 3 3 7" xfId="4033"/>
    <cellStyle name="Note 2 3 3_CPI" xfId="5840"/>
    <cellStyle name="Note 2 3 4" xfId="1057"/>
    <cellStyle name="Note 2 3 4 2" xfId="3525"/>
    <cellStyle name="Note 2 3 4 3" xfId="2572"/>
    <cellStyle name="Note 2 3 4_CPI" xfId="5843"/>
    <cellStyle name="Note 2 3 5" xfId="3018"/>
    <cellStyle name="Note 2 3 5 2" xfId="4893"/>
    <cellStyle name="Note 2 3 5 3" xfId="5280"/>
    <cellStyle name="Note 2 3 5 4" xfId="4297"/>
    <cellStyle name="Note 2 3 5_CPI" xfId="5844"/>
    <cellStyle name="Note 2 3 6" xfId="2083"/>
    <cellStyle name="Note 2 3 6 2" xfId="5361"/>
    <cellStyle name="Note 2 3 6 3" xfId="4639"/>
    <cellStyle name="Note 2 3 6_CPI" xfId="5845"/>
    <cellStyle name="Note 2 3 7" xfId="4675"/>
    <cellStyle name="Note 2 3_CPI" xfId="5837"/>
    <cellStyle name="Note 2 4" xfId="310"/>
    <cellStyle name="Note 2 4 2" xfId="1685"/>
    <cellStyle name="Note 2 4 2 2" xfId="1857"/>
    <cellStyle name="Note 2 4 2 2 2" xfId="3832"/>
    <cellStyle name="Note 2 4 2 2 3" xfId="2827"/>
    <cellStyle name="Note 2 4 2 2_CPI" xfId="5848"/>
    <cellStyle name="Note 2 4 2 3" xfId="3710"/>
    <cellStyle name="Note 2 4 2 4" xfId="2711"/>
    <cellStyle name="Note 2 4 2_CPI" xfId="5847"/>
    <cellStyle name="Note 2 4 3" xfId="1819"/>
    <cellStyle name="Note 2 4 3 2" xfId="3794"/>
    <cellStyle name="Note 2 4 3 3" xfId="2789"/>
    <cellStyle name="Note 2 4 3_CPI" xfId="5849"/>
    <cellStyle name="Note 2 4 4" xfId="3533"/>
    <cellStyle name="Note 2 4 5" xfId="2580"/>
    <cellStyle name="Note 2 4_CPI" xfId="5846"/>
    <cellStyle name="Note 2 5" xfId="1658"/>
    <cellStyle name="Note 2 5 2" xfId="1843"/>
    <cellStyle name="Note 2 5 2 2" xfId="3818"/>
    <cellStyle name="Note 2 5 2 3" xfId="2813"/>
    <cellStyle name="Note 2 5 2_CPI" xfId="5851"/>
    <cellStyle name="Note 2 5 3" xfId="3685"/>
    <cellStyle name="Note 2 5 4" xfId="2687"/>
    <cellStyle name="Note 2 5_CPI" xfId="5850"/>
    <cellStyle name="Note 2 6" xfId="809"/>
    <cellStyle name="Note 2 6 2" xfId="3339"/>
    <cellStyle name="Note 2 6 3" xfId="2395"/>
    <cellStyle name="Note 2 6_CPI" xfId="5852"/>
    <cellStyle name="Note 2 7" xfId="3015"/>
    <cellStyle name="Note 2 8" xfId="2080"/>
    <cellStyle name="Note 2_CPI" xfId="5826"/>
    <cellStyle name="Note 3" xfId="314"/>
    <cellStyle name="Note 3 2" xfId="315"/>
    <cellStyle name="Note 3 2 2" xfId="1266"/>
    <cellStyle name="Note 3 2 2 2" xfId="3599"/>
    <cellStyle name="Note 3 2 2 3" xfId="2630"/>
    <cellStyle name="Note 3 2 2 3 2" xfId="4649"/>
    <cellStyle name="Note 3 2 2 3 3" xfId="5457"/>
    <cellStyle name="Note 3 2 2 3 4" xfId="4578"/>
    <cellStyle name="Note 3 2 2 3_CPI" xfId="5856"/>
    <cellStyle name="Note 3 2 2 4" xfId="4778"/>
    <cellStyle name="Note 3 2 2 5" xfId="5131"/>
    <cellStyle name="Note 3 2 2 6" xfId="4035"/>
    <cellStyle name="Note 3 2 2_CPI" xfId="5855"/>
    <cellStyle name="Note 3 2 3" xfId="3020"/>
    <cellStyle name="Note 3 2 4" xfId="2085"/>
    <cellStyle name="Note 3 2_CPI" xfId="5854"/>
    <cellStyle name="Note 3 3" xfId="810"/>
    <cellStyle name="Note 3 3 2" xfId="3340"/>
    <cellStyle name="Note 3 3 3" xfId="2396"/>
    <cellStyle name="Note 3 3 3 2" xfId="4648"/>
    <cellStyle name="Note 3 3 3 3" xfId="5400"/>
    <cellStyle name="Note 3 3 3 4" xfId="4577"/>
    <cellStyle name="Note 3 3 3_CPI" xfId="5858"/>
    <cellStyle name="Note 3 3 4" xfId="4721"/>
    <cellStyle name="Note 3 3 5" xfId="5130"/>
    <cellStyle name="Note 3 3 6" xfId="4034"/>
    <cellStyle name="Note 3 3_CPI" xfId="5857"/>
    <cellStyle name="Note 3 4" xfId="3019"/>
    <cellStyle name="Note 3 5" xfId="2084"/>
    <cellStyle name="Note 3_CPI" xfId="5853"/>
    <cellStyle name="Note 4" xfId="808"/>
    <cellStyle name="Note 4 2" xfId="1124"/>
    <cellStyle name="Note 4 2 2" xfId="1824"/>
    <cellStyle name="Note 4 2 2 2" xfId="3799"/>
    <cellStyle name="Note 4 2 2 3" xfId="2794"/>
    <cellStyle name="Note 4 2 2_CPI" xfId="5861"/>
    <cellStyle name="Note 4 2 3" xfId="3552"/>
    <cellStyle name="Note 4 2 4" xfId="2599"/>
    <cellStyle name="Note 4 2_CPI" xfId="5860"/>
    <cellStyle name="Note 4 3" xfId="1792"/>
    <cellStyle name="Note 4 3 2" xfId="3768"/>
    <cellStyle name="Note 4 3 3" xfId="2763"/>
    <cellStyle name="Note 4 3_CPI" xfId="5862"/>
    <cellStyle name="Note 4 4" xfId="3338"/>
    <cellStyle name="Note 4 5" xfId="2394"/>
    <cellStyle name="Note 4_CPI" xfId="5859"/>
    <cellStyle name="Note 5" xfId="868"/>
    <cellStyle name="Note 5 2" xfId="1672"/>
    <cellStyle name="Note 5 2 2" xfId="1763"/>
    <cellStyle name="Note 5 2 2 2" xfId="3745"/>
    <cellStyle name="Note 5 2 2 3" xfId="2740"/>
    <cellStyle name="Note 5 2 2_CPI" xfId="5865"/>
    <cellStyle name="Note 5 2 3" xfId="1846"/>
    <cellStyle name="Note 5 2 3 2" xfId="3821"/>
    <cellStyle name="Note 5 2 3 3" xfId="2816"/>
    <cellStyle name="Note 5 2 3_CPI" xfId="5866"/>
    <cellStyle name="Note 5 2 4" xfId="3697"/>
    <cellStyle name="Note 5 2 4 2" xfId="4607"/>
    <cellStyle name="Note 5 2 4 2 2" xfId="5314"/>
    <cellStyle name="Note 5 2 4 2_CPI" xfId="5868"/>
    <cellStyle name="Note 5 2 4 3" xfId="4652"/>
    <cellStyle name="Note 5 2 4_CPI" xfId="5867"/>
    <cellStyle name="Note 5 2 5" xfId="2698"/>
    <cellStyle name="Note 5 2 5 2" xfId="5473"/>
    <cellStyle name="Note 5 2 5 3" xfId="4299"/>
    <cellStyle name="Note 5 2 5_CPI" xfId="5869"/>
    <cellStyle name="Note 5 2 6" xfId="4641"/>
    <cellStyle name="Note 5 2 7" xfId="4798"/>
    <cellStyle name="Note 5 2_CPI" xfId="5864"/>
    <cellStyle name="Note 5 3" xfId="1754"/>
    <cellStyle name="Note 5 3 2" xfId="3742"/>
    <cellStyle name="Note 5 3 3" xfId="2737"/>
    <cellStyle name="Note 5 3_CPI" xfId="5870"/>
    <cellStyle name="Note 5 4" xfId="1797"/>
    <cellStyle name="Note 5 4 2" xfId="3772"/>
    <cellStyle name="Note 5 4 3" xfId="2767"/>
    <cellStyle name="Note 5 4_CPI" xfId="5871"/>
    <cellStyle name="Note 5 5" xfId="3383"/>
    <cellStyle name="Note 5 5 2" xfId="4595"/>
    <cellStyle name="Note 5 5 2 2" xfId="5313"/>
    <cellStyle name="Note 5 5 2_CPI" xfId="5873"/>
    <cellStyle name="Note 5 5 3" xfId="4651"/>
    <cellStyle name="Note 5 5_CPI" xfId="5872"/>
    <cellStyle name="Note 5 6" xfId="2438"/>
    <cellStyle name="Note 5 6 2" xfId="5402"/>
    <cellStyle name="Note 5 6 3" xfId="4298"/>
    <cellStyle name="Note 5 6_CPI" xfId="5874"/>
    <cellStyle name="Note 5 7" xfId="4640"/>
    <cellStyle name="Note 5 8" xfId="4723"/>
    <cellStyle name="Note 5_CPI" xfId="5863"/>
    <cellStyle name="Note 6" xfId="3049"/>
    <cellStyle name="Note 6 2" xfId="4300"/>
    <cellStyle name="Note 6_CPI" xfId="5875"/>
    <cellStyle name="Note 7" xfId="2119"/>
    <cellStyle name="notes" xfId="316"/>
    <cellStyle name="notes 2" xfId="3021"/>
    <cellStyle name="notes 3" xfId="2086"/>
    <cellStyle name="notes_CPI" xfId="5876"/>
    <cellStyle name="Output" xfId="378" builtinId="21" customBuiltin="1"/>
    <cellStyle name="Output 2" xfId="68"/>
    <cellStyle name="Output 2 2" xfId="318"/>
    <cellStyle name="Output 2 2 2" xfId="1676"/>
    <cellStyle name="Output 2 2 2 2" xfId="1776"/>
    <cellStyle name="Output 2 2 2 2 2" xfId="3752"/>
    <cellStyle name="Output 2 2 2 2 2 2" xfId="4979"/>
    <cellStyle name="Output 2 2 2 2 2_CPI" xfId="5881"/>
    <cellStyle name="Output 2 2 2 2 3" xfId="2747"/>
    <cellStyle name="Output 2 2 2 2_CPI" xfId="5880"/>
    <cellStyle name="Output 2 2 2 3" xfId="3701"/>
    <cellStyle name="Output 2 2 2 3 2" xfId="4666"/>
    <cellStyle name="Output 2 2 2 3_CPI" xfId="5882"/>
    <cellStyle name="Output 2 2 2 4" xfId="2702"/>
    <cellStyle name="Output 2 2 2_CPI" xfId="5879"/>
    <cellStyle name="Output 2 2 3" xfId="1805"/>
    <cellStyle name="Output 2 2 3 2" xfId="3780"/>
    <cellStyle name="Output 2 2 3 2 2" xfId="4630"/>
    <cellStyle name="Output 2 2 3 2 2 2" xfId="5315"/>
    <cellStyle name="Output 2 2 3 2 2_CPI" xfId="5885"/>
    <cellStyle name="Output 2 2 3 2_CPI" xfId="5884"/>
    <cellStyle name="Output 2 2 3 3" xfId="2775"/>
    <cellStyle name="Output 2 2 3 3 2" xfId="4650"/>
    <cellStyle name="Output 2 2 3 3 3" xfId="5480"/>
    <cellStyle name="Output 2 2 3 3 4" xfId="4579"/>
    <cellStyle name="Output 2 2 3 3_CPI" xfId="5886"/>
    <cellStyle name="Output 2 2 3 4" xfId="4485"/>
    <cellStyle name="Output 2 2 3 4 2" xfId="5297"/>
    <cellStyle name="Output 2 2 3 4_CPI" xfId="5887"/>
    <cellStyle name="Output 2 2 3 5" xfId="4805"/>
    <cellStyle name="Output 2 2 3 6" xfId="5132"/>
    <cellStyle name="Output 2 2 3 7" xfId="4036"/>
    <cellStyle name="Output 2 2 3_CPI" xfId="5883"/>
    <cellStyle name="Output 2 2 4" xfId="1790"/>
    <cellStyle name="Output 2 2 4 2" xfId="3766"/>
    <cellStyle name="Output 2 2 4 2 2" xfId="4985"/>
    <cellStyle name="Output 2 2 4 2_CPI" xfId="5889"/>
    <cellStyle name="Output 2 2 4 3" xfId="2761"/>
    <cellStyle name="Output 2 2 4_CPI" xfId="5888"/>
    <cellStyle name="Output 2 2 5" xfId="917"/>
    <cellStyle name="Output 2 2 5 2" xfId="3431"/>
    <cellStyle name="Output 2 2 5 2 2" xfId="4964"/>
    <cellStyle name="Output 2 2 5 2_CPI" xfId="5891"/>
    <cellStyle name="Output 2 2 5 3" xfId="2486"/>
    <cellStyle name="Output 2 2 5_CPI" xfId="5890"/>
    <cellStyle name="Output 2 2 6" xfId="3023"/>
    <cellStyle name="Output 2 2 6 2" xfId="4895"/>
    <cellStyle name="Output 2 2 6 3" xfId="5282"/>
    <cellStyle name="Output 2 2 6 4" xfId="4302"/>
    <cellStyle name="Output 2 2 6_CPI" xfId="5892"/>
    <cellStyle name="Output 2 2 7" xfId="2088"/>
    <cellStyle name="Output 2 2 7 2" xfId="4664"/>
    <cellStyle name="Output 2 2 7 3" xfId="5362"/>
    <cellStyle name="Output 2 2 7 4" xfId="4469"/>
    <cellStyle name="Output 2 2 7_CPI" xfId="5893"/>
    <cellStyle name="Output 2 2 8" xfId="4475"/>
    <cellStyle name="Output 2 2 8 2" xfId="5294"/>
    <cellStyle name="Output 2 2 8_CPI" xfId="5894"/>
    <cellStyle name="Output 2 2 9" xfId="4676"/>
    <cellStyle name="Output 2 2_CPI" xfId="5878"/>
    <cellStyle name="Output 2 3" xfId="317"/>
    <cellStyle name="Output 2 3 2" xfId="1681"/>
    <cellStyle name="Output 2 3 2 2" xfId="1777"/>
    <cellStyle name="Output 2 3 2 2 2" xfId="3753"/>
    <cellStyle name="Output 2 3 2 2 2 2" xfId="4980"/>
    <cellStyle name="Output 2 3 2 2 2_CPI" xfId="5898"/>
    <cellStyle name="Output 2 3 2 2 3" xfId="2748"/>
    <cellStyle name="Output 2 3 2 2_CPI" xfId="5897"/>
    <cellStyle name="Output 2 3 2 3" xfId="3706"/>
    <cellStyle name="Output 2 3 2 3 2" xfId="4657"/>
    <cellStyle name="Output 2 3 2 3_CPI" xfId="5899"/>
    <cellStyle name="Output 2 3 2 4" xfId="2707"/>
    <cellStyle name="Output 2 3 2_CPI" xfId="5896"/>
    <cellStyle name="Output 2 3 3" xfId="1814"/>
    <cellStyle name="Output 2 3 3 2" xfId="3789"/>
    <cellStyle name="Output 2 3 3 2 2" xfId="4994"/>
    <cellStyle name="Output 2 3 3 2_CPI" xfId="5901"/>
    <cellStyle name="Output 2 3 3 3" xfId="2784"/>
    <cellStyle name="Output 2 3 3_CPI" xfId="5900"/>
    <cellStyle name="Output 2 3 4" xfId="1837"/>
    <cellStyle name="Output 2 3 4 2" xfId="3812"/>
    <cellStyle name="Output 2 3 4 2 2" xfId="5004"/>
    <cellStyle name="Output 2 3 4 2_CPI" xfId="5903"/>
    <cellStyle name="Output 2 3 4 3" xfId="2807"/>
    <cellStyle name="Output 2 3 4_CPI" xfId="5902"/>
    <cellStyle name="Output 2 3 5" xfId="3526"/>
    <cellStyle name="Output 2 3 5 2" xfId="4663"/>
    <cellStyle name="Output 2 3 5_CPI" xfId="5904"/>
    <cellStyle name="Output 2 3 6" xfId="2573"/>
    <cellStyle name="Output 2 3_CPI" xfId="5895"/>
    <cellStyle name="Output 2 4" xfId="1063"/>
    <cellStyle name="Output 2 4 2" xfId="1686"/>
    <cellStyle name="Output 2 4 2 2" xfId="1808"/>
    <cellStyle name="Output 2 4 2 2 2" xfId="3783"/>
    <cellStyle name="Output 2 4 2 2 2 2" xfId="4992"/>
    <cellStyle name="Output 2 4 2 2 2_CPI" xfId="5908"/>
    <cellStyle name="Output 2 4 2 2 3" xfId="2778"/>
    <cellStyle name="Output 2 4 2 2_CPI" xfId="5907"/>
    <cellStyle name="Output 2 4 2 3" xfId="3711"/>
    <cellStyle name="Output 2 4 2 3 2" xfId="4661"/>
    <cellStyle name="Output 2 4 2 3_CPI" xfId="5909"/>
    <cellStyle name="Output 2 4 2 4" xfId="2712"/>
    <cellStyle name="Output 2 4 2_CPI" xfId="5906"/>
    <cellStyle name="Output 2 4 3" xfId="1820"/>
    <cellStyle name="Output 2 4 3 2" xfId="3795"/>
    <cellStyle name="Output 2 4 3 2 2" xfId="4996"/>
    <cellStyle name="Output 2 4 3 2_CPI" xfId="5911"/>
    <cellStyle name="Output 2 4 3 3" xfId="2790"/>
    <cellStyle name="Output 2 4 3_CPI" xfId="5910"/>
    <cellStyle name="Output 2 4 4" xfId="1784"/>
    <cellStyle name="Output 2 4 4 2" xfId="3760"/>
    <cellStyle name="Output 2 4 4 2 2" xfId="4983"/>
    <cellStyle name="Output 2 4 4 2_CPI" xfId="5913"/>
    <cellStyle name="Output 2 4 4 3" xfId="2755"/>
    <cellStyle name="Output 2 4 4_CPI" xfId="5912"/>
    <cellStyle name="Output 2 4 5" xfId="3534"/>
    <cellStyle name="Output 2 4 5 2" xfId="4662"/>
    <cellStyle name="Output 2 4 5_CPI" xfId="5914"/>
    <cellStyle name="Output 2 4 6" xfId="2581"/>
    <cellStyle name="Output 2 4_CPI" xfId="5905"/>
    <cellStyle name="Output 2 5" xfId="1659"/>
    <cellStyle name="Output 2 5 2" xfId="1810"/>
    <cellStyle name="Output 2 5 2 2" xfId="3785"/>
    <cellStyle name="Output 2 5 2 2 2" xfId="4993"/>
    <cellStyle name="Output 2 5 2 2_CPI" xfId="5917"/>
    <cellStyle name="Output 2 5 2 3" xfId="2780"/>
    <cellStyle name="Output 2 5 2_CPI" xfId="5916"/>
    <cellStyle name="Output 2 5 3" xfId="3686"/>
    <cellStyle name="Output 2 5 3 2" xfId="4658"/>
    <cellStyle name="Output 2 5 3_CPI" xfId="5918"/>
    <cellStyle name="Output 2 5 4" xfId="2688"/>
    <cellStyle name="Output 2 5_CPI" xfId="5915"/>
    <cellStyle name="Output 2 6" xfId="812"/>
    <cellStyle name="Output 2 6 2" xfId="3342"/>
    <cellStyle name="Output 2 6 3" xfId="2398"/>
    <cellStyle name="Output 2 6_CPI" xfId="5919"/>
    <cellStyle name="Output 2 7" xfId="3022"/>
    <cellStyle name="Output 2 7 2" xfId="4635"/>
    <cellStyle name="Output 2 7 2 2" xfId="5318"/>
    <cellStyle name="Output 2 7 2_CPI" xfId="5921"/>
    <cellStyle name="Output 2 7 3" xfId="4894"/>
    <cellStyle name="Output 2 7 4" xfId="5281"/>
    <cellStyle name="Output 2 7 5" xfId="4301"/>
    <cellStyle name="Output 2 7_CPI" xfId="5920"/>
    <cellStyle name="Output 2 8" xfId="2087"/>
    <cellStyle name="Output 2_CPI" xfId="5877"/>
    <cellStyle name="Output 3" xfId="813"/>
    <cellStyle name="Output 3 2" xfId="3343"/>
    <cellStyle name="Output 3 2 2" xfId="4959"/>
    <cellStyle name="Output 3 2 3" xfId="5283"/>
    <cellStyle name="Output 3 2 4" xfId="4303"/>
    <cellStyle name="Output 3 2_CPI" xfId="5923"/>
    <cellStyle name="Output 3 3" xfId="2399"/>
    <cellStyle name="Output 3_CPI" xfId="5922"/>
    <cellStyle name="Output 4" xfId="811"/>
    <cellStyle name="Output 4 2" xfId="1125"/>
    <cellStyle name="Output 4 2 2" xfId="1830"/>
    <cellStyle name="Output 4 2 2 2" xfId="3805"/>
    <cellStyle name="Output 4 2 2 2 2" xfId="5000"/>
    <cellStyle name="Output 4 2 2 2_CPI" xfId="5927"/>
    <cellStyle name="Output 4 2 2 3" xfId="2800"/>
    <cellStyle name="Output 4 2 2_CPI" xfId="5926"/>
    <cellStyle name="Output 4 2 3" xfId="3553"/>
    <cellStyle name="Output 4 2 3 2" xfId="4665"/>
    <cellStyle name="Output 4 2 3_CPI" xfId="5928"/>
    <cellStyle name="Output 4 2 4" xfId="2600"/>
    <cellStyle name="Output 4 2_CPI" xfId="5925"/>
    <cellStyle name="Output 4 3" xfId="1793"/>
    <cellStyle name="Output 4 3 2" xfId="3769"/>
    <cellStyle name="Output 4 3 2 2" xfId="4987"/>
    <cellStyle name="Output 4 3 2_CPI" xfId="5930"/>
    <cellStyle name="Output 4 3 3" xfId="2764"/>
    <cellStyle name="Output 4 3_CPI" xfId="5929"/>
    <cellStyle name="Output 4 4" xfId="1791"/>
    <cellStyle name="Output 4 4 2" xfId="3767"/>
    <cellStyle name="Output 4 4 2 2" xfId="4986"/>
    <cellStyle name="Output 4 4 2_CPI" xfId="5932"/>
    <cellStyle name="Output 4 4 3" xfId="2762"/>
    <cellStyle name="Output 4 4_CPI" xfId="5931"/>
    <cellStyle name="Output 4 5" xfId="3341"/>
    <cellStyle name="Output 4 5 2" xfId="4667"/>
    <cellStyle name="Output 4 5_CPI" xfId="5933"/>
    <cellStyle name="Output 4 6" xfId="2397"/>
    <cellStyle name="Output 4_CPI" xfId="5924"/>
    <cellStyle name="Output 5" xfId="3044"/>
    <cellStyle name="Output 6" xfId="2114"/>
    <cellStyle name="Page Number" xfId="949"/>
    <cellStyle name="Page Number 2" xfId="994"/>
    <cellStyle name="Page Number 2 2" xfId="1755"/>
    <cellStyle name="Page Number 2 2 2" xfId="4589"/>
    <cellStyle name="Page Number 2 2 2 2" xfId="5324"/>
    <cellStyle name="Page Number 2 2 2_CPI" xfId="5937"/>
    <cellStyle name="Page Number 2 2 3" xfId="4479"/>
    <cellStyle name="Page Number 2 2 3 2" xfId="5021"/>
    <cellStyle name="Page Number 2 2 3_CPI" xfId="5938"/>
    <cellStyle name="Page Number 2 2 4" xfId="5025"/>
    <cellStyle name="Page Number 2 2 5" xfId="5349"/>
    <cellStyle name="Page Number 2 2_CPI" xfId="5936"/>
    <cellStyle name="Page Number 2 3" xfId="1796"/>
    <cellStyle name="Page Number 2 3 2" xfId="4108"/>
    <cellStyle name="Page Number 2 3 2 2" xfId="4627"/>
    <cellStyle name="Page Number 2 3 2 2 2" xfId="5320"/>
    <cellStyle name="Page Number 2 3 2 2_CPI" xfId="5941"/>
    <cellStyle name="Page Number 2 3 2 3" xfId="5146"/>
    <cellStyle name="Page Number 2 3 2_CPI" xfId="5940"/>
    <cellStyle name="Page Number 2 3 3" xfId="4599"/>
    <cellStyle name="Page Number 2 3 3 2" xfId="5325"/>
    <cellStyle name="Page Number 2 3 3_CPI" xfId="5942"/>
    <cellStyle name="Page Number 2 3 4" xfId="4482"/>
    <cellStyle name="Page Number 2 3 4 2" xfId="5024"/>
    <cellStyle name="Page Number 2 3 4_CPI" xfId="5943"/>
    <cellStyle name="Page Number 2 3 5" xfId="5018"/>
    <cellStyle name="Page Number 2 3 6" xfId="5343"/>
    <cellStyle name="Page Number 2 3_CPI" xfId="5939"/>
    <cellStyle name="Page Number 2 4" xfId="4072"/>
    <cellStyle name="Page Number 2 4 2" xfId="4601"/>
    <cellStyle name="Page Number 2 4 2 2" xfId="4780"/>
    <cellStyle name="Page Number 2 4 2_CPI" xfId="5945"/>
    <cellStyle name="Page Number 2 4_CPI" xfId="5944"/>
    <cellStyle name="Page Number 2 5" xfId="4464"/>
    <cellStyle name="Page Number 2 5 2" xfId="4637"/>
    <cellStyle name="Page Number 2 5 2 2" xfId="5029"/>
    <cellStyle name="Page Number 2 5 2_CPI" xfId="5947"/>
    <cellStyle name="Page Number 2 5 3" xfId="4782"/>
    <cellStyle name="Page Number 2 5_CPI" xfId="5946"/>
    <cellStyle name="Page Number 2 6" xfId="4463"/>
    <cellStyle name="Page Number 2 6 2" xfId="5027"/>
    <cellStyle name="Page Number 2 6_CPI" xfId="5948"/>
    <cellStyle name="Page Number 2 7" xfId="5497"/>
    <cellStyle name="Page Number 2_CPI" xfId="5935"/>
    <cellStyle name="Page Number 3" xfId="995"/>
    <cellStyle name="Page Number_CPI" xfId="5934"/>
    <cellStyle name="Percent" xfId="10" builtinId="5"/>
    <cellStyle name="Percent [0]" xfId="951"/>
    <cellStyle name="Percent [1]" xfId="952"/>
    <cellStyle name="Percent [2]" xfId="953"/>
    <cellStyle name="Percent 10" xfId="969"/>
    <cellStyle name="Percent 100" xfId="1439"/>
    <cellStyle name="Percent 101" xfId="1450"/>
    <cellStyle name="Percent 102" xfId="1440"/>
    <cellStyle name="Percent 103" xfId="1451"/>
    <cellStyle name="Percent 104" xfId="1441"/>
    <cellStyle name="Percent 105" xfId="1452"/>
    <cellStyle name="Percent 106" xfId="1442"/>
    <cellStyle name="Percent 107" xfId="1453"/>
    <cellStyle name="Percent 108" xfId="1443"/>
    <cellStyle name="Percent 109" xfId="1454"/>
    <cellStyle name="Percent 11" xfId="989"/>
    <cellStyle name="Percent 110" xfId="1444"/>
    <cellStyle name="Percent 111" xfId="1507"/>
    <cellStyle name="Percent 112" xfId="1473"/>
    <cellStyle name="Percent 113" xfId="1506"/>
    <cellStyle name="Percent 114" xfId="1472"/>
    <cellStyle name="Percent 115" xfId="1508"/>
    <cellStyle name="Percent 116" xfId="1471"/>
    <cellStyle name="Percent 117" xfId="1509"/>
    <cellStyle name="Percent 118" xfId="1518"/>
    <cellStyle name="Percent 119" xfId="1510"/>
    <cellStyle name="Percent 12" xfId="968"/>
    <cellStyle name="Percent 120" xfId="1519"/>
    <cellStyle name="Percent 121" xfId="1511"/>
    <cellStyle name="Percent 122" xfId="1520"/>
    <cellStyle name="Percent 123" xfId="1512"/>
    <cellStyle name="Percent 124" xfId="1521"/>
    <cellStyle name="Percent 125" xfId="1513"/>
    <cellStyle name="Percent 126" xfId="1522"/>
    <cellStyle name="Percent 127" xfId="1514"/>
    <cellStyle name="Percent 128" xfId="1523"/>
    <cellStyle name="Percent 129" xfId="1515"/>
    <cellStyle name="Percent 13" xfId="1004"/>
    <cellStyle name="Percent 130" xfId="1579"/>
    <cellStyle name="Percent 131" xfId="1542"/>
    <cellStyle name="Percent 132" xfId="1578"/>
    <cellStyle name="Percent 133" xfId="1541"/>
    <cellStyle name="Percent 134" xfId="1580"/>
    <cellStyle name="Percent 135" xfId="1540"/>
    <cellStyle name="Percent 136" xfId="1581"/>
    <cellStyle name="Percent 137" xfId="1587"/>
    <cellStyle name="Percent 138" xfId="1582"/>
    <cellStyle name="Percent 139" xfId="1588"/>
    <cellStyle name="Percent 14" xfId="1005"/>
    <cellStyle name="Percent 140" xfId="1583"/>
    <cellStyle name="Percent 141" xfId="1589"/>
    <cellStyle name="Percent 142" xfId="1585"/>
    <cellStyle name="Percent 143" xfId="1544"/>
    <cellStyle name="Percent 144" xfId="1592"/>
    <cellStyle name="Percent 145" xfId="1543"/>
    <cellStyle name="Percent 146" xfId="1595"/>
    <cellStyle name="Percent 147" xfId="1663"/>
    <cellStyle name="Percent 148" xfId="1703"/>
    <cellStyle name="Percent 148 2" xfId="1768"/>
    <cellStyle name="Percent 148 3" xfId="3901"/>
    <cellStyle name="Percent 148 4" xfId="4093"/>
    <cellStyle name="Percent 148 4 2" xfId="4612"/>
    <cellStyle name="Percent 148 4_CPI" xfId="5950"/>
    <cellStyle name="Percent 148_CPI" xfId="5949"/>
    <cellStyle name="Percent 149" xfId="1705"/>
    <cellStyle name="Percent 149 2" xfId="1770"/>
    <cellStyle name="Percent 149 3" xfId="3902"/>
    <cellStyle name="Percent 149 4" xfId="4095"/>
    <cellStyle name="Percent 149 4 2" xfId="4614"/>
    <cellStyle name="Percent 149 4_CPI" xfId="5952"/>
    <cellStyle name="Percent 149_CPI" xfId="5951"/>
    <cellStyle name="Percent 15" xfId="1006"/>
    <cellStyle name="Percent 150" xfId="1707"/>
    <cellStyle name="Percent 150 2" xfId="1772"/>
    <cellStyle name="Percent 150 3" xfId="3903"/>
    <cellStyle name="Percent 150 4" xfId="4097"/>
    <cellStyle name="Percent 150 4 2" xfId="4616"/>
    <cellStyle name="Percent 150 4_CPI" xfId="5954"/>
    <cellStyle name="Percent 150_CPI" xfId="5953"/>
    <cellStyle name="Percent 151" xfId="1727"/>
    <cellStyle name="Percent 152" xfId="1730"/>
    <cellStyle name="Percent 153" xfId="1728"/>
    <cellStyle name="Percent 154" xfId="1731"/>
    <cellStyle name="Percent 155" xfId="1733"/>
    <cellStyle name="Percent 156" xfId="1735"/>
    <cellStyle name="Percent 157" xfId="1737"/>
    <cellStyle name="Percent 158" xfId="1739"/>
    <cellStyle name="Percent 159" xfId="1741"/>
    <cellStyle name="Percent 16" xfId="1007"/>
    <cellStyle name="Percent 160" xfId="1743"/>
    <cellStyle name="Percent 161" xfId="1745"/>
    <cellStyle name="Percent 162" xfId="1747"/>
    <cellStyle name="Percent 163" xfId="1749"/>
    <cellStyle name="Percent 164" xfId="1897"/>
    <cellStyle name="Percent 164 2" xfId="3916"/>
    <cellStyle name="Percent 164 3" xfId="3912"/>
    <cellStyle name="Percent 164 4" xfId="4106"/>
    <cellStyle name="Percent 164 4 2" xfId="4625"/>
    <cellStyle name="Percent 164 4_CPI" xfId="5956"/>
    <cellStyle name="Percent 164_CPI" xfId="5955"/>
    <cellStyle name="Percent 165" xfId="3939"/>
    <cellStyle name="Percent 166" xfId="3942"/>
    <cellStyle name="Percent 167" xfId="4059"/>
    <cellStyle name="Percent 17" xfId="1008"/>
    <cellStyle name="Percent 18" xfId="1009"/>
    <cellStyle name="Percent 19" xfId="1010"/>
    <cellStyle name="Percent 2" xfId="319"/>
    <cellStyle name="Percent 2 2" xfId="320"/>
    <cellStyle name="Percent 2 2 2" xfId="321"/>
    <cellStyle name="Percent 2 2 2 2" xfId="322"/>
    <cellStyle name="Percent 2 2 2_CPI" xfId="5959"/>
    <cellStyle name="Percent 2 2 3" xfId="323"/>
    <cellStyle name="Percent 2 2 3 2" xfId="815"/>
    <cellStyle name="Percent 2 2 3 2 2" xfId="4076"/>
    <cellStyle name="Percent 2 2 3 2 3" xfId="4580"/>
    <cellStyle name="Percent 2 2 3 2 4" xfId="5133"/>
    <cellStyle name="Percent 2 2 3 2 5" xfId="4037"/>
    <cellStyle name="Percent 2 2 3 2_CPI" xfId="5961"/>
    <cellStyle name="Percent 2 2 3_CPI" xfId="5960"/>
    <cellStyle name="Percent 2 2_CPI" xfId="5958"/>
    <cellStyle name="Percent 2 3" xfId="324"/>
    <cellStyle name="Percent 2 3 2" xfId="325"/>
    <cellStyle name="Percent 2 3 2 2" xfId="326"/>
    <cellStyle name="Percent 2 3 2_CPI" xfId="5963"/>
    <cellStyle name="Percent 2 3 3" xfId="327"/>
    <cellStyle name="Percent 2 3 4" xfId="4304"/>
    <cellStyle name="Percent 2 3_CPI" xfId="5962"/>
    <cellStyle name="Percent 2 4" xfId="328"/>
    <cellStyle name="Percent 2 4 2" xfId="816"/>
    <cellStyle name="Percent 2 4 2 2" xfId="1267"/>
    <cellStyle name="Percent 2 4 2 3" xfId="3629"/>
    <cellStyle name="Percent 2 4 2_CPI" xfId="5965"/>
    <cellStyle name="Percent 2 4_CPI" xfId="5964"/>
    <cellStyle name="Percent 2 5" xfId="329"/>
    <cellStyle name="Percent 2 5 2" xfId="3633"/>
    <cellStyle name="Percent 2 5 3" xfId="3580"/>
    <cellStyle name="Percent 2 5_CPI" xfId="5966"/>
    <cellStyle name="Percent 2 6" xfId="330"/>
    <cellStyle name="Percent 2 6 2" xfId="3630"/>
    <cellStyle name="Percent 2 6 3" xfId="3609"/>
    <cellStyle name="Percent 2 6_CPI" xfId="5967"/>
    <cellStyle name="Percent 2 7" xfId="331"/>
    <cellStyle name="Percent 2 7 2" xfId="332"/>
    <cellStyle name="Percent 2 7 3" xfId="950"/>
    <cellStyle name="Percent 2 7 3 2" xfId="4045"/>
    <cellStyle name="Percent 2 7 3 3" xfId="4581"/>
    <cellStyle name="Percent 2 7 3 4" xfId="5134"/>
    <cellStyle name="Percent 2 7 3 5" xfId="4038"/>
    <cellStyle name="Percent 2 7 3_CPI" xfId="5969"/>
    <cellStyle name="Percent 2 7_CPI" xfId="5968"/>
    <cellStyle name="Percent 2 8" xfId="333"/>
    <cellStyle name="Percent 2 8 2" xfId="334"/>
    <cellStyle name="Percent 2 8_CPI" xfId="5970"/>
    <cellStyle name="Percent 2_CPI" xfId="5957"/>
    <cellStyle name="Percent 20" xfId="1011"/>
    <cellStyle name="Percent 21" xfId="1012"/>
    <cellStyle name="Percent 22" xfId="1013"/>
    <cellStyle name="Percent 23" xfId="1014"/>
    <cellStyle name="Percent 24" xfId="1015"/>
    <cellStyle name="Percent 25" xfId="1016"/>
    <cellStyle name="Percent 26" xfId="1017"/>
    <cellStyle name="Percent 27" xfId="1018"/>
    <cellStyle name="Percent 28" xfId="965"/>
    <cellStyle name="Percent 29" xfId="975"/>
    <cellStyle name="Percent 3" xfId="335"/>
    <cellStyle name="Percent 3 2" xfId="861"/>
    <cellStyle name="Percent 3 2 2" xfId="4306"/>
    <cellStyle name="Percent 3 2_CPI" xfId="5972"/>
    <cellStyle name="Percent 3 3" xfId="960"/>
    <cellStyle name="Percent 3 4" xfId="4305"/>
    <cellStyle name="Percent 3_CPI" xfId="5971"/>
    <cellStyle name="Percent 30" xfId="964"/>
    <cellStyle name="Percent 31" xfId="1003"/>
    <cellStyle name="Percent 32" xfId="1026"/>
    <cellStyle name="Percent 33" xfId="1033"/>
    <cellStyle name="Percent 33 2" xfId="1277"/>
    <cellStyle name="Percent 33 3" xfId="1142"/>
    <cellStyle name="Percent 33 4" xfId="4028"/>
    <cellStyle name="Percent 33 4 2" xfId="4572"/>
    <cellStyle name="Percent 33 4_CPI" xfId="5974"/>
    <cellStyle name="Percent 33_CPI" xfId="5973"/>
    <cellStyle name="Percent 34" xfId="1028"/>
    <cellStyle name="Percent 34 2" xfId="1150"/>
    <cellStyle name="Percent 34 3" xfId="4078"/>
    <cellStyle name="Percent 34 3 2" xfId="4604"/>
    <cellStyle name="Percent 34 3_CPI" xfId="5976"/>
    <cellStyle name="Percent 34_CPI" xfId="5975"/>
    <cellStyle name="Percent 35" xfId="1066"/>
    <cellStyle name="Percent 35 2" xfId="1133"/>
    <cellStyle name="Percent 35 3" xfId="4083"/>
    <cellStyle name="Percent 35 3 2" xfId="4605"/>
    <cellStyle name="Percent 35 3_CPI" xfId="5978"/>
    <cellStyle name="Percent 35_CPI" xfId="5977"/>
    <cellStyle name="Percent 36" xfId="1148"/>
    <cellStyle name="Percent 37" xfId="1134"/>
    <cellStyle name="Percent 38" xfId="1149"/>
    <cellStyle name="Percent 38 2" xfId="1279"/>
    <cellStyle name="Percent 38_CPI" xfId="5979"/>
    <cellStyle name="Percent 39" xfId="1132"/>
    <cellStyle name="Percent 39 2" xfId="1269"/>
    <cellStyle name="Percent 39_CPI" xfId="5980"/>
    <cellStyle name="Percent 4" xfId="336"/>
    <cellStyle name="Percent 4 2" xfId="337"/>
    <cellStyle name="Percent 4 2 2" xfId="338"/>
    <cellStyle name="Percent 4 2_CPI" xfId="5982"/>
    <cellStyle name="Percent 4 3" xfId="417"/>
    <cellStyle name="Percent 4 3 2" xfId="1126"/>
    <cellStyle name="Percent 4 3 3" xfId="961"/>
    <cellStyle name="Percent 4 3 3 2" xfId="4052"/>
    <cellStyle name="Percent 4 3 3 3" xfId="4582"/>
    <cellStyle name="Percent 4 3 3 4" xfId="5135"/>
    <cellStyle name="Percent 4 3 3 5" xfId="4039"/>
    <cellStyle name="Percent 4 3 3_CPI" xfId="5984"/>
    <cellStyle name="Percent 4 3_CPI" xfId="5983"/>
    <cellStyle name="Percent 4 4" xfId="570"/>
    <cellStyle name="Percent 4 4 2" xfId="1227"/>
    <cellStyle name="Percent 4 4 3" xfId="1753"/>
    <cellStyle name="Percent 4 4 4" xfId="1079"/>
    <cellStyle name="Percent 4 4 4 2" xfId="4489"/>
    <cellStyle name="Percent 4 4 4_CPI" xfId="5986"/>
    <cellStyle name="Percent 4 4 5" xfId="4058"/>
    <cellStyle name="Percent 4 4 5 2" xfId="4596"/>
    <cellStyle name="Percent 4 4 5_CPI" xfId="5987"/>
    <cellStyle name="Percent 4 4_CPI" xfId="5985"/>
    <cellStyle name="Percent 4 5" xfId="817"/>
    <cellStyle name="Percent 4 6" xfId="3577"/>
    <cellStyle name="Percent 4 6 2" xfId="4971"/>
    <cellStyle name="Percent 4 6 3" xfId="5284"/>
    <cellStyle name="Percent 4 6 4" xfId="4307"/>
    <cellStyle name="Percent 4 6_CPI" xfId="5988"/>
    <cellStyle name="Percent 4_CPI" xfId="5981"/>
    <cellStyle name="Percent 40" xfId="1168"/>
    <cellStyle name="Percent 41" xfId="1153"/>
    <cellStyle name="Percent 42" xfId="1167"/>
    <cellStyle name="Percent 43" xfId="1152"/>
    <cellStyle name="Percent 44" xfId="1169"/>
    <cellStyle name="Percent 45" xfId="1151"/>
    <cellStyle name="Percent 46" xfId="1170"/>
    <cellStyle name="Percent 47" xfId="1174"/>
    <cellStyle name="Percent 48" xfId="1171"/>
    <cellStyle name="Percent 49" xfId="1175"/>
    <cellStyle name="Percent 5" xfId="339"/>
    <cellStyle name="Percent 5 2" xfId="340"/>
    <cellStyle name="Percent 5 2 2" xfId="1127"/>
    <cellStyle name="Percent 5 2 3" xfId="996"/>
    <cellStyle name="Percent 5 2 3 2" xfId="4064"/>
    <cellStyle name="Percent 5 2 3 3" xfId="4584"/>
    <cellStyle name="Percent 5 2 3 4" xfId="5137"/>
    <cellStyle name="Percent 5 2 3 5" xfId="4041"/>
    <cellStyle name="Percent 5 2 3_CPI" xfId="5991"/>
    <cellStyle name="Percent 5 2_CPI" xfId="5990"/>
    <cellStyle name="Percent 5 3" xfId="1234"/>
    <cellStyle name="Percent 5 4" xfId="818"/>
    <cellStyle name="Percent 5 4 2" xfId="4081"/>
    <cellStyle name="Percent 5 4 3" xfId="4583"/>
    <cellStyle name="Percent 5 4 4" xfId="5136"/>
    <cellStyle name="Percent 5 4 5" xfId="4040"/>
    <cellStyle name="Percent 5 4_CPI" xfId="5992"/>
    <cellStyle name="Percent 5 5" xfId="4308"/>
    <cellStyle name="Percent 5_CPI" xfId="5989"/>
    <cellStyle name="Percent 50" xfId="1172"/>
    <cellStyle name="Percent 51" xfId="1210"/>
    <cellStyle name="Percent 51 2" xfId="1288"/>
    <cellStyle name="Percent 51_CPI" xfId="5993"/>
    <cellStyle name="Percent 52" xfId="1215"/>
    <cellStyle name="Percent 52 2" xfId="1291"/>
    <cellStyle name="Percent 52_CPI" xfId="5994"/>
    <cellStyle name="Percent 53" xfId="1209"/>
    <cellStyle name="Percent 53 2" xfId="1287"/>
    <cellStyle name="Percent 53_CPI" xfId="5995"/>
    <cellStyle name="Percent 54" xfId="1216"/>
    <cellStyle name="Percent 54 2" xfId="1292"/>
    <cellStyle name="Percent 54_CPI" xfId="5996"/>
    <cellStyle name="Percent 55" xfId="1208"/>
    <cellStyle name="Percent 55 2" xfId="1286"/>
    <cellStyle name="Percent 55_CPI" xfId="5997"/>
    <cellStyle name="Percent 56" xfId="1237"/>
    <cellStyle name="Percent 57" xfId="1217"/>
    <cellStyle name="Percent 58" xfId="1230"/>
    <cellStyle name="Percent 59" xfId="1182"/>
    <cellStyle name="Percent 6" xfId="814"/>
    <cellStyle name="Percent 6 2" xfId="972"/>
    <cellStyle name="Percent 6_CPI" xfId="5998"/>
    <cellStyle name="Percent 60" xfId="1258"/>
    <cellStyle name="Percent 61" xfId="1295"/>
    <cellStyle name="Percent 62" xfId="1296"/>
    <cellStyle name="Percent 63" xfId="1238"/>
    <cellStyle name="Percent 64" xfId="1281"/>
    <cellStyle name="Percent 65" xfId="1298"/>
    <cellStyle name="Percent 66" xfId="1211"/>
    <cellStyle name="Percent 67" xfId="1299"/>
    <cellStyle name="Percent 68" xfId="1185"/>
    <cellStyle name="Percent 69" xfId="1229"/>
    <cellStyle name="Percent 7" xfId="852"/>
    <cellStyle name="Percent 7 2" xfId="985"/>
    <cellStyle name="Percent 7 3" xfId="1762"/>
    <cellStyle name="Percent 7 4" xfId="3893"/>
    <cellStyle name="Percent 7 5" xfId="4047"/>
    <cellStyle name="Percent 7 5 2" xfId="4590"/>
    <cellStyle name="Percent 7 5_CPI" xfId="6000"/>
    <cellStyle name="Percent 7_CPI" xfId="5999"/>
    <cellStyle name="Percent 70" xfId="1184"/>
    <cellStyle name="Percent 71" xfId="1334"/>
    <cellStyle name="Percent 72" xfId="1301"/>
    <cellStyle name="Percent 73" xfId="1333"/>
    <cellStyle name="Percent 74" xfId="1300"/>
    <cellStyle name="Percent 75" xfId="1335"/>
    <cellStyle name="Percent 76" xfId="1381"/>
    <cellStyle name="Percent 77" xfId="1341"/>
    <cellStyle name="Percent 78" xfId="1380"/>
    <cellStyle name="Percent 79" xfId="1340"/>
    <cellStyle name="Percent 8" xfId="970"/>
    <cellStyle name="Percent 80" xfId="1382"/>
    <cellStyle name="Percent 81" xfId="1339"/>
    <cellStyle name="Percent 82" xfId="1383"/>
    <cellStyle name="Percent 83" xfId="1388"/>
    <cellStyle name="Percent 84" xfId="1376"/>
    <cellStyle name="Percent 85" xfId="1389"/>
    <cellStyle name="Percent 86" xfId="1377"/>
    <cellStyle name="Percent 87" xfId="1390"/>
    <cellStyle name="Percent 88" xfId="1378"/>
    <cellStyle name="Percent 89" xfId="1391"/>
    <cellStyle name="Percent 9" xfId="987"/>
    <cellStyle name="Percent 90" xfId="1379"/>
    <cellStyle name="Percent 91" xfId="1387"/>
    <cellStyle name="Percent 92" xfId="1438"/>
    <cellStyle name="Percent 93" xfId="1402"/>
    <cellStyle name="Percent 94" xfId="1435"/>
    <cellStyle name="Percent 95" xfId="1447"/>
    <cellStyle name="Percent 96" xfId="1436"/>
    <cellStyle name="Percent 97" xfId="1448"/>
    <cellStyle name="Percent 98" xfId="1437"/>
    <cellStyle name="Percent 99" xfId="1449"/>
    <cellStyle name="PercentBrda" xfId="8"/>
    <cellStyle name="PercntNoBrda" xfId="9"/>
    <cellStyle name="PSChar" xfId="4309"/>
    <cellStyle name="PSChar 10" xfId="4310"/>
    <cellStyle name="PSChar 10 2" xfId="4311"/>
    <cellStyle name="PSChar 10_CPI" xfId="6002"/>
    <cellStyle name="PSChar 11" xfId="4312"/>
    <cellStyle name="PSChar 12" xfId="4313"/>
    <cellStyle name="PSChar 2" xfId="4314"/>
    <cellStyle name="PSChar 2 2" xfId="4315"/>
    <cellStyle name="PSChar 2_CPI" xfId="6003"/>
    <cellStyle name="PSChar 3" xfId="4316"/>
    <cellStyle name="PSChar 3 2" xfId="4317"/>
    <cellStyle name="PSChar 3_CPI" xfId="6004"/>
    <cellStyle name="PSChar 4" xfId="4318"/>
    <cellStyle name="PSChar 4 2" xfId="4319"/>
    <cellStyle name="PSChar 4_CPI" xfId="6005"/>
    <cellStyle name="PSChar 5" xfId="4320"/>
    <cellStyle name="PSChar 5 2" xfId="4321"/>
    <cellStyle name="PSChar 5_CPI" xfId="6006"/>
    <cellStyle name="PSChar 6" xfId="4322"/>
    <cellStyle name="PSChar 6 2" xfId="4323"/>
    <cellStyle name="PSChar 6_CPI" xfId="6007"/>
    <cellStyle name="PSChar 7" xfId="4324"/>
    <cellStyle name="PSChar 7 2" xfId="4325"/>
    <cellStyle name="PSChar 7_CPI" xfId="6008"/>
    <cellStyle name="PSChar 8" xfId="4326"/>
    <cellStyle name="PSChar 8 2" xfId="4327"/>
    <cellStyle name="PSChar 8_CPI" xfId="6009"/>
    <cellStyle name="PSChar 9" xfId="4328"/>
    <cellStyle name="PSChar 9 2" xfId="4329"/>
    <cellStyle name="PSChar 9_CPI" xfId="6010"/>
    <cellStyle name="PSChar_CPI" xfId="6001"/>
    <cellStyle name="PSDate" xfId="4330"/>
    <cellStyle name="PSDate 10" xfId="4331"/>
    <cellStyle name="PSDate 10 2" xfId="4332"/>
    <cellStyle name="PSDate 10_CPI" xfId="6012"/>
    <cellStyle name="PSDate 11" xfId="4333"/>
    <cellStyle name="PSDate 12" xfId="4334"/>
    <cellStyle name="PSDate 2" xfId="4335"/>
    <cellStyle name="PSDate 2 2" xfId="4336"/>
    <cellStyle name="PSDate 2_CPI" xfId="6013"/>
    <cellStyle name="PSDate 3" xfId="4337"/>
    <cellStyle name="PSDate 3 2" xfId="4338"/>
    <cellStyle name="PSDate 3_CPI" xfId="6014"/>
    <cellStyle name="PSDate 4" xfId="4339"/>
    <cellStyle name="PSDate 4 2" xfId="4340"/>
    <cellStyle name="PSDate 4_CPI" xfId="6015"/>
    <cellStyle name="PSDate 5" xfId="4341"/>
    <cellStyle name="PSDate 5 2" xfId="4342"/>
    <cellStyle name="PSDate 5_CPI" xfId="6016"/>
    <cellStyle name="PSDate 6" xfId="4343"/>
    <cellStyle name="PSDate 6 2" xfId="4344"/>
    <cellStyle name="PSDate 6_CPI" xfId="6017"/>
    <cellStyle name="PSDate 7" xfId="4345"/>
    <cellStyle name="PSDate 7 2" xfId="4346"/>
    <cellStyle name="PSDate 7_CPI" xfId="6018"/>
    <cellStyle name="PSDate 8" xfId="4347"/>
    <cellStyle name="PSDate 8 2" xfId="4348"/>
    <cellStyle name="PSDate 8_CPI" xfId="6019"/>
    <cellStyle name="PSDate 9" xfId="4349"/>
    <cellStyle name="PSDate 9 2" xfId="4350"/>
    <cellStyle name="PSDate 9_CPI" xfId="6020"/>
    <cellStyle name="PSDate_CPI" xfId="6011"/>
    <cellStyle name="PSDec" xfId="4351"/>
    <cellStyle name="PSDec 10" xfId="4352"/>
    <cellStyle name="PSDec 10 2" xfId="4353"/>
    <cellStyle name="PSDec 10_CPI" xfId="6022"/>
    <cellStyle name="PSDec 11" xfId="4354"/>
    <cellStyle name="PSDec 12" xfId="4355"/>
    <cellStyle name="PSDec 2" xfId="4356"/>
    <cellStyle name="PSDec 2 2" xfId="4357"/>
    <cellStyle name="PSDec 2_CPI" xfId="6023"/>
    <cellStyle name="PSDec 3" xfId="4358"/>
    <cellStyle name="PSDec 3 2" xfId="4359"/>
    <cellStyle name="PSDec 3_CPI" xfId="6024"/>
    <cellStyle name="PSDec 4" xfId="4360"/>
    <cellStyle name="PSDec 4 2" xfId="4361"/>
    <cellStyle name="PSDec 4_CPI" xfId="6025"/>
    <cellStyle name="PSDec 5" xfId="4362"/>
    <cellStyle name="PSDec 5 2" xfId="4363"/>
    <cellStyle name="PSDec 5_CPI" xfId="6026"/>
    <cellStyle name="PSDec 6" xfId="4364"/>
    <cellStyle name="PSDec 6 2" xfId="4365"/>
    <cellStyle name="PSDec 6_CPI" xfId="6027"/>
    <cellStyle name="PSDec 7" xfId="4366"/>
    <cellStyle name="PSDec 7 2" xfId="4367"/>
    <cellStyle name="PSDec 7_CPI" xfId="6028"/>
    <cellStyle name="PSDec 8" xfId="4368"/>
    <cellStyle name="PSDec 8 2" xfId="4369"/>
    <cellStyle name="PSDec 8_CPI" xfId="6029"/>
    <cellStyle name="PSDec 9" xfId="4370"/>
    <cellStyle name="PSDec 9 2" xfId="4371"/>
    <cellStyle name="PSDec 9_CPI" xfId="6030"/>
    <cellStyle name="PSDec_CPI" xfId="6021"/>
    <cellStyle name="PSHeading" xfId="4372"/>
    <cellStyle name="PSHeading 10" xfId="4373"/>
    <cellStyle name="PSHeading 10 2" xfId="4374"/>
    <cellStyle name="PSHeading 10 2 2" xfId="4375"/>
    <cellStyle name="PSHeading 10 2_CPI" xfId="6033"/>
    <cellStyle name="PSHeading 10 3" xfId="4376"/>
    <cellStyle name="PSHeading 10_CPI" xfId="6032"/>
    <cellStyle name="PSHeading 11" xfId="4377"/>
    <cellStyle name="PSHeading 11 2" xfId="4378"/>
    <cellStyle name="PSHeading 11_CPI" xfId="6034"/>
    <cellStyle name="PSHeading 12" xfId="4379"/>
    <cellStyle name="PSHeading 12 2" xfId="4380"/>
    <cellStyle name="PSHeading 12_CPI" xfId="6035"/>
    <cellStyle name="PSHeading 13" xfId="4381"/>
    <cellStyle name="PSHeading 2" xfId="4382"/>
    <cellStyle name="PSHeading 2 2" xfId="4383"/>
    <cellStyle name="PSHeading 2 2 2" xfId="4384"/>
    <cellStyle name="PSHeading 2 2_CPI" xfId="6037"/>
    <cellStyle name="PSHeading 2 3" xfId="4385"/>
    <cellStyle name="PSHeading 2_CPI" xfId="6036"/>
    <cellStyle name="PSHeading 3" xfId="4386"/>
    <cellStyle name="PSHeading 3 2" xfId="4387"/>
    <cellStyle name="PSHeading 3 2 2" xfId="4388"/>
    <cellStyle name="PSHeading 3 2_CPI" xfId="6039"/>
    <cellStyle name="PSHeading 3 3" xfId="4389"/>
    <cellStyle name="PSHeading 3_CPI" xfId="6038"/>
    <cellStyle name="PSHeading 4" xfId="4390"/>
    <cellStyle name="PSHeading 4 2" xfId="4391"/>
    <cellStyle name="PSHeading 4 2 2" xfId="4392"/>
    <cellStyle name="PSHeading 4 2_CPI" xfId="6041"/>
    <cellStyle name="PSHeading 4 3" xfId="4393"/>
    <cellStyle name="PSHeading 4_CPI" xfId="6040"/>
    <cellStyle name="PSHeading 5" xfId="4394"/>
    <cellStyle name="PSHeading 5 2" xfId="4395"/>
    <cellStyle name="PSHeading 5 2 2" xfId="4396"/>
    <cellStyle name="PSHeading 5 2_CPI" xfId="6043"/>
    <cellStyle name="PSHeading 5 3" xfId="4397"/>
    <cellStyle name="PSHeading 5_CPI" xfId="6042"/>
    <cellStyle name="PSHeading 6" xfId="4398"/>
    <cellStyle name="PSHeading 6 2" xfId="4399"/>
    <cellStyle name="PSHeading 6 2 2" xfId="4400"/>
    <cellStyle name="PSHeading 6 2_CPI" xfId="6045"/>
    <cellStyle name="PSHeading 6 3" xfId="4401"/>
    <cellStyle name="PSHeading 6_CPI" xfId="6044"/>
    <cellStyle name="PSHeading 7" xfId="4402"/>
    <cellStyle name="PSHeading 7 2" xfId="4403"/>
    <cellStyle name="PSHeading 7 2 2" xfId="4404"/>
    <cellStyle name="PSHeading 7 2_CPI" xfId="6047"/>
    <cellStyle name="PSHeading 7 3" xfId="4405"/>
    <cellStyle name="PSHeading 7_CPI" xfId="6046"/>
    <cellStyle name="PSHeading 8" xfId="4406"/>
    <cellStyle name="PSHeading 8 2" xfId="4407"/>
    <cellStyle name="PSHeading 8 2 2" xfId="4408"/>
    <cellStyle name="PSHeading 8 2_CPI" xfId="6049"/>
    <cellStyle name="PSHeading 8 3" xfId="4409"/>
    <cellStyle name="PSHeading 8_CPI" xfId="6048"/>
    <cellStyle name="PSHeading 9" xfId="4410"/>
    <cellStyle name="PSHeading 9 2" xfId="4411"/>
    <cellStyle name="PSHeading 9 2 2" xfId="4412"/>
    <cellStyle name="PSHeading 9 2_CPI" xfId="6051"/>
    <cellStyle name="PSHeading 9 3" xfId="4413"/>
    <cellStyle name="PSHeading 9_CPI" xfId="6050"/>
    <cellStyle name="PSHeading_CPI" xfId="6031"/>
    <cellStyle name="PSInt" xfId="4414"/>
    <cellStyle name="PSInt 10" xfId="4415"/>
    <cellStyle name="PSInt 10 2" xfId="4416"/>
    <cellStyle name="PSInt 10_CPI" xfId="6053"/>
    <cellStyle name="PSInt 11" xfId="4417"/>
    <cellStyle name="PSInt 12" xfId="4418"/>
    <cellStyle name="PSInt 2" xfId="4419"/>
    <cellStyle name="PSInt 2 2" xfId="4420"/>
    <cellStyle name="PSInt 2_CPI" xfId="6054"/>
    <cellStyle name="PSInt 3" xfId="4421"/>
    <cellStyle name="PSInt 3 2" xfId="4422"/>
    <cellStyle name="PSInt 3_CPI" xfId="6055"/>
    <cellStyle name="PSInt 4" xfId="4423"/>
    <cellStyle name="PSInt 4 2" xfId="4424"/>
    <cellStyle name="PSInt 4_CPI" xfId="6056"/>
    <cellStyle name="PSInt 5" xfId="4425"/>
    <cellStyle name="PSInt 5 2" xfId="4426"/>
    <cellStyle name="PSInt 5_CPI" xfId="6057"/>
    <cellStyle name="PSInt 6" xfId="4427"/>
    <cellStyle name="PSInt 6 2" xfId="4428"/>
    <cellStyle name="PSInt 6_CPI" xfId="6058"/>
    <cellStyle name="PSInt 7" xfId="4429"/>
    <cellStyle name="PSInt 7 2" xfId="4430"/>
    <cellStyle name="PSInt 7_CPI" xfId="6059"/>
    <cellStyle name="PSInt 8" xfId="4431"/>
    <cellStyle name="PSInt 8 2" xfId="4432"/>
    <cellStyle name="PSInt 8_CPI" xfId="6060"/>
    <cellStyle name="PSInt 9" xfId="4433"/>
    <cellStyle name="PSInt 9 2" xfId="4434"/>
    <cellStyle name="PSInt 9_CPI" xfId="6061"/>
    <cellStyle name="PSInt_CPI" xfId="6052"/>
    <cellStyle name="PSSpacer" xfId="4435"/>
    <cellStyle name="PSSpacer 10" xfId="4436"/>
    <cellStyle name="PSSpacer 10 2" xfId="4437"/>
    <cellStyle name="PSSpacer 10_CPI" xfId="6063"/>
    <cellStyle name="PSSpacer 11" xfId="4438"/>
    <cellStyle name="PSSpacer 12" xfId="4439"/>
    <cellStyle name="PSSpacer 2" xfId="4440"/>
    <cellStyle name="PSSpacer 2 2" xfId="4441"/>
    <cellStyle name="PSSpacer 2_CPI" xfId="6064"/>
    <cellStyle name="PSSpacer 3" xfId="4442"/>
    <cellStyle name="PSSpacer 3 2" xfId="4443"/>
    <cellStyle name="PSSpacer 3_CPI" xfId="6065"/>
    <cellStyle name="PSSpacer 4" xfId="4444"/>
    <cellStyle name="PSSpacer 4 2" xfId="4445"/>
    <cellStyle name="PSSpacer 4_CPI" xfId="6066"/>
    <cellStyle name="PSSpacer 5" xfId="4446"/>
    <cellStyle name="PSSpacer 5 2" xfId="4447"/>
    <cellStyle name="PSSpacer 5_CPI" xfId="6067"/>
    <cellStyle name="PSSpacer 6" xfId="4448"/>
    <cellStyle name="PSSpacer 6 2" xfId="4449"/>
    <cellStyle name="PSSpacer 6_CPI" xfId="6068"/>
    <cellStyle name="PSSpacer 7" xfId="4450"/>
    <cellStyle name="PSSpacer 7 2" xfId="4451"/>
    <cellStyle name="PSSpacer 7_CPI" xfId="6069"/>
    <cellStyle name="PSSpacer 8" xfId="4452"/>
    <cellStyle name="PSSpacer 8 2" xfId="4453"/>
    <cellStyle name="PSSpacer 8_CPI" xfId="6070"/>
    <cellStyle name="PSSpacer 9" xfId="4454"/>
    <cellStyle name="PSSpacer 9 2" xfId="4455"/>
    <cellStyle name="PSSpacer 9_CPI" xfId="6071"/>
    <cellStyle name="PSSpacer_CPI" xfId="6062"/>
    <cellStyle name="semestre" xfId="341"/>
    <cellStyle name="semestre 2" xfId="1760"/>
    <cellStyle name="semestre 2 2" xfId="3744"/>
    <cellStyle name="semestre 2 2 2" xfId="5312"/>
    <cellStyle name="semestre 2 2 2 2" xfId="5322"/>
    <cellStyle name="semestre 2 2 2_CPI" xfId="6075"/>
    <cellStyle name="semestre 2 2 3" xfId="5020"/>
    <cellStyle name="semestre 2 2 4" xfId="5519"/>
    <cellStyle name="semestre 2 2_CPI" xfId="6074"/>
    <cellStyle name="semestre 2 3" xfId="2739"/>
    <cellStyle name="semestre 2 3 2" xfId="5332"/>
    <cellStyle name="semestre 2 3 3" xfId="5475"/>
    <cellStyle name="semestre 2 3 4" xfId="5347"/>
    <cellStyle name="semestre 2 3 5" xfId="4480"/>
    <cellStyle name="semestre 2 3_CPI" xfId="6076"/>
    <cellStyle name="semestre 2 4" xfId="4800"/>
    <cellStyle name="semestre 2 4 2" xfId="5335"/>
    <cellStyle name="semestre 2 4_CPI" xfId="6077"/>
    <cellStyle name="semestre 2 5" xfId="5323"/>
    <cellStyle name="semestre 2 6" xfId="5340"/>
    <cellStyle name="semestre 2_CPI" xfId="6073"/>
    <cellStyle name="semestre 3" xfId="1780"/>
    <cellStyle name="semestre 3 2" xfId="3756"/>
    <cellStyle name="semestre 3 2 2" xfId="4626"/>
    <cellStyle name="semestre 3 2 2 2" xfId="4783"/>
    <cellStyle name="semestre 3 2 2_CPI" xfId="6080"/>
    <cellStyle name="semestre 3 2 3" xfId="5019"/>
    <cellStyle name="semestre 3 2 4" xfId="5520"/>
    <cellStyle name="semestre 3 2_CPI" xfId="6079"/>
    <cellStyle name="semestre 3 3" xfId="2751"/>
    <cellStyle name="semestre 3 3 2" xfId="5026"/>
    <cellStyle name="semestre 3 3 3" xfId="5476"/>
    <cellStyle name="semestre 3 3 4" xfId="5346"/>
    <cellStyle name="semestre 3 3 5" xfId="4565"/>
    <cellStyle name="semestre 3 3_CPI" xfId="6081"/>
    <cellStyle name="semestre 3 4" xfId="4481"/>
    <cellStyle name="semestre 3 4 2" xfId="5033"/>
    <cellStyle name="semestre 3 4_CPI" xfId="6082"/>
    <cellStyle name="semestre 3 5" xfId="4801"/>
    <cellStyle name="semestre 3 5 2" xfId="5336"/>
    <cellStyle name="semestre 3 5_CPI" xfId="6083"/>
    <cellStyle name="semestre 3 6" xfId="5028"/>
    <cellStyle name="semestre 3 7" xfId="5491"/>
    <cellStyle name="semestre 3_CPI" xfId="6078"/>
    <cellStyle name="semestre 4" xfId="3024"/>
    <cellStyle name="semestre 4 2" xfId="4593"/>
    <cellStyle name="semestre 4 2 2" xfId="5334"/>
    <cellStyle name="semestre 4 2_CPI" xfId="6085"/>
    <cellStyle name="semestre 4 3" xfId="5393"/>
    <cellStyle name="semestre 4_CPI" xfId="6084"/>
    <cellStyle name="semestre 5" xfId="2089"/>
    <cellStyle name="semestre 5 2" xfId="4636"/>
    <cellStyle name="semestre 5 2 2" xfId="5329"/>
    <cellStyle name="semestre 5 2_CPI" xfId="6087"/>
    <cellStyle name="semestre 5 3" xfId="5327"/>
    <cellStyle name="semestre 5 4" xfId="5363"/>
    <cellStyle name="semestre 5 5" xfId="5472"/>
    <cellStyle name="semestre 5 6" xfId="4462"/>
    <cellStyle name="semestre 5_CPI" xfId="6086"/>
    <cellStyle name="semestre 6" xfId="4470"/>
    <cellStyle name="semestre 6 2" xfId="5301"/>
    <cellStyle name="semestre 6_CPI" xfId="6088"/>
    <cellStyle name="semestre 7" xfId="4679"/>
    <cellStyle name="semestre 7 2" xfId="5030"/>
    <cellStyle name="semestre 7_CPI" xfId="6089"/>
    <cellStyle name="semestre 8" xfId="5326"/>
    <cellStyle name="semestre 9" xfId="5345"/>
    <cellStyle name="semestre_CPI" xfId="6072"/>
    <cellStyle name="sh0 -SideHeading" xfId="819"/>
    <cellStyle name="sh0 -SideHeading 2" xfId="820"/>
    <cellStyle name="sh0 -SideHeading 2 2" xfId="3345"/>
    <cellStyle name="sh0 -SideHeading 2 3" xfId="2401"/>
    <cellStyle name="sh0 -SideHeading 2_CPI" xfId="6091"/>
    <cellStyle name="sh0 -SideHeading 3" xfId="3344"/>
    <cellStyle name="sh0 -SideHeading 4" xfId="2400"/>
    <cellStyle name="sh0 -SideHeading_CPI" xfId="6090"/>
    <cellStyle name="sh1 -SideHeading" xfId="821"/>
    <cellStyle name="sh1 -SideHeading 2" xfId="822"/>
    <cellStyle name="sh1 -SideHeading 2 2" xfId="3347"/>
    <cellStyle name="sh1 -SideHeading 2 3" xfId="2403"/>
    <cellStyle name="sh1 -SideHeading 2_CPI" xfId="6093"/>
    <cellStyle name="sh1 -SideHeading 3" xfId="3346"/>
    <cellStyle name="sh1 -SideHeading 4" xfId="2402"/>
    <cellStyle name="sh1 -SideHeading_CPI" xfId="6092"/>
    <cellStyle name="sh2 -SideHeading" xfId="823"/>
    <cellStyle name="sh2 -SideHeading 2" xfId="824"/>
    <cellStyle name="sh2 -SideHeading 2 2" xfId="3349"/>
    <cellStyle name="sh2 -SideHeading 2 3" xfId="2405"/>
    <cellStyle name="sh2 -SideHeading 2_CPI" xfId="6095"/>
    <cellStyle name="sh2 -SideHeading 3" xfId="3348"/>
    <cellStyle name="sh2 -SideHeading 4" xfId="2404"/>
    <cellStyle name="sh2 -SideHeading_CPI" xfId="6094"/>
    <cellStyle name="sh3 -SideHeading" xfId="825"/>
    <cellStyle name="sh3 -SideHeading 2" xfId="826"/>
    <cellStyle name="sh3 -SideHeading 2 2" xfId="3351"/>
    <cellStyle name="sh3 -SideHeading 2 3" xfId="2407"/>
    <cellStyle name="sh3 -SideHeading 2_CPI" xfId="6097"/>
    <cellStyle name="sh3 -SideHeading 3" xfId="3350"/>
    <cellStyle name="sh3 -SideHeading 4" xfId="2406"/>
    <cellStyle name="sh3 -SideHeading_CPI" xfId="6096"/>
    <cellStyle name="st0 -SideText" xfId="827"/>
    <cellStyle name="st0 -SideText 2" xfId="828"/>
    <cellStyle name="st0 -SideText 2 2" xfId="3353"/>
    <cellStyle name="st0 -SideText 2 3" xfId="2409"/>
    <cellStyle name="st0 -SideText 2_CPI" xfId="6099"/>
    <cellStyle name="st0 -SideText 3" xfId="3352"/>
    <cellStyle name="st0 -SideText 4" xfId="2408"/>
    <cellStyle name="st0 -SideText_CPI" xfId="6098"/>
    <cellStyle name="st1 -SideText" xfId="829"/>
    <cellStyle name="st1 -SideText 2" xfId="830"/>
    <cellStyle name="st1 -SideText 2 2" xfId="3355"/>
    <cellStyle name="st1 -SideText 2 3" xfId="2411"/>
    <cellStyle name="st1 -SideText 2_CPI" xfId="6101"/>
    <cellStyle name="st1 -SideText 3" xfId="3354"/>
    <cellStyle name="st1 -SideText 4" xfId="2410"/>
    <cellStyle name="st1 -SideText_CPI" xfId="6100"/>
    <cellStyle name="st2 -SideText" xfId="831"/>
    <cellStyle name="st2 -SideText 2" xfId="832"/>
    <cellStyle name="st2 -SideText 2 2" xfId="3357"/>
    <cellStyle name="st2 -SideText 2 3" xfId="2413"/>
    <cellStyle name="st2 -SideText 2_CPI" xfId="6103"/>
    <cellStyle name="st2 -SideText 3" xfId="3356"/>
    <cellStyle name="st2 -SideText 4" xfId="2412"/>
    <cellStyle name="st2 -SideText_CPI" xfId="6102"/>
    <cellStyle name="st3 -SideText" xfId="833"/>
    <cellStyle name="st3 -SideText 2" xfId="834"/>
    <cellStyle name="st3 -SideText 2 2" xfId="3359"/>
    <cellStyle name="st3 -SideText 2 3" xfId="2415"/>
    <cellStyle name="st3 -SideText 2_CPI" xfId="6105"/>
    <cellStyle name="st3 -SideText 3" xfId="3358"/>
    <cellStyle name="st3 -SideText 4" xfId="2414"/>
    <cellStyle name="st3 -SideText_CPI" xfId="6104"/>
    <cellStyle name="st4 -SideText" xfId="835"/>
    <cellStyle name="st4 -SideText 2" xfId="836"/>
    <cellStyle name="st4 -SideText 2 2" xfId="3361"/>
    <cellStyle name="st4 -SideText 2 3" xfId="2417"/>
    <cellStyle name="st4 -SideText 2_CPI" xfId="6107"/>
    <cellStyle name="st4 -SideText 3" xfId="3360"/>
    <cellStyle name="st4 -SideText 4" xfId="2416"/>
    <cellStyle name="st4 -SideText_CPI" xfId="6106"/>
    <cellStyle name="Style 1" xfId="342"/>
    <cellStyle name="Style 1 10" xfId="1584"/>
    <cellStyle name="Style 1 11" xfId="1898"/>
    <cellStyle name="Style 1 12" xfId="3025"/>
    <cellStyle name="Style 1 13" xfId="2090"/>
    <cellStyle name="Style 1 2" xfId="343"/>
    <cellStyle name="Style 1 3" xfId="427"/>
    <cellStyle name="Style 1 3 2" xfId="1128"/>
    <cellStyle name="Style 1 3 3" xfId="863"/>
    <cellStyle name="Style 1 3 3 2" xfId="3378"/>
    <cellStyle name="Style 1 3 3 3" xfId="2433"/>
    <cellStyle name="Style 1 3 3_CPI" xfId="6110"/>
    <cellStyle name="Style 1 3 4" xfId="571"/>
    <cellStyle name="Style 1 3 4 2" xfId="3205"/>
    <cellStyle name="Style 1 3 4 3" xfId="2261"/>
    <cellStyle name="Style 1 3 4_CPI" xfId="6111"/>
    <cellStyle name="Style 1 3 5" xfId="3088"/>
    <cellStyle name="Style 1 3 6" xfId="2103"/>
    <cellStyle name="Style 1 3_CPI" xfId="6109"/>
    <cellStyle name="Style 1 4" xfId="1027"/>
    <cellStyle name="Style 1 5" xfId="1040"/>
    <cellStyle name="Style 1 5 2" xfId="1212"/>
    <cellStyle name="Style 1 5 3" xfId="3491"/>
    <cellStyle name="Style 1 5 4" xfId="2538"/>
    <cellStyle name="Style 1 5_CPI" xfId="6112"/>
    <cellStyle name="Style 1 6" xfId="1336"/>
    <cellStyle name="Style 1 7" xfId="1385"/>
    <cellStyle name="Style 1 8" xfId="1445"/>
    <cellStyle name="Style 1 9" xfId="1516"/>
    <cellStyle name="Style 1_CPI" xfId="6108"/>
    <cellStyle name="Sum" xfId="954"/>
    <cellStyle name="Sum 2" xfId="997"/>
    <cellStyle name="Sum 2 2" xfId="3472"/>
    <cellStyle name="Sum 2 3" xfId="2525"/>
    <cellStyle name="Sum 2_CPI" xfId="6114"/>
    <cellStyle name="Sum 3" xfId="3452"/>
    <cellStyle name="Sum 4" xfId="2507"/>
    <cellStyle name="Sum_CPI" xfId="6113"/>
    <cellStyle name="tête chapitre" xfId="344"/>
    <cellStyle name="tête chapitre 2" xfId="3026"/>
    <cellStyle name="tête chapitre 3" xfId="2091"/>
    <cellStyle name="tête chapitre_CPI" xfId="6115"/>
    <cellStyle name="Text" xfId="955"/>
    <cellStyle name="Text 2" xfId="998"/>
    <cellStyle name="Text 2 2" xfId="1100"/>
    <cellStyle name="Text 2 2 2" xfId="1692"/>
    <cellStyle name="Text 2 2_CPI" xfId="6118"/>
    <cellStyle name="Text 2 3" xfId="1606"/>
    <cellStyle name="Text 2_CPI" xfId="6117"/>
    <cellStyle name="Text rjustify" xfId="956"/>
    <cellStyle name="Text rjustify 2" xfId="999"/>
    <cellStyle name="Text rjustify 2 2" xfId="1101"/>
    <cellStyle name="Text rjustify 2 2 2" xfId="1693"/>
    <cellStyle name="Text rjustify 2 2_CPI" xfId="6121"/>
    <cellStyle name="Text rjustify 2 3" xfId="1123"/>
    <cellStyle name="Text rjustify 2_CPI" xfId="6120"/>
    <cellStyle name="Text rjustify_CPI" xfId="6119"/>
    <cellStyle name="Text Wrap" xfId="3611"/>
    <cellStyle name="Text_CPI" xfId="6116"/>
    <cellStyle name="Time" xfId="957"/>
    <cellStyle name="Time 2" xfId="1000"/>
    <cellStyle name="Time 2 2" xfId="3473"/>
    <cellStyle name="Time 2 3" xfId="2526"/>
    <cellStyle name="Time 2_CPI" xfId="6123"/>
    <cellStyle name="Time 3" xfId="3453"/>
    <cellStyle name="Time 4" xfId="2508"/>
    <cellStyle name="Time_CPI" xfId="6122"/>
    <cellStyle name="Title" xfId="1" builtinId="15" customBuiltin="1"/>
    <cellStyle name="Title 2" xfId="69"/>
    <cellStyle name="Title 2 2" xfId="1001"/>
    <cellStyle name="Title 2 2 2" xfId="1129"/>
    <cellStyle name="Title 2 2 2 2" xfId="3555"/>
    <cellStyle name="Title 2 2 2 3" xfId="2601"/>
    <cellStyle name="Title 2 2 2_CPI" xfId="6126"/>
    <cellStyle name="Title 2 2 3" xfId="3474"/>
    <cellStyle name="Title 2 2 4" xfId="2527"/>
    <cellStyle name="Title 2 2_CPI" xfId="6125"/>
    <cellStyle name="Title 2 3" xfId="1235"/>
    <cellStyle name="Title 2 3 2" xfId="3589"/>
    <cellStyle name="Title 2 3 3" xfId="2621"/>
    <cellStyle name="Title 2 3_CPI" xfId="6127"/>
    <cellStyle name="Title 2 4" xfId="3027"/>
    <cellStyle name="Title 2 4 2" xfId="4896"/>
    <cellStyle name="Title 2 4 3" xfId="5285"/>
    <cellStyle name="Title 2 4 4" xfId="4456"/>
    <cellStyle name="Title 2 4_CPI" xfId="6128"/>
    <cellStyle name="Title 2 5" xfId="2092"/>
    <cellStyle name="Title 2_CPI" xfId="6124"/>
    <cellStyle name="Title 3" xfId="838"/>
    <cellStyle name="Title 3 2" xfId="3363"/>
    <cellStyle name="Title 3 3" xfId="2419"/>
    <cellStyle name="Title 3_CPI" xfId="6129"/>
    <cellStyle name="Title 4" xfId="837"/>
    <cellStyle name="Title 4 2" xfId="3362"/>
    <cellStyle name="Title 4 3" xfId="2418"/>
    <cellStyle name="Title 4_CPI" xfId="6130"/>
    <cellStyle name="Title 5" xfId="3035"/>
    <cellStyle name="Title 6" xfId="2105"/>
    <cellStyle name="Title 7" xfId="410"/>
    <cellStyle name="titre" xfId="345"/>
    <cellStyle name="titre 2" xfId="3028"/>
    <cellStyle name="titre 3" xfId="2093"/>
    <cellStyle name="titre_CPI" xfId="6131"/>
    <cellStyle name="Top rows" xfId="958"/>
    <cellStyle name="Top rows 2" xfId="1002"/>
    <cellStyle name="Top rows 2 2" xfId="3475"/>
    <cellStyle name="Top rows 2 3" xfId="2528"/>
    <cellStyle name="Top rows 2_CPI" xfId="6133"/>
    <cellStyle name="Top rows 3" xfId="3454"/>
    <cellStyle name="Top rows 3 2" xfId="3083"/>
    <cellStyle name="Top rows 3_CPI" xfId="6134"/>
    <cellStyle name="Top rows 4" xfId="2509"/>
    <cellStyle name="Top rows_CPI" xfId="6132"/>
    <cellStyle name="Total" xfId="385" builtinId="25" customBuiltin="1"/>
    <cellStyle name="Total 2" xfId="70"/>
    <cellStyle name="Total 2 10" xfId="3029"/>
    <cellStyle name="Total 2 10 2" xfId="4656"/>
    <cellStyle name="Total 2 10 2 2" xfId="5319"/>
    <cellStyle name="Total 2 10 2_CPI" xfId="6137"/>
    <cellStyle name="Total 2 10 3" xfId="4897"/>
    <cellStyle name="Total 2 10 4" xfId="5286"/>
    <cellStyle name="Total 2 10 5" xfId="4457"/>
    <cellStyle name="Total 2 10_CPI" xfId="6136"/>
    <cellStyle name="Total 2 11" xfId="2094"/>
    <cellStyle name="Total 2 11 2" xfId="5293"/>
    <cellStyle name="Total 2 11 3" xfId="5364"/>
    <cellStyle name="Total 2 11 4" xfId="4468"/>
    <cellStyle name="Total 2 11_CPI" xfId="6138"/>
    <cellStyle name="Total 2 12" xfId="4680"/>
    <cellStyle name="Total 2 2" xfId="347"/>
    <cellStyle name="Total 2 2 2" xfId="1677"/>
    <cellStyle name="Total 2 2 2 2" xfId="1850"/>
    <cellStyle name="Total 2 2 2 2 2" xfId="3825"/>
    <cellStyle name="Total 2 2 2 2 2 2" xfId="5007"/>
    <cellStyle name="Total 2 2 2 2 2_CPI" xfId="6142"/>
    <cellStyle name="Total 2 2 2 2 3" xfId="2820"/>
    <cellStyle name="Total 2 2 2 2_CPI" xfId="6141"/>
    <cellStyle name="Total 2 2 2 3" xfId="1778"/>
    <cellStyle name="Total 2 2 2 3 2" xfId="3754"/>
    <cellStyle name="Total 2 2 2 3 2 2" xfId="4981"/>
    <cellStyle name="Total 2 2 2 3 2_CPI" xfId="6144"/>
    <cellStyle name="Total 2 2 2 3 3" xfId="2749"/>
    <cellStyle name="Total 2 2 2 3_CPI" xfId="6143"/>
    <cellStyle name="Total 2 2 2 4" xfId="3702"/>
    <cellStyle name="Total 2 2 2 4 2" xfId="4975"/>
    <cellStyle name="Total 2 2 2 4_CPI" xfId="6145"/>
    <cellStyle name="Total 2 2 2 5" xfId="2703"/>
    <cellStyle name="Total 2 2 2_CPI" xfId="6140"/>
    <cellStyle name="Total 2 2 3" xfId="1806"/>
    <cellStyle name="Total 2 2 3 2" xfId="3781"/>
    <cellStyle name="Total 2 2 3 2 2" xfId="4631"/>
    <cellStyle name="Total 2 2 3 2 2 2" xfId="5316"/>
    <cellStyle name="Total 2 2 3 2 2_CPI" xfId="6148"/>
    <cellStyle name="Total 2 2 3 2_CPI" xfId="6147"/>
    <cellStyle name="Total 2 2 3 3" xfId="2776"/>
    <cellStyle name="Total 2 2 3 3 2" xfId="5310"/>
    <cellStyle name="Total 2 2 3 3 3" xfId="5481"/>
    <cellStyle name="Total 2 2 3 3 4" xfId="4585"/>
    <cellStyle name="Total 2 2 3 3_CPI" xfId="6149"/>
    <cellStyle name="Total 2 2 3 4" xfId="4486"/>
    <cellStyle name="Total 2 2 3 4 2" xfId="5298"/>
    <cellStyle name="Total 2 2 3 4_CPI" xfId="6150"/>
    <cellStyle name="Total 2 2 3 5" xfId="4806"/>
    <cellStyle name="Total 2 2 3 6" xfId="5138"/>
    <cellStyle name="Total 2 2 3 7" xfId="4042"/>
    <cellStyle name="Total 2 2 3_CPI" xfId="6146"/>
    <cellStyle name="Total 2 2 4" xfId="1789"/>
    <cellStyle name="Total 2 2 4 2" xfId="3765"/>
    <cellStyle name="Total 2 2 4 2 2" xfId="4984"/>
    <cellStyle name="Total 2 2 4 2_CPI" xfId="6152"/>
    <cellStyle name="Total 2 2 4 3" xfId="2760"/>
    <cellStyle name="Total 2 2 4_CPI" xfId="6151"/>
    <cellStyle name="Total 2 2 5" xfId="918"/>
    <cellStyle name="Total 2 2 5 2" xfId="3432"/>
    <cellStyle name="Total 2 2 5 2 2" xfId="4965"/>
    <cellStyle name="Total 2 2 5 2_CPI" xfId="6154"/>
    <cellStyle name="Total 2 2 5 3" xfId="2487"/>
    <cellStyle name="Total 2 2 5_CPI" xfId="6153"/>
    <cellStyle name="Total 2 2 6" xfId="3030"/>
    <cellStyle name="Total 2 2 6 2" xfId="4898"/>
    <cellStyle name="Total 2 2 6 3" xfId="5287"/>
    <cellStyle name="Total 2 2 6 4" xfId="4458"/>
    <cellStyle name="Total 2 2 6_CPI" xfId="6155"/>
    <cellStyle name="Total 2 2 7" xfId="2095"/>
    <cellStyle name="Total 2 2 7 2" xfId="5291"/>
    <cellStyle name="Total 2 2 7 3" xfId="5365"/>
    <cellStyle name="Total 2 2 7 4" xfId="4465"/>
    <cellStyle name="Total 2 2 7_CPI" xfId="6156"/>
    <cellStyle name="Total 2 2 8" xfId="4476"/>
    <cellStyle name="Total 2 2 8 2" xfId="5295"/>
    <cellStyle name="Total 2 2 8_CPI" xfId="6157"/>
    <cellStyle name="Total 2 2 9" xfId="4681"/>
    <cellStyle name="Total 2 2_CPI" xfId="6139"/>
    <cellStyle name="Total 2 3" xfId="348"/>
    <cellStyle name="Total 2 3 2" xfId="1682"/>
    <cellStyle name="Total 2 3 2 2" xfId="1854"/>
    <cellStyle name="Total 2 3 2 2 2" xfId="3829"/>
    <cellStyle name="Total 2 3 2 2 2 2" xfId="5008"/>
    <cellStyle name="Total 2 3 2 2 2_CPI" xfId="6161"/>
    <cellStyle name="Total 2 3 2 2 3" xfId="2824"/>
    <cellStyle name="Total 2 3 2 2_CPI" xfId="6160"/>
    <cellStyle name="Total 2 3 2 3" xfId="1773"/>
    <cellStyle name="Total 2 3 2 3 2" xfId="3749"/>
    <cellStyle name="Total 2 3 2 3 2 2" xfId="4978"/>
    <cellStyle name="Total 2 3 2 3 2_CPI" xfId="6163"/>
    <cellStyle name="Total 2 3 2 3 3" xfId="2744"/>
    <cellStyle name="Total 2 3 2 3_CPI" xfId="6162"/>
    <cellStyle name="Total 2 3 2 4" xfId="3707"/>
    <cellStyle name="Total 2 3 2 4 2" xfId="4976"/>
    <cellStyle name="Total 2 3 2 4_CPI" xfId="6164"/>
    <cellStyle name="Total 2 3 2 5" xfId="2708"/>
    <cellStyle name="Total 2 3 2_CPI" xfId="6159"/>
    <cellStyle name="Total 2 3 3" xfId="1815"/>
    <cellStyle name="Total 2 3 3 2" xfId="3790"/>
    <cellStyle name="Total 2 3 3 2 2" xfId="4632"/>
    <cellStyle name="Total 2 3 3 2 2 2" xfId="5317"/>
    <cellStyle name="Total 2 3 3 2 2_CPI" xfId="6167"/>
    <cellStyle name="Total 2 3 3 2_CPI" xfId="6166"/>
    <cellStyle name="Total 2 3 3 3" xfId="2785"/>
    <cellStyle name="Total 2 3 3 3 2" xfId="5311"/>
    <cellStyle name="Total 2 3 3 3 3" xfId="5483"/>
    <cellStyle name="Total 2 3 3 3 4" xfId="4586"/>
    <cellStyle name="Total 2 3 3 3_CPI" xfId="6168"/>
    <cellStyle name="Total 2 3 3 4" xfId="4487"/>
    <cellStyle name="Total 2 3 3 4 2" xfId="5299"/>
    <cellStyle name="Total 2 3 3 4_CPI" xfId="6169"/>
    <cellStyle name="Total 2 3 3 5" xfId="4808"/>
    <cellStyle name="Total 2 3 3 6" xfId="5139"/>
    <cellStyle name="Total 2 3 3 7" xfId="4043"/>
    <cellStyle name="Total 2 3 3_CPI" xfId="6165"/>
    <cellStyle name="Total 2 3 4" xfId="1836"/>
    <cellStyle name="Total 2 3 4 2" xfId="3811"/>
    <cellStyle name="Total 2 3 4 2 2" xfId="5003"/>
    <cellStyle name="Total 2 3 4 2_CPI" xfId="6171"/>
    <cellStyle name="Total 2 3 4 3" xfId="2806"/>
    <cellStyle name="Total 2 3 4_CPI" xfId="6170"/>
    <cellStyle name="Total 2 3 5" xfId="1058"/>
    <cellStyle name="Total 2 3 5 2" xfId="3527"/>
    <cellStyle name="Total 2 3 5 2 2" xfId="4966"/>
    <cellStyle name="Total 2 3 5 2_CPI" xfId="6173"/>
    <cellStyle name="Total 2 3 5 3" xfId="2574"/>
    <cellStyle name="Total 2 3 5_CPI" xfId="6172"/>
    <cellStyle name="Total 2 3 6" xfId="3031"/>
    <cellStyle name="Total 2 3 6 2" xfId="4899"/>
    <cellStyle name="Total 2 3 6 3" xfId="5292"/>
    <cellStyle name="Total 2 3 6 4" xfId="4467"/>
    <cellStyle name="Total 2 3 6_CPI" xfId="6174"/>
    <cellStyle name="Total 2 3 7" xfId="2096"/>
    <cellStyle name="Total 2 3 7 2" xfId="5296"/>
    <cellStyle name="Total 2 3 7 3" xfId="5366"/>
    <cellStyle name="Total 2 3 7 4" xfId="4477"/>
    <cellStyle name="Total 2 3 7_CPI" xfId="6175"/>
    <cellStyle name="Total 2 3 8" xfId="4682"/>
    <cellStyle name="Total 2 3_CPI" xfId="6158"/>
    <cellStyle name="Total 2 4" xfId="346"/>
    <cellStyle name="Total 2 4 2" xfId="1687"/>
    <cellStyle name="Total 2 4 2 2" xfId="1858"/>
    <cellStyle name="Total 2 4 2 2 2" xfId="3833"/>
    <cellStyle name="Total 2 4 2 2 2 2" xfId="5009"/>
    <cellStyle name="Total 2 4 2 2 2_CPI" xfId="6179"/>
    <cellStyle name="Total 2 4 2 2 3" xfId="2828"/>
    <cellStyle name="Total 2 4 2 2_CPI" xfId="6178"/>
    <cellStyle name="Total 2 4 2 3" xfId="1798"/>
    <cellStyle name="Total 2 4 2 3 2" xfId="3773"/>
    <cellStyle name="Total 2 4 2 3 2 2" xfId="4990"/>
    <cellStyle name="Total 2 4 2 3 2_CPI" xfId="6181"/>
    <cellStyle name="Total 2 4 2 3 3" xfId="2768"/>
    <cellStyle name="Total 2 4 2 3_CPI" xfId="6180"/>
    <cellStyle name="Total 2 4 2 4" xfId="3712"/>
    <cellStyle name="Total 2 4 2 4 2" xfId="4977"/>
    <cellStyle name="Total 2 4 2 4_CPI" xfId="6182"/>
    <cellStyle name="Total 2 4 2 5" xfId="2713"/>
    <cellStyle name="Total 2 4 2_CPI" xfId="6177"/>
    <cellStyle name="Total 2 4 3" xfId="1821"/>
    <cellStyle name="Total 2 4 3 2" xfId="3796"/>
    <cellStyle name="Total 2 4 3 2 2" xfId="4997"/>
    <cellStyle name="Total 2 4 3 2_CPI" xfId="6184"/>
    <cellStyle name="Total 2 4 3 3" xfId="2791"/>
    <cellStyle name="Total 2 4 3_CPI" xfId="6183"/>
    <cellStyle name="Total 2 4 4" xfId="1783"/>
    <cellStyle name="Total 2 4 4 2" xfId="3759"/>
    <cellStyle name="Total 2 4 4 2 2" xfId="4982"/>
    <cellStyle name="Total 2 4 4 2_CPI" xfId="6186"/>
    <cellStyle name="Total 2 4 4 3" xfId="2754"/>
    <cellStyle name="Total 2 4 4_CPI" xfId="6185"/>
    <cellStyle name="Total 2 4 5" xfId="3535"/>
    <cellStyle name="Total 2 4 5 2" xfId="4967"/>
    <cellStyle name="Total 2 4 5_CPI" xfId="6187"/>
    <cellStyle name="Total 2 4 6" xfId="2582"/>
    <cellStyle name="Total 2 4_CPI" xfId="6176"/>
    <cellStyle name="Total 2 5" xfId="1131"/>
    <cellStyle name="Total 2 5 2" xfId="1826"/>
    <cellStyle name="Total 2 5 2 2" xfId="3801"/>
    <cellStyle name="Total 2 5 2 2 2" xfId="4999"/>
    <cellStyle name="Total 2 5 2 2_CPI" xfId="6190"/>
    <cellStyle name="Total 2 5 2 3" xfId="2796"/>
    <cellStyle name="Total 2 5 2_CPI" xfId="6189"/>
    <cellStyle name="Total 2 5 3" xfId="1832"/>
    <cellStyle name="Total 2 5 3 2" xfId="3807"/>
    <cellStyle name="Total 2 5 3 2 2" xfId="5001"/>
    <cellStyle name="Total 2 5 3 2_CPI" xfId="6192"/>
    <cellStyle name="Total 2 5 3 3" xfId="2802"/>
    <cellStyle name="Total 2 5 3_CPI" xfId="6191"/>
    <cellStyle name="Total 2 5 4" xfId="3557"/>
    <cellStyle name="Total 2 5 4 2" xfId="4970"/>
    <cellStyle name="Total 2 5 4_CPI" xfId="6193"/>
    <cellStyle name="Total 2 5 5" xfId="2603"/>
    <cellStyle name="Total 2 5_CPI" xfId="6188"/>
    <cellStyle name="Total 2 6" xfId="1660"/>
    <cellStyle name="Total 2 6 2" xfId="1844"/>
    <cellStyle name="Total 2 6 2 2" xfId="3819"/>
    <cellStyle name="Total 2 6 2 2 2" xfId="5005"/>
    <cellStyle name="Total 2 6 2 2_CPI" xfId="6196"/>
    <cellStyle name="Total 2 6 2 3" xfId="2814"/>
    <cellStyle name="Total 2 6 2_CPI" xfId="6195"/>
    <cellStyle name="Total 2 6 3" xfId="1800"/>
    <cellStyle name="Total 2 6 3 2" xfId="3775"/>
    <cellStyle name="Total 2 6 3 2 2" xfId="4991"/>
    <cellStyle name="Total 2 6 3 2_CPI" xfId="6198"/>
    <cellStyle name="Total 2 6 3 3" xfId="2770"/>
    <cellStyle name="Total 2 6 3_CPI" xfId="6197"/>
    <cellStyle name="Total 2 6 4" xfId="3687"/>
    <cellStyle name="Total 2 6 4 2" xfId="4974"/>
    <cellStyle name="Total 2 6 4_CPI" xfId="6199"/>
    <cellStyle name="Total 2 6 5" xfId="2689"/>
    <cellStyle name="Total 2 6_CPI" xfId="6194"/>
    <cellStyle name="Total 2 7" xfId="1795"/>
    <cellStyle name="Total 2 7 2" xfId="3771"/>
    <cellStyle name="Total 2 7 2 2" xfId="4989"/>
    <cellStyle name="Total 2 7 2_CPI" xfId="6201"/>
    <cellStyle name="Total 2 7 3" xfId="2766"/>
    <cellStyle name="Total 2 7_CPI" xfId="6200"/>
    <cellStyle name="Total 2 8" xfId="1816"/>
    <cellStyle name="Total 2 8 2" xfId="3791"/>
    <cellStyle name="Total 2 8 2 2" xfId="4995"/>
    <cellStyle name="Total 2 8 2_CPI" xfId="6203"/>
    <cellStyle name="Total 2 8 3" xfId="2786"/>
    <cellStyle name="Total 2 8_CPI" xfId="6202"/>
    <cellStyle name="Total 2 9" xfId="840"/>
    <cellStyle name="Total 2 9 2" xfId="3365"/>
    <cellStyle name="Total 2 9 2 2" xfId="4961"/>
    <cellStyle name="Total 2 9 2_CPI" xfId="6205"/>
    <cellStyle name="Total 2 9 3" xfId="2421"/>
    <cellStyle name="Total 2 9_CPI" xfId="6204"/>
    <cellStyle name="Total 2_CPI" xfId="6135"/>
    <cellStyle name="Total 3" xfId="420"/>
    <cellStyle name="Total 3 2" xfId="841"/>
    <cellStyle name="Total 3 2 2" xfId="3366"/>
    <cellStyle name="Total 3 2 3" xfId="2422"/>
    <cellStyle name="Total 3 2 4" xfId="5288"/>
    <cellStyle name="Total 3 2 5" xfId="4459"/>
    <cellStyle name="Total 3 2_CPI" xfId="6207"/>
    <cellStyle name="Total 3 3" xfId="3084"/>
    <cellStyle name="Total 3 4" xfId="2099"/>
    <cellStyle name="Total 3_CPI" xfId="6206"/>
    <cellStyle name="Total 4" xfId="839"/>
    <cellStyle name="Total 4 2" xfId="1130"/>
    <cellStyle name="Total 4 2 2" xfId="1825"/>
    <cellStyle name="Total 4 2 2 2" xfId="3800"/>
    <cellStyle name="Total 4 2 2 2 2" xfId="4998"/>
    <cellStyle name="Total 4 2 2 2_CPI" xfId="6211"/>
    <cellStyle name="Total 4 2 2 3" xfId="2795"/>
    <cellStyle name="Total 4 2 2_CPI" xfId="6210"/>
    <cellStyle name="Total 4 2 3" xfId="1835"/>
    <cellStyle name="Total 4 2 3 2" xfId="3810"/>
    <cellStyle name="Total 4 2 3 2 2" xfId="5002"/>
    <cellStyle name="Total 4 2 3 2_CPI" xfId="6213"/>
    <cellStyle name="Total 4 2 3 3" xfId="2805"/>
    <cellStyle name="Total 4 2 3_CPI" xfId="6212"/>
    <cellStyle name="Total 4 2 4" xfId="3556"/>
    <cellStyle name="Total 4 2 4 2" xfId="4969"/>
    <cellStyle name="Total 4 2 4_CPI" xfId="6214"/>
    <cellStyle name="Total 4 2 5" xfId="2602"/>
    <cellStyle name="Total 4 2_CPI" xfId="6209"/>
    <cellStyle name="Total 4 3" xfId="1794"/>
    <cellStyle name="Total 4 3 2" xfId="3770"/>
    <cellStyle name="Total 4 3 2 2" xfId="4988"/>
    <cellStyle name="Total 4 3 2_CPI" xfId="6216"/>
    <cellStyle name="Total 4 3 3" xfId="2765"/>
    <cellStyle name="Total 4 3_CPI" xfId="6215"/>
    <cellStyle name="Total 4 4" xfId="1845"/>
    <cellStyle name="Total 4 4 2" xfId="3820"/>
    <cellStyle name="Total 4 4 2 2" xfId="5006"/>
    <cellStyle name="Total 4 4 2_CPI" xfId="6218"/>
    <cellStyle name="Total 4 4 3" xfId="2815"/>
    <cellStyle name="Total 4 4_CPI" xfId="6217"/>
    <cellStyle name="Total 4 5" xfId="3364"/>
    <cellStyle name="Total 4 5 2" xfId="4960"/>
    <cellStyle name="Total 4 5_CPI" xfId="6219"/>
    <cellStyle name="Total 4 6" xfId="2420"/>
    <cellStyle name="Total 4_CPI" xfId="6208"/>
    <cellStyle name="Total 5" xfId="866"/>
    <cellStyle name="Total 5 2" xfId="3381"/>
    <cellStyle name="Total 5 3" xfId="2436"/>
    <cellStyle name="Total 5_CPI" xfId="6220"/>
    <cellStyle name="Total 6" xfId="3051"/>
    <cellStyle name="Total 7" xfId="2121"/>
    <cellStyle name="ttn -TopTextNoWrap" xfId="842"/>
    <cellStyle name="ttn -TopTextNoWrap 2" xfId="843"/>
    <cellStyle name="ttn -TopTextNoWrap 2 2" xfId="3368"/>
    <cellStyle name="ttn -TopTextNoWrap 2 3" xfId="2424"/>
    <cellStyle name="ttn -TopTextNoWrap 2_CPI" xfId="6222"/>
    <cellStyle name="ttn -TopTextNoWrap 3" xfId="3367"/>
    <cellStyle name="ttn -TopTextNoWrap 4" xfId="2423"/>
    <cellStyle name="ttn -TopTextNoWrap_CPI" xfId="6221"/>
    <cellStyle name="ttw -TopTextWrap" xfId="844"/>
    <cellStyle name="ttw -TopTextWrap 2" xfId="845"/>
    <cellStyle name="ttw -TopTextWrap 2 2" xfId="3370"/>
    <cellStyle name="ttw -TopTextWrap 2 3" xfId="2426"/>
    <cellStyle name="ttw -TopTextWrap 2_CPI" xfId="6224"/>
    <cellStyle name="ttw -TopTextWrap 3" xfId="3369"/>
    <cellStyle name="ttw -TopTextWrap 4" xfId="2425"/>
    <cellStyle name="ttw -TopTextWrap_CPI" xfId="6223"/>
    <cellStyle name="Warning Text" xfId="382" builtinId="11" customBuiltin="1"/>
    <cellStyle name="Warning Text 2" xfId="71"/>
    <cellStyle name="Warning Text 2 2" xfId="350"/>
    <cellStyle name="Warning Text 2 2 2" xfId="919"/>
    <cellStyle name="Warning Text 2 2 2 2" xfId="3433"/>
    <cellStyle name="Warning Text 2 2 2 3" xfId="2488"/>
    <cellStyle name="Warning Text 2 2 2 3 2" xfId="5439"/>
    <cellStyle name="Warning Text 2 2 2 3 3" xfId="4587"/>
    <cellStyle name="Warning Text 2 2 2 3_CPI" xfId="6228"/>
    <cellStyle name="Warning Text 2 2 2 4" xfId="4760"/>
    <cellStyle name="Warning Text 2 2 2 5" xfId="5140"/>
    <cellStyle name="Warning Text 2 2 2 6" xfId="4044"/>
    <cellStyle name="Warning Text 2 2 2_CPI" xfId="6227"/>
    <cellStyle name="Warning Text 2 2 3" xfId="3033"/>
    <cellStyle name="Warning Text 2 2 3 2" xfId="4900"/>
    <cellStyle name="Warning Text 2 2 3 3" xfId="5289"/>
    <cellStyle name="Warning Text 2 2 3 4" xfId="4460"/>
    <cellStyle name="Warning Text 2 2 3_CPI" xfId="6229"/>
    <cellStyle name="Warning Text 2 2 4" xfId="2098"/>
    <cellStyle name="Warning Text 2 2_CPI" xfId="6226"/>
    <cellStyle name="Warning Text 2 3" xfId="349"/>
    <cellStyle name="Warning Text 2 3 2" xfId="3528"/>
    <cellStyle name="Warning Text 2 3 3" xfId="2575"/>
    <cellStyle name="Warning Text 2 3_CPI" xfId="6230"/>
    <cellStyle name="Warning Text 2 4" xfId="1661"/>
    <cellStyle name="Warning Text 2 4 2" xfId="3688"/>
    <cellStyle name="Warning Text 2 4 3" xfId="2690"/>
    <cellStyle name="Warning Text 2 4_CPI" xfId="6231"/>
    <cellStyle name="Warning Text 2 5" xfId="847"/>
    <cellStyle name="Warning Text 2 5 2" xfId="3372"/>
    <cellStyle name="Warning Text 2 5 3" xfId="2428"/>
    <cellStyle name="Warning Text 2 5_CPI" xfId="6232"/>
    <cellStyle name="Warning Text 2 6" xfId="3032"/>
    <cellStyle name="Warning Text 2 7" xfId="2097"/>
    <cellStyle name="Warning Text 2_CPI" xfId="6225"/>
    <cellStyle name="Warning Text 3" xfId="846"/>
    <cellStyle name="Warning Text 3 2" xfId="3371"/>
    <cellStyle name="Warning Text 3 2 2" xfId="4962"/>
    <cellStyle name="Warning Text 3 2 3" xfId="5290"/>
    <cellStyle name="Warning Text 3 2 4" xfId="4461"/>
    <cellStyle name="Warning Text 3 2_CPI" xfId="6234"/>
    <cellStyle name="Warning Text 3 3" xfId="2427"/>
    <cellStyle name="Warning Text 3_CPI" xfId="6233"/>
    <cellStyle name="Warning Text 4" xfId="3048"/>
    <cellStyle name="Warning Text 5" xfId="2118"/>
    <cellStyle name="Year" xfId="959"/>
  </cellStyles>
  <dxfs count="18">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ill>
        <patternFill>
          <bgColor theme="6" tint="0.39994506668294322"/>
        </patternFill>
      </fill>
    </dxf>
    <dxf>
      <fill>
        <patternFill>
          <bgColor theme="6" tint="0.39994506668294322"/>
        </patternFill>
      </fill>
    </dxf>
  </dxfs>
  <tableStyles count="0" defaultTableStyle="TableStyleMedium9" defaultPivotStyle="PivotStyleLight16"/>
  <colors>
    <mruColors>
      <color rgb="FFFFFFCC"/>
      <color rgb="FFFFFF99"/>
      <color rgb="FF00FF00"/>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9</xdr:col>
      <xdr:colOff>192406</xdr:colOff>
      <xdr:row>11</xdr:row>
      <xdr:rowOff>180975</xdr:rowOff>
    </xdr:from>
    <xdr:to>
      <xdr:col>9</xdr:col>
      <xdr:colOff>428625</xdr:colOff>
      <xdr:row>16</xdr:row>
      <xdr:rowOff>180975</xdr:rowOff>
    </xdr:to>
    <xdr:sp macro="" textlink="">
      <xdr:nvSpPr>
        <xdr:cNvPr id="2" name="Right Brace 1"/>
        <xdr:cNvSpPr/>
      </xdr:nvSpPr>
      <xdr:spPr>
        <a:xfrm>
          <a:off x="7812406" y="2466975"/>
          <a:ext cx="236219" cy="9525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NZ"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xdr:colOff>
      <xdr:row>4</xdr:row>
      <xdr:rowOff>1</xdr:rowOff>
    </xdr:from>
    <xdr:to>
      <xdr:col>11</xdr:col>
      <xdr:colOff>0</xdr:colOff>
      <xdr:row>5</xdr:row>
      <xdr:rowOff>0</xdr:rowOff>
    </xdr:to>
    <xdr:sp macro="" textlink="">
      <xdr:nvSpPr>
        <xdr:cNvPr id="2" name="Left Brace 1"/>
        <xdr:cNvSpPr/>
      </xdr:nvSpPr>
      <xdr:spPr>
        <a:xfrm rot="5400000">
          <a:off x="7243763" y="-1643061"/>
          <a:ext cx="190499" cy="5419724"/>
        </a:xfrm>
        <a:prstGeom prst="leftBrace">
          <a:avLst>
            <a:gd name="adj1" fmla="val 8333"/>
            <a:gd name="adj2" fmla="val 49777"/>
          </a:avLst>
        </a:prstGeom>
        <a:ln w="285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NZ"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xdr:colOff>
      <xdr:row>4</xdr:row>
      <xdr:rowOff>1</xdr:rowOff>
    </xdr:from>
    <xdr:to>
      <xdr:col>11</xdr:col>
      <xdr:colOff>0</xdr:colOff>
      <xdr:row>5</xdr:row>
      <xdr:rowOff>0</xdr:rowOff>
    </xdr:to>
    <xdr:sp macro="" textlink="">
      <xdr:nvSpPr>
        <xdr:cNvPr id="2" name="Left Brace 1"/>
        <xdr:cNvSpPr/>
      </xdr:nvSpPr>
      <xdr:spPr>
        <a:xfrm rot="5400000">
          <a:off x="7243763" y="-1643061"/>
          <a:ext cx="190499" cy="5419724"/>
        </a:xfrm>
        <a:prstGeom prst="leftBrace">
          <a:avLst>
            <a:gd name="adj1" fmla="val 8333"/>
            <a:gd name="adj2" fmla="val 49777"/>
          </a:avLst>
        </a:prstGeom>
        <a:ln w="285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NZ"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1</xdr:colOff>
      <xdr:row>4</xdr:row>
      <xdr:rowOff>1</xdr:rowOff>
    </xdr:from>
    <xdr:to>
      <xdr:col>11</xdr:col>
      <xdr:colOff>0</xdr:colOff>
      <xdr:row>5</xdr:row>
      <xdr:rowOff>0</xdr:rowOff>
    </xdr:to>
    <xdr:sp macro="" textlink="">
      <xdr:nvSpPr>
        <xdr:cNvPr id="2" name="Left Brace 1"/>
        <xdr:cNvSpPr/>
      </xdr:nvSpPr>
      <xdr:spPr>
        <a:xfrm rot="5400000">
          <a:off x="7243763" y="-1643061"/>
          <a:ext cx="190499" cy="5419724"/>
        </a:xfrm>
        <a:prstGeom prst="leftBrace">
          <a:avLst>
            <a:gd name="adj1" fmla="val 8333"/>
            <a:gd name="adj2" fmla="val 49777"/>
          </a:avLst>
        </a:prstGeom>
        <a:ln w="285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NZ"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1</xdr:colOff>
      <xdr:row>4</xdr:row>
      <xdr:rowOff>1</xdr:rowOff>
    </xdr:from>
    <xdr:to>
      <xdr:col>11</xdr:col>
      <xdr:colOff>0</xdr:colOff>
      <xdr:row>5</xdr:row>
      <xdr:rowOff>0</xdr:rowOff>
    </xdr:to>
    <xdr:sp macro="" textlink="">
      <xdr:nvSpPr>
        <xdr:cNvPr id="2" name="Left Brace 1"/>
        <xdr:cNvSpPr/>
      </xdr:nvSpPr>
      <xdr:spPr>
        <a:xfrm rot="5400000">
          <a:off x="7243763" y="-1643061"/>
          <a:ext cx="190499" cy="5419724"/>
        </a:xfrm>
        <a:prstGeom prst="leftBrace">
          <a:avLst>
            <a:gd name="adj1" fmla="val 8333"/>
            <a:gd name="adj2" fmla="val 49777"/>
          </a:avLst>
        </a:prstGeom>
        <a:ln w="285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NZ"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1</xdr:colOff>
      <xdr:row>4</xdr:row>
      <xdr:rowOff>1</xdr:rowOff>
    </xdr:from>
    <xdr:to>
      <xdr:col>11</xdr:col>
      <xdr:colOff>0</xdr:colOff>
      <xdr:row>5</xdr:row>
      <xdr:rowOff>0</xdr:rowOff>
    </xdr:to>
    <xdr:sp macro="" textlink="">
      <xdr:nvSpPr>
        <xdr:cNvPr id="2" name="Left Brace 1"/>
        <xdr:cNvSpPr/>
      </xdr:nvSpPr>
      <xdr:spPr>
        <a:xfrm rot="5400000">
          <a:off x="7243763" y="-1643061"/>
          <a:ext cx="190499" cy="5419724"/>
        </a:xfrm>
        <a:prstGeom prst="leftBrace">
          <a:avLst>
            <a:gd name="adj1" fmla="val 8333"/>
            <a:gd name="adj2" fmla="val 49777"/>
          </a:avLst>
        </a:prstGeom>
        <a:ln w="285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NZ"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1</xdr:colOff>
      <xdr:row>4</xdr:row>
      <xdr:rowOff>1</xdr:rowOff>
    </xdr:from>
    <xdr:to>
      <xdr:col>11</xdr:col>
      <xdr:colOff>0</xdr:colOff>
      <xdr:row>5</xdr:row>
      <xdr:rowOff>0</xdr:rowOff>
    </xdr:to>
    <xdr:sp macro="" textlink="">
      <xdr:nvSpPr>
        <xdr:cNvPr id="2" name="Left Brace 1"/>
        <xdr:cNvSpPr/>
      </xdr:nvSpPr>
      <xdr:spPr>
        <a:xfrm rot="5400000">
          <a:off x="7243763" y="-1643061"/>
          <a:ext cx="190499" cy="5419724"/>
        </a:xfrm>
        <a:prstGeom prst="leftBrace">
          <a:avLst>
            <a:gd name="adj1" fmla="val 8333"/>
            <a:gd name="adj2" fmla="val 49777"/>
          </a:avLst>
        </a:prstGeom>
        <a:ln w="285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NZ"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1</xdr:colOff>
      <xdr:row>4</xdr:row>
      <xdr:rowOff>1</xdr:rowOff>
    </xdr:from>
    <xdr:to>
      <xdr:col>11</xdr:col>
      <xdr:colOff>0</xdr:colOff>
      <xdr:row>5</xdr:row>
      <xdr:rowOff>0</xdr:rowOff>
    </xdr:to>
    <xdr:sp macro="" textlink="">
      <xdr:nvSpPr>
        <xdr:cNvPr id="2" name="Left Brace 1"/>
        <xdr:cNvSpPr/>
      </xdr:nvSpPr>
      <xdr:spPr>
        <a:xfrm rot="5400000">
          <a:off x="7243763" y="-1643061"/>
          <a:ext cx="190499" cy="5419724"/>
        </a:xfrm>
        <a:prstGeom prst="leftBrace">
          <a:avLst>
            <a:gd name="adj1" fmla="val 8333"/>
            <a:gd name="adj2" fmla="val 49777"/>
          </a:avLst>
        </a:prstGeom>
        <a:ln w="285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NZ"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4</xdr:col>
      <xdr:colOff>1</xdr:colOff>
      <xdr:row>4</xdr:row>
      <xdr:rowOff>1</xdr:rowOff>
    </xdr:from>
    <xdr:to>
      <xdr:col>11</xdr:col>
      <xdr:colOff>0</xdr:colOff>
      <xdr:row>5</xdr:row>
      <xdr:rowOff>0</xdr:rowOff>
    </xdr:to>
    <xdr:sp macro="" textlink="">
      <xdr:nvSpPr>
        <xdr:cNvPr id="2" name="Left Brace 1"/>
        <xdr:cNvSpPr/>
      </xdr:nvSpPr>
      <xdr:spPr>
        <a:xfrm rot="5400000">
          <a:off x="7243763" y="-1643061"/>
          <a:ext cx="190499" cy="5419724"/>
        </a:xfrm>
        <a:prstGeom prst="leftBrace">
          <a:avLst>
            <a:gd name="adj1" fmla="val 8333"/>
            <a:gd name="adj2" fmla="val 49777"/>
          </a:avLst>
        </a:prstGeom>
        <a:ln w="285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NZ"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xdr:colOff>
      <xdr:row>4</xdr:row>
      <xdr:rowOff>1</xdr:rowOff>
    </xdr:from>
    <xdr:to>
      <xdr:col>11</xdr:col>
      <xdr:colOff>0</xdr:colOff>
      <xdr:row>5</xdr:row>
      <xdr:rowOff>0</xdr:rowOff>
    </xdr:to>
    <xdr:sp macro="" textlink="">
      <xdr:nvSpPr>
        <xdr:cNvPr id="2" name="Left Brace 1"/>
        <xdr:cNvSpPr/>
      </xdr:nvSpPr>
      <xdr:spPr>
        <a:xfrm rot="5400000">
          <a:off x="7243763" y="-1643061"/>
          <a:ext cx="190499" cy="5419724"/>
        </a:xfrm>
        <a:prstGeom prst="leftBrace">
          <a:avLst>
            <a:gd name="adj1" fmla="val 8333"/>
            <a:gd name="adj2" fmla="val 49777"/>
          </a:avLst>
        </a:prstGeom>
        <a:ln w="285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NZ"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xdr:colOff>
      <xdr:row>4</xdr:row>
      <xdr:rowOff>1</xdr:rowOff>
    </xdr:from>
    <xdr:to>
      <xdr:col>11</xdr:col>
      <xdr:colOff>0</xdr:colOff>
      <xdr:row>5</xdr:row>
      <xdr:rowOff>0</xdr:rowOff>
    </xdr:to>
    <xdr:sp macro="" textlink="">
      <xdr:nvSpPr>
        <xdr:cNvPr id="2" name="Left Brace 1"/>
        <xdr:cNvSpPr/>
      </xdr:nvSpPr>
      <xdr:spPr>
        <a:xfrm rot="5400000">
          <a:off x="7243763" y="-1643061"/>
          <a:ext cx="190499" cy="5419724"/>
        </a:xfrm>
        <a:prstGeom prst="leftBrace">
          <a:avLst>
            <a:gd name="adj1" fmla="val 8333"/>
            <a:gd name="adj2" fmla="val 49777"/>
          </a:avLst>
        </a:prstGeom>
        <a:ln w="285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NZ"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xdr:colOff>
      <xdr:row>4</xdr:row>
      <xdr:rowOff>1</xdr:rowOff>
    </xdr:from>
    <xdr:to>
      <xdr:col>11</xdr:col>
      <xdr:colOff>0</xdr:colOff>
      <xdr:row>5</xdr:row>
      <xdr:rowOff>0</xdr:rowOff>
    </xdr:to>
    <xdr:sp macro="" textlink="">
      <xdr:nvSpPr>
        <xdr:cNvPr id="2" name="Left Brace 1"/>
        <xdr:cNvSpPr/>
      </xdr:nvSpPr>
      <xdr:spPr>
        <a:xfrm rot="5400000">
          <a:off x="7243763" y="-1643061"/>
          <a:ext cx="190499" cy="5419724"/>
        </a:xfrm>
        <a:prstGeom prst="leftBrace">
          <a:avLst>
            <a:gd name="adj1" fmla="val 8333"/>
            <a:gd name="adj2" fmla="val 49777"/>
          </a:avLst>
        </a:prstGeom>
        <a:ln w="285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NZ"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xdr:colOff>
      <xdr:row>4</xdr:row>
      <xdr:rowOff>1</xdr:rowOff>
    </xdr:from>
    <xdr:to>
      <xdr:col>11</xdr:col>
      <xdr:colOff>0</xdr:colOff>
      <xdr:row>5</xdr:row>
      <xdr:rowOff>0</xdr:rowOff>
    </xdr:to>
    <xdr:sp macro="" textlink="">
      <xdr:nvSpPr>
        <xdr:cNvPr id="2" name="Left Brace 1"/>
        <xdr:cNvSpPr/>
      </xdr:nvSpPr>
      <xdr:spPr>
        <a:xfrm rot="5400000">
          <a:off x="7243763" y="-1643061"/>
          <a:ext cx="190499" cy="5419724"/>
        </a:xfrm>
        <a:prstGeom prst="leftBrace">
          <a:avLst>
            <a:gd name="adj1" fmla="val 8333"/>
            <a:gd name="adj2" fmla="val 49777"/>
          </a:avLst>
        </a:prstGeom>
        <a:ln w="285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NZ"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1</xdr:colOff>
      <xdr:row>4</xdr:row>
      <xdr:rowOff>1</xdr:rowOff>
    </xdr:from>
    <xdr:to>
      <xdr:col>11</xdr:col>
      <xdr:colOff>0</xdr:colOff>
      <xdr:row>5</xdr:row>
      <xdr:rowOff>0</xdr:rowOff>
    </xdr:to>
    <xdr:sp macro="" textlink="">
      <xdr:nvSpPr>
        <xdr:cNvPr id="2" name="Left Brace 1"/>
        <xdr:cNvSpPr/>
      </xdr:nvSpPr>
      <xdr:spPr>
        <a:xfrm rot="5400000">
          <a:off x="7243763" y="-1643061"/>
          <a:ext cx="190499" cy="5419724"/>
        </a:xfrm>
        <a:prstGeom prst="leftBrace">
          <a:avLst>
            <a:gd name="adj1" fmla="val 8333"/>
            <a:gd name="adj2" fmla="val 49777"/>
          </a:avLst>
        </a:prstGeom>
        <a:ln w="285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NZ"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1</xdr:colOff>
      <xdr:row>4</xdr:row>
      <xdr:rowOff>1</xdr:rowOff>
    </xdr:from>
    <xdr:to>
      <xdr:col>11</xdr:col>
      <xdr:colOff>0</xdr:colOff>
      <xdr:row>5</xdr:row>
      <xdr:rowOff>0</xdr:rowOff>
    </xdr:to>
    <xdr:sp macro="" textlink="">
      <xdr:nvSpPr>
        <xdr:cNvPr id="2" name="Left Brace 1"/>
        <xdr:cNvSpPr/>
      </xdr:nvSpPr>
      <xdr:spPr>
        <a:xfrm rot="5400000">
          <a:off x="7243763" y="-1643061"/>
          <a:ext cx="190499" cy="5419724"/>
        </a:xfrm>
        <a:prstGeom prst="leftBrace">
          <a:avLst>
            <a:gd name="adj1" fmla="val 8333"/>
            <a:gd name="adj2" fmla="val 49777"/>
          </a:avLst>
        </a:prstGeom>
        <a:ln w="285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NZ"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1</xdr:colOff>
      <xdr:row>4</xdr:row>
      <xdr:rowOff>1</xdr:rowOff>
    </xdr:from>
    <xdr:to>
      <xdr:col>11</xdr:col>
      <xdr:colOff>0</xdr:colOff>
      <xdr:row>5</xdr:row>
      <xdr:rowOff>0</xdr:rowOff>
    </xdr:to>
    <xdr:sp macro="" textlink="">
      <xdr:nvSpPr>
        <xdr:cNvPr id="2" name="Left Brace 1"/>
        <xdr:cNvSpPr/>
      </xdr:nvSpPr>
      <xdr:spPr>
        <a:xfrm rot="5400000">
          <a:off x="7243763" y="-1643061"/>
          <a:ext cx="190499" cy="5419724"/>
        </a:xfrm>
        <a:prstGeom prst="leftBrace">
          <a:avLst>
            <a:gd name="adj1" fmla="val 8333"/>
            <a:gd name="adj2" fmla="val 49777"/>
          </a:avLst>
        </a:prstGeom>
        <a:ln w="285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NZ"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1</xdr:colOff>
      <xdr:row>4</xdr:row>
      <xdr:rowOff>1</xdr:rowOff>
    </xdr:from>
    <xdr:to>
      <xdr:col>11</xdr:col>
      <xdr:colOff>0</xdr:colOff>
      <xdr:row>5</xdr:row>
      <xdr:rowOff>0</xdr:rowOff>
    </xdr:to>
    <xdr:sp macro="" textlink="">
      <xdr:nvSpPr>
        <xdr:cNvPr id="2" name="Left Brace 1"/>
        <xdr:cNvSpPr/>
      </xdr:nvSpPr>
      <xdr:spPr>
        <a:xfrm rot="5400000">
          <a:off x="7243763" y="-1643061"/>
          <a:ext cx="190499" cy="5419724"/>
        </a:xfrm>
        <a:prstGeom prst="leftBrace">
          <a:avLst>
            <a:gd name="adj1" fmla="val 8333"/>
            <a:gd name="adj2" fmla="val 49777"/>
          </a:avLst>
        </a:prstGeom>
        <a:ln w="285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NZ"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5"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2.bin"/><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4.bin"/><Relationship Id="rId4" Type="http://schemas.openxmlformats.org/officeDocument/2006/relationships/comments" Target="../comments1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5.bin"/><Relationship Id="rId4" Type="http://schemas.openxmlformats.org/officeDocument/2006/relationships/comments" Target="../comments12.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6.bin"/><Relationship Id="rId4" Type="http://schemas.openxmlformats.org/officeDocument/2006/relationships/comments" Target="../comments13.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7.bin"/><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8.bin"/><Relationship Id="rId4" Type="http://schemas.openxmlformats.org/officeDocument/2006/relationships/comments" Target="../comments15.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9.bin"/><Relationship Id="rId4" Type="http://schemas.openxmlformats.org/officeDocument/2006/relationships/comments" Target="../comments1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20.bin"/><Relationship Id="rId4" Type="http://schemas.openxmlformats.org/officeDocument/2006/relationships/comments" Target="../comments17.xml"/></Relationships>
</file>

<file path=xl/worksheets/_rels/sheet21.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sheetPr codeName="Sheet110"/>
  <dimension ref="A2:R34"/>
  <sheetViews>
    <sheetView tabSelected="1" workbookViewId="0"/>
  </sheetViews>
  <sheetFormatPr defaultRowHeight="15"/>
  <cols>
    <col min="1" max="1" width="4.42578125" customWidth="1"/>
    <col min="2" max="2" width="13" customWidth="1"/>
  </cols>
  <sheetData>
    <row r="2" spans="1:18" ht="23.25">
      <c r="B2" s="1" t="s">
        <v>289</v>
      </c>
      <c r="C2" s="1"/>
      <c r="D2" s="1"/>
      <c r="E2" s="1"/>
      <c r="F2" s="1"/>
      <c r="G2" s="1"/>
      <c r="H2" s="1"/>
      <c r="I2" s="1"/>
      <c r="J2" s="1"/>
      <c r="R2" s="22"/>
    </row>
    <row r="3" spans="1:18">
      <c r="R3" s="22"/>
    </row>
    <row r="4" spans="1:18">
      <c r="R4" s="22"/>
    </row>
    <row r="5" spans="1:18" ht="21">
      <c r="B5" s="2" t="s">
        <v>0</v>
      </c>
      <c r="C5" s="2"/>
    </row>
    <row r="7" spans="1:18">
      <c r="B7" s="13" t="s">
        <v>144</v>
      </c>
    </row>
    <row r="8" spans="1:18">
      <c r="B8" s="22" t="s">
        <v>288</v>
      </c>
    </row>
    <row r="10" spans="1:18" s="13" customFormat="1"/>
    <row r="11" spans="1:18" ht="21">
      <c r="B11" s="2" t="s">
        <v>7</v>
      </c>
    </row>
    <row r="12" spans="1:18">
      <c r="A12" s="14">
        <v>1</v>
      </c>
      <c r="B12" s="13" t="s">
        <v>112</v>
      </c>
    </row>
    <row r="13" spans="1:18" s="13" customFormat="1">
      <c r="B13" s="22" t="s">
        <v>206</v>
      </c>
    </row>
    <row r="14" spans="1:18" s="13" customFormat="1">
      <c r="B14" s="22" t="s">
        <v>384</v>
      </c>
    </row>
    <row r="15" spans="1:18" s="13" customFormat="1">
      <c r="B15" s="13" t="s">
        <v>385</v>
      </c>
    </row>
    <row r="16" spans="1:18" s="13" customFormat="1">
      <c r="B16" s="13" t="s">
        <v>386</v>
      </c>
    </row>
    <row r="17" spans="1:3" s="13" customFormat="1">
      <c r="B17" s="13" t="s">
        <v>387</v>
      </c>
    </row>
    <row r="18" spans="1:3" s="13" customFormat="1"/>
    <row r="19" spans="1:3" s="13" customFormat="1">
      <c r="A19" s="14">
        <f>A12+1</f>
        <v>2</v>
      </c>
      <c r="B19" s="22" t="s">
        <v>388</v>
      </c>
    </row>
    <row r="20" spans="1:3" s="22" customFormat="1">
      <c r="A20" s="28"/>
      <c r="B20" s="22" t="s">
        <v>389</v>
      </c>
    </row>
    <row r="21" spans="1:3" s="13" customFormat="1"/>
    <row r="22" spans="1:3" s="13" customFormat="1">
      <c r="A22" s="14">
        <f>A19+1</f>
        <v>3</v>
      </c>
      <c r="B22" s="22" t="s">
        <v>207</v>
      </c>
    </row>
    <row r="23" spans="1:3" s="13" customFormat="1">
      <c r="B23" s="22" t="s">
        <v>381</v>
      </c>
    </row>
    <row r="24" spans="1:3" s="13" customFormat="1"/>
    <row r="25" spans="1:3" s="13" customFormat="1">
      <c r="A25" s="14">
        <f>A22+1</f>
        <v>4</v>
      </c>
      <c r="B25" s="22" t="s">
        <v>284</v>
      </c>
    </row>
    <row r="26" spans="1:3" s="13" customFormat="1"/>
    <row r="27" spans="1:3" s="13" customFormat="1">
      <c r="A27" s="14">
        <f>A25+1</f>
        <v>5</v>
      </c>
      <c r="B27" s="22" t="s">
        <v>208</v>
      </c>
    </row>
    <row r="28" spans="1:3">
      <c r="B28" s="13"/>
      <c r="C28" s="13"/>
    </row>
    <row r="29" spans="1:3">
      <c r="A29" s="28">
        <f>A27+1</f>
        <v>6</v>
      </c>
      <c r="B29" s="22" t="s">
        <v>285</v>
      </c>
      <c r="C29" s="13"/>
    </row>
    <row r="30" spans="1:3" s="13" customFormat="1"/>
    <row r="31" spans="1:3" s="13" customFormat="1">
      <c r="A31" s="28">
        <f>A29+1</f>
        <v>7</v>
      </c>
      <c r="B31" s="13" t="s">
        <v>119</v>
      </c>
    </row>
    <row r="32" spans="1:3" s="13" customFormat="1">
      <c r="B32" s="22" t="s">
        <v>286</v>
      </c>
    </row>
    <row r="33" spans="2:2" s="13" customFormat="1">
      <c r="B33" s="22" t="s">
        <v>193</v>
      </c>
    </row>
    <row r="34" spans="2:2" s="13" customFormat="1"/>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sheetPr codeName="Sheet41">
    <tabColor theme="9" tint="0.79998168889431442"/>
    <pageSetUpPr fitToPage="1"/>
  </sheetPr>
  <dimension ref="A1:Z858"/>
  <sheetViews>
    <sheetView zoomScaleNormal="100" workbookViewId="0"/>
  </sheetViews>
  <sheetFormatPr defaultRowHeight="15"/>
  <cols>
    <col min="1" max="2" width="4.140625" style="22" customWidth="1"/>
    <col min="3" max="3" width="47.5703125" style="22" customWidth="1"/>
    <col min="4" max="4" width="13.5703125" style="22" customWidth="1"/>
    <col min="5" max="5" width="10.5703125" style="22" customWidth="1"/>
    <col min="6" max="6" width="13.42578125" style="22" customWidth="1"/>
    <col min="7" max="7" width="10.42578125" style="22" customWidth="1"/>
    <col min="8" max="8" width="11.5703125" style="22" customWidth="1"/>
    <col min="9" max="9" width="10.28515625" style="22" customWidth="1"/>
    <col min="10" max="10" width="13.7109375" style="22" customWidth="1"/>
    <col min="11" max="11" width="11.28515625" style="22" customWidth="1"/>
    <col min="12" max="12" width="19.5703125" style="22" bestFit="1" customWidth="1"/>
    <col min="13" max="13" width="11.5703125" style="22" bestFit="1" customWidth="1"/>
    <col min="14" max="16384" width="9.140625" style="22"/>
  </cols>
  <sheetData>
    <row r="1" spans="1:16" ht="23.25">
      <c r="A1" s="27"/>
      <c r="C1" s="1" t="str">
        <f ca="1">OFFSET(Inputs_Anchor,0,G1+1)</f>
        <v>Electricity Invercargill</v>
      </c>
      <c r="D1" s="1"/>
      <c r="E1" s="1"/>
      <c r="F1" s="4" t="s">
        <v>109</v>
      </c>
      <c r="G1" s="5">
        <v>6</v>
      </c>
      <c r="H1" s="1"/>
      <c r="I1" s="1"/>
      <c r="J1" s="1"/>
      <c r="K1" s="1"/>
      <c r="L1" s="1"/>
      <c r="M1" s="1"/>
      <c r="N1" s="1"/>
      <c r="O1" s="1"/>
      <c r="P1" s="1"/>
    </row>
    <row r="2" spans="1:16">
      <c r="A2" s="27"/>
      <c r="L2" s="26"/>
    </row>
    <row r="3" spans="1:16" ht="23.25">
      <c r="C3" s="1" t="s">
        <v>3</v>
      </c>
      <c r="D3" s="1"/>
      <c r="E3" s="1"/>
      <c r="F3" s="1"/>
      <c r="G3" s="1"/>
      <c r="H3" s="1"/>
      <c r="I3" s="1"/>
      <c r="J3" s="1"/>
      <c r="K3" s="1"/>
      <c r="L3" s="1"/>
      <c r="M3" s="1"/>
      <c r="N3" s="1"/>
      <c r="O3" s="1"/>
      <c r="P3" s="1"/>
    </row>
    <row r="4" spans="1:16">
      <c r="A4" s="27"/>
      <c r="B4" s="27"/>
      <c r="C4" s="27"/>
      <c r="D4" s="147" t="s">
        <v>57</v>
      </c>
      <c r="E4" s="147" t="s">
        <v>58</v>
      </c>
      <c r="F4" s="27"/>
      <c r="G4" s="27"/>
      <c r="H4" s="148" t="s">
        <v>5</v>
      </c>
      <c r="I4" s="27"/>
      <c r="J4" s="27"/>
      <c r="K4" s="27"/>
      <c r="L4" s="27"/>
    </row>
    <row r="5" spans="1:16">
      <c r="A5" s="30"/>
      <c r="B5" s="27"/>
      <c r="C5" s="27"/>
      <c r="D5" s="147" t="s">
        <v>56</v>
      </c>
      <c r="E5" s="147"/>
      <c r="F5" s="27"/>
      <c r="G5" s="27"/>
      <c r="H5" s="27"/>
      <c r="I5" s="27"/>
      <c r="J5" s="27"/>
      <c r="K5" s="27"/>
      <c r="L5" s="27"/>
    </row>
    <row r="6" spans="1:16">
      <c r="A6" s="119"/>
      <c r="B6" s="50"/>
      <c r="C6" s="99" t="s">
        <v>1</v>
      </c>
      <c r="D6" s="50"/>
      <c r="E6" s="99" t="str">
        <f>Inputs!D11</f>
        <v>2009/10</v>
      </c>
      <c r="F6" s="99" t="str">
        <f>Inputs!E11</f>
        <v>2010/11</v>
      </c>
      <c r="G6" s="99" t="str">
        <f>Inputs!F11</f>
        <v>2011/12</v>
      </c>
      <c r="H6" s="99" t="str">
        <f>Inputs!G11</f>
        <v>2012/13</v>
      </c>
      <c r="I6" s="99" t="str">
        <f>Inputs!H11</f>
        <v>2013/14</v>
      </c>
      <c r="J6" s="99" t="str">
        <f>Inputs!I11</f>
        <v>2014/15</v>
      </c>
      <c r="K6" s="99"/>
      <c r="L6" s="67"/>
    </row>
    <row r="7" spans="1:16">
      <c r="A7" s="119"/>
      <c r="B7" s="50"/>
      <c r="C7" s="50" t="s">
        <v>59</v>
      </c>
      <c r="D7" s="50"/>
      <c r="E7" s="125">
        <v>1</v>
      </c>
      <c r="F7" s="125">
        <v>2</v>
      </c>
      <c r="G7" s="125">
        <v>3</v>
      </c>
      <c r="H7" s="125">
        <v>4</v>
      </c>
      <c r="I7" s="125">
        <v>5</v>
      </c>
      <c r="J7" s="125">
        <v>6</v>
      </c>
      <c r="K7" s="125"/>
      <c r="L7" s="67"/>
    </row>
    <row r="8" spans="1:16">
      <c r="A8" s="119">
        <v>1</v>
      </c>
      <c r="B8" s="149"/>
      <c r="C8" s="50" t="str">
        <f>Inputs!B20</f>
        <v>Line Revenue through Prices</v>
      </c>
      <c r="D8" s="50"/>
      <c r="E8" s="47">
        <f t="shared" ref="E8:E27" si="0">INDEX(InputsBlock,A8+1,$G$1+2)</f>
        <v>15340</v>
      </c>
      <c r="F8" s="50"/>
      <c r="G8" s="50"/>
      <c r="H8" s="50"/>
      <c r="I8" s="50"/>
      <c r="J8" s="50"/>
      <c r="K8" s="50"/>
      <c r="L8" s="27"/>
    </row>
    <row r="9" spans="1:16">
      <c r="A9" s="119">
        <f t="shared" ref="A9:A27" si="1">A8+1</f>
        <v>2</v>
      </c>
      <c r="B9" s="149"/>
      <c r="C9" s="50" t="str">
        <f>Inputs!B21</f>
        <v>Pass-through costs</v>
      </c>
      <c r="D9" s="50"/>
      <c r="E9" s="47">
        <f t="shared" si="0"/>
        <v>124</v>
      </c>
      <c r="F9" s="50"/>
      <c r="G9" s="50"/>
      <c r="H9" s="50"/>
      <c r="I9" s="50"/>
      <c r="J9" s="50"/>
      <c r="K9" s="50"/>
      <c r="L9" s="27"/>
    </row>
    <row r="10" spans="1:16">
      <c r="A10" s="119">
        <f t="shared" si="1"/>
        <v>3</v>
      </c>
      <c r="B10" s="149"/>
      <c r="C10" s="50" t="str">
        <f>Inputs!B22</f>
        <v>Recoverable costs</v>
      </c>
      <c r="D10" s="50"/>
      <c r="E10" s="47">
        <f t="shared" si="0"/>
        <v>4032</v>
      </c>
      <c r="F10" s="50"/>
      <c r="G10" s="50"/>
      <c r="H10" s="50"/>
      <c r="I10" s="50"/>
      <c r="J10" s="50"/>
      <c r="K10" s="50"/>
      <c r="L10" s="27"/>
    </row>
    <row r="11" spans="1:16">
      <c r="A11" s="119">
        <f t="shared" si="1"/>
        <v>4</v>
      </c>
      <c r="B11" s="149"/>
      <c r="C11" s="50" t="str">
        <f>Inputs!B23</f>
        <v>Opening RAB</v>
      </c>
      <c r="D11" s="50"/>
      <c r="E11" s="47">
        <f t="shared" si="0"/>
        <v>59452</v>
      </c>
      <c r="F11" s="50"/>
      <c r="G11" s="50"/>
      <c r="H11" s="50"/>
      <c r="I11" s="50"/>
      <c r="J11" s="50"/>
      <c r="K11" s="50"/>
      <c r="L11" s="150"/>
    </row>
    <row r="12" spans="1:16">
      <c r="A12" s="119">
        <f t="shared" si="1"/>
        <v>5</v>
      </c>
      <c r="B12" s="149"/>
      <c r="C12" s="50" t="str">
        <f>Inputs!B24</f>
        <v>Lost assets</v>
      </c>
      <c r="D12" s="50"/>
      <c r="E12" s="47">
        <f t="shared" si="0"/>
        <v>0</v>
      </c>
      <c r="F12" s="50"/>
      <c r="G12" s="50"/>
      <c r="H12" s="50"/>
      <c r="I12" s="50"/>
      <c r="J12" s="50"/>
      <c r="K12" s="50"/>
      <c r="L12" s="150"/>
    </row>
    <row r="13" spans="1:16">
      <c r="A13" s="119">
        <f t="shared" si="1"/>
        <v>6</v>
      </c>
      <c r="B13" s="149"/>
      <c r="C13" s="50" t="str">
        <f>Inputs!B25</f>
        <v>Found Assets</v>
      </c>
      <c r="D13" s="50"/>
      <c r="E13" s="47">
        <f t="shared" si="0"/>
        <v>0</v>
      </c>
      <c r="F13" s="50"/>
      <c r="G13" s="50"/>
      <c r="H13" s="50"/>
      <c r="I13" s="50"/>
      <c r="J13" s="50"/>
      <c r="K13" s="50"/>
      <c r="L13" s="150"/>
    </row>
    <row r="14" spans="1:16">
      <c r="A14" s="119">
        <f t="shared" si="1"/>
        <v>7</v>
      </c>
      <c r="B14" s="149"/>
      <c r="C14" s="50" t="str">
        <f>Inputs!B26</f>
        <v>Total Depreciation</v>
      </c>
      <c r="D14" s="50"/>
      <c r="E14" s="47">
        <f t="shared" si="0"/>
        <v>2382</v>
      </c>
      <c r="F14" s="47"/>
      <c r="G14" s="191" t="s">
        <v>280</v>
      </c>
      <c r="H14" s="50"/>
      <c r="I14" s="50"/>
      <c r="J14" s="50"/>
      <c r="K14" s="50"/>
      <c r="L14" s="27"/>
    </row>
    <row r="15" spans="1:16">
      <c r="A15" s="119">
        <f t="shared" si="1"/>
        <v>8</v>
      </c>
      <c r="B15" s="149"/>
      <c r="C15" s="50" t="str">
        <f>Inputs!B27</f>
        <v>RAB of disposed assets</v>
      </c>
      <c r="D15" s="50"/>
      <c r="E15" s="47">
        <f t="shared" si="0"/>
        <v>25</v>
      </c>
      <c r="F15" s="50"/>
      <c r="G15" s="175" t="s">
        <v>281</v>
      </c>
      <c r="H15" s="50"/>
      <c r="I15" s="50"/>
      <c r="J15" s="50"/>
      <c r="K15" s="50"/>
      <c r="L15" s="27"/>
    </row>
    <row r="16" spans="1:16">
      <c r="A16" s="119">
        <f t="shared" si="1"/>
        <v>9</v>
      </c>
      <c r="B16" s="149"/>
      <c r="C16" s="50" t="str">
        <f>Inputs!B28</f>
        <v>Discretionary discounts &amp;  rebates</v>
      </c>
      <c r="D16" s="50"/>
      <c r="E16" s="47">
        <f t="shared" si="0"/>
        <v>0</v>
      </c>
      <c r="F16" s="50"/>
      <c r="G16" s="175" t="s">
        <v>282</v>
      </c>
      <c r="H16" s="50"/>
      <c r="I16" s="50"/>
      <c r="J16" s="50"/>
      <c r="K16" s="50"/>
      <c r="L16" s="27"/>
    </row>
    <row r="17" spans="1:22">
      <c r="A17" s="119">
        <f t="shared" si="1"/>
        <v>10</v>
      </c>
      <c r="B17" s="149"/>
      <c r="C17" s="50" t="str">
        <f>Inputs!B29</f>
        <v>Tax Depreciation</v>
      </c>
      <c r="D17" s="50"/>
      <c r="E17" s="47">
        <f t="shared" si="0"/>
        <v>2348</v>
      </c>
      <c r="F17" s="50"/>
      <c r="G17" s="175" t="s">
        <v>283</v>
      </c>
      <c r="H17" s="50"/>
      <c r="I17" s="50"/>
      <c r="J17" s="50"/>
      <c r="K17" s="50"/>
      <c r="L17" s="27"/>
    </row>
    <row r="18" spans="1:22">
      <c r="A18" s="119">
        <f t="shared" si="1"/>
        <v>11</v>
      </c>
      <c r="B18" s="149"/>
      <c r="C18" s="50" t="str">
        <f>Inputs!B30</f>
        <v>Opening regulatory tax asset value</v>
      </c>
      <c r="D18" s="50"/>
      <c r="E18" s="47">
        <f t="shared" si="0"/>
        <v>22665</v>
      </c>
      <c r="F18" s="50"/>
      <c r="G18" s="50"/>
      <c r="H18" s="50"/>
      <c r="I18" s="50"/>
      <c r="J18" s="50"/>
      <c r="K18" s="50"/>
      <c r="L18" s="27"/>
    </row>
    <row r="19" spans="1:22">
      <c r="A19" s="119">
        <f t="shared" si="1"/>
        <v>12</v>
      </c>
      <c r="B19" s="149"/>
      <c r="C19" s="50" t="str">
        <f>Inputs!B31</f>
        <v>Weighted Average Remaining Life at year-end</v>
      </c>
      <c r="D19" s="50"/>
      <c r="E19" s="47">
        <f t="shared" si="0"/>
        <v>24</v>
      </c>
      <c r="F19" s="50"/>
      <c r="G19" s="50"/>
      <c r="H19" s="50"/>
      <c r="I19" s="50"/>
      <c r="J19" s="50"/>
      <c r="K19" s="50"/>
      <c r="L19" s="27"/>
    </row>
    <row r="20" spans="1:22">
      <c r="A20" s="119">
        <f t="shared" si="1"/>
        <v>13</v>
      </c>
      <c r="B20" s="149"/>
      <c r="C20" s="50" t="str">
        <f>Inputs!B32</f>
        <v>Term Credit Spread Differential Allowance</v>
      </c>
      <c r="D20" s="50"/>
      <c r="E20" s="47">
        <f t="shared" si="0"/>
        <v>0</v>
      </c>
      <c r="F20" s="50"/>
      <c r="G20" s="50"/>
      <c r="H20" s="50"/>
      <c r="I20" s="50"/>
      <c r="J20" s="50"/>
      <c r="K20" s="50"/>
      <c r="L20" s="27"/>
    </row>
    <row r="21" spans="1:22">
      <c r="A21" s="119">
        <f t="shared" si="1"/>
        <v>14</v>
      </c>
      <c r="B21" s="149"/>
      <c r="C21" s="50" t="s">
        <v>98</v>
      </c>
      <c r="D21" s="50"/>
      <c r="E21" s="47">
        <f t="shared" si="0"/>
        <v>2987</v>
      </c>
      <c r="F21" s="50"/>
      <c r="G21" s="50"/>
      <c r="H21" s="50"/>
      <c r="I21" s="50"/>
      <c r="J21" s="50"/>
      <c r="K21" s="50"/>
      <c r="L21" s="27"/>
    </row>
    <row r="22" spans="1:22">
      <c r="A22" s="119">
        <f t="shared" si="1"/>
        <v>15</v>
      </c>
      <c r="B22" s="149"/>
      <c r="C22" s="50" t="str">
        <f>Inputs!B34</f>
        <v>Operating expenditure 2009/10</v>
      </c>
      <c r="D22" s="50"/>
      <c r="E22" s="47">
        <f t="shared" si="0"/>
        <v>4402</v>
      </c>
      <c r="F22" s="50"/>
      <c r="G22" s="50"/>
      <c r="H22" s="50"/>
      <c r="I22" s="50"/>
      <c r="J22" s="50"/>
      <c r="K22" s="50"/>
      <c r="L22" s="27"/>
    </row>
    <row r="23" spans="1:22">
      <c r="A23" s="119">
        <f t="shared" si="1"/>
        <v>16</v>
      </c>
      <c r="B23" s="149"/>
      <c r="C23" s="50" t="str">
        <f>Inputs!B35</f>
        <v>Other reg income (avg of 2008 to 11, in 2009/10 $)</v>
      </c>
      <c r="D23" s="50"/>
      <c r="E23" s="47">
        <f t="shared" si="0"/>
        <v>85.332655930474175</v>
      </c>
      <c r="F23" s="50"/>
      <c r="G23" s="50"/>
      <c r="H23" s="50"/>
      <c r="I23" s="50"/>
      <c r="J23" s="50"/>
      <c r="K23" s="49"/>
      <c r="L23" s="27"/>
    </row>
    <row r="24" spans="1:22">
      <c r="A24" s="119">
        <f t="shared" si="1"/>
        <v>17</v>
      </c>
      <c r="B24" s="149"/>
      <c r="C24" s="119" t="str">
        <f>Inputs!B36</f>
        <v>Allowable notional revenue 2012/13</v>
      </c>
      <c r="D24" s="50"/>
      <c r="E24" s="47">
        <f t="shared" si="0"/>
        <v>12756</v>
      </c>
      <c r="F24" s="50"/>
      <c r="G24" s="50"/>
      <c r="H24" s="50"/>
      <c r="I24" s="50"/>
      <c r="J24" s="50"/>
      <c r="K24" s="49"/>
      <c r="L24" s="27"/>
    </row>
    <row r="25" spans="1:22">
      <c r="A25" s="119">
        <f t="shared" si="1"/>
        <v>18</v>
      </c>
      <c r="B25" s="149"/>
      <c r="C25" s="119" t="str">
        <f>Inputs!B37</f>
        <v>Pass-through costs 2012/13</v>
      </c>
      <c r="D25" s="50"/>
      <c r="E25" s="47">
        <f t="shared" si="0"/>
        <v>4782</v>
      </c>
      <c r="F25" s="50"/>
      <c r="G25" s="50"/>
      <c r="H25" s="50"/>
      <c r="I25" s="50"/>
      <c r="J25" s="50"/>
      <c r="K25" s="49"/>
      <c r="L25" s="27"/>
    </row>
    <row r="26" spans="1:22">
      <c r="A26" s="119">
        <f t="shared" si="1"/>
        <v>19</v>
      </c>
      <c r="B26" s="50"/>
      <c r="C26" s="50" t="str">
        <f>Inputs!B38</f>
        <v>Alternate X value to 2014/15</v>
      </c>
      <c r="D26" s="49"/>
      <c r="E26" s="151" t="str">
        <f t="shared" si="0"/>
        <v>IWX</v>
      </c>
      <c r="F26" s="50"/>
      <c r="G26" s="50"/>
      <c r="H26" s="50"/>
      <c r="I26" s="50"/>
      <c r="J26" s="50"/>
      <c r="K26" s="49"/>
      <c r="L26" s="27"/>
    </row>
    <row r="27" spans="1:22">
      <c r="A27" s="119">
        <f t="shared" si="1"/>
        <v>20</v>
      </c>
      <c r="B27" s="50"/>
      <c r="C27" s="50" t="str">
        <f>Inputs!B39</f>
        <v>Cap on growth of maximum allowable revenue</v>
      </c>
      <c r="D27" s="50"/>
      <c r="E27" s="151">
        <f t="shared" si="0"/>
        <v>0.2</v>
      </c>
      <c r="F27" s="50"/>
      <c r="G27" s="50"/>
      <c r="H27" s="50"/>
      <c r="I27" s="50"/>
      <c r="J27" s="50"/>
      <c r="K27" s="49"/>
      <c r="L27" s="27"/>
    </row>
    <row r="28" spans="1:22">
      <c r="A28" s="119"/>
      <c r="B28" s="149"/>
      <c r="C28" s="50" t="s">
        <v>30</v>
      </c>
      <c r="D28" s="50"/>
      <c r="E28" s="130">
        <f>E22</f>
        <v>4402</v>
      </c>
      <c r="F28" s="47">
        <f>INDEX(OpexBlock,F7-1,$G$1)</f>
        <v>4519.8749144208259</v>
      </c>
      <c r="G28" s="47">
        <f>INDEX(OpexBlock,G7-1,$G$1)</f>
        <v>4655.2180622759379</v>
      </c>
      <c r="H28" s="47">
        <f>INDEX(OpexBlock,H7-1,$G$1)</f>
        <v>4764.6232059655686</v>
      </c>
      <c r="I28" s="47">
        <f>INDEX(OpexBlock,I7-1,$G$1)</f>
        <v>4885.7498828170155</v>
      </c>
      <c r="J28" s="47">
        <f>INDEX(OpexBlock,J7-1,$G$1)</f>
        <v>5015.8181496926263</v>
      </c>
      <c r="K28" s="49"/>
      <c r="L28" s="50"/>
      <c r="M28" s="15"/>
    </row>
    <row r="29" spans="1:22">
      <c r="A29" s="119"/>
      <c r="B29" s="149"/>
      <c r="C29" s="50" t="s">
        <v>158</v>
      </c>
      <c r="D29" s="47"/>
      <c r="E29" s="130">
        <f>E21</f>
        <v>2987</v>
      </c>
      <c r="F29" s="47">
        <f>INDEX(CommAssetsBlock,F7-1,$G$1)</f>
        <v>4091.6191989586155</v>
      </c>
      <c r="G29" s="47">
        <f>INDEX(CommAssetsBlock,G7-1,$G$1)</f>
        <v>3617.957498056554</v>
      </c>
      <c r="H29" s="47">
        <f>INDEX(CommAssetsBlock,H7-1,$G$1)</f>
        <v>3552.4395536617048</v>
      </c>
      <c r="I29" s="47">
        <f>INDEX(CommAssetsBlock,I7-1,$G$1)</f>
        <v>3197.2877557338447</v>
      </c>
      <c r="J29" s="47">
        <f>INDEX(CommAssetsBlock,J7-1,$G$1)</f>
        <v>3223.4869778450902</v>
      </c>
      <c r="K29" s="49"/>
      <c r="L29" s="50"/>
      <c r="M29" s="15"/>
    </row>
    <row r="30" spans="1:22">
      <c r="A30" s="119"/>
      <c r="B30" s="149"/>
      <c r="C30" s="50" t="s">
        <v>200</v>
      </c>
      <c r="D30" s="47"/>
      <c r="E30" s="49"/>
      <c r="F30" s="110">
        <f>INDEX(ConstPriceRevGrwth,F$7-1,$G$1)</f>
        <v>-1.1456926475380026E-3</v>
      </c>
      <c r="G30" s="110">
        <f>INDEX(ConstPriceRevGrwth,G$7-1,$G$1)</f>
        <v>-1.1456926475380026E-3</v>
      </c>
      <c r="H30" s="110">
        <f>INDEX(ConstPriceRevGrwth,H$7-1,$G$1)</f>
        <v>-1.1456926475380026E-3</v>
      </c>
      <c r="I30" s="110">
        <f>INDEX(ConstPriceRevGrwth,I$7-1,$G$1)</f>
        <v>-1.1456926475380026E-3</v>
      </c>
      <c r="J30" s="110">
        <f>INDEX(ConstPriceRevGrwth,J$7-1,$G$1)</f>
        <v>-1.1456926475380026E-3</v>
      </c>
      <c r="K30" s="49"/>
      <c r="L30" s="50"/>
      <c r="M30" s="15"/>
      <c r="U30" s="15"/>
      <c r="V30" s="15"/>
    </row>
    <row r="31" spans="1:22" ht="15.75" thickBot="1">
      <c r="A31" s="119"/>
      <c r="B31" s="149"/>
      <c r="C31" s="50"/>
      <c r="D31" s="47"/>
      <c r="E31" s="49"/>
      <c r="F31" s="50"/>
      <c r="G31" s="49"/>
      <c r="H31" s="49"/>
      <c r="I31" s="49"/>
      <c r="J31" s="49"/>
      <c r="K31" s="49"/>
      <c r="L31" s="27"/>
      <c r="M31" s="15"/>
      <c r="U31" s="15"/>
      <c r="V31" s="15"/>
    </row>
    <row r="32" spans="1:22" ht="16.5" thickBot="1">
      <c r="A32" s="119"/>
      <c r="B32" s="149"/>
      <c r="C32" s="121" t="s">
        <v>182</v>
      </c>
      <c r="D32" s="47"/>
      <c r="E32" s="49"/>
      <c r="F32" s="50"/>
      <c r="G32" s="49"/>
      <c r="H32" s="49"/>
      <c r="I32" s="49"/>
      <c r="J32" s="49"/>
      <c r="K32" s="49"/>
      <c r="L32" s="195" t="s">
        <v>322</v>
      </c>
      <c r="M32" s="111"/>
      <c r="N32" s="34"/>
      <c r="O32" s="34"/>
      <c r="P32" s="34"/>
      <c r="Q32" s="34"/>
      <c r="R32" s="34"/>
      <c r="S32" s="34"/>
      <c r="T32" s="34"/>
      <c r="U32" s="34"/>
      <c r="V32" s="35"/>
    </row>
    <row r="33" spans="1:26">
      <c r="A33" s="119"/>
      <c r="B33" s="149"/>
      <c r="C33" s="122" t="str">
        <f>Inputs!B13</f>
        <v>2009 ΔCPI, 2 index, no lag, no GST adjustment</v>
      </c>
      <c r="D33" s="47"/>
      <c r="E33" s="49">
        <f>Inputs!D13</f>
        <v>1.7233850022212005E-2</v>
      </c>
      <c r="F33" s="49">
        <f>Inputs!E13</f>
        <v>1.9812209526758329E-2</v>
      </c>
      <c r="G33" s="49">
        <f>Inputs!F13</f>
        <v>2.4339880629970168E-2</v>
      </c>
      <c r="H33" s="49">
        <f>Inputs!G13</f>
        <v>2.2893253753313525E-2</v>
      </c>
      <c r="I33" s="49">
        <f>Inputs!H13</f>
        <v>2.144662687665666E-2</v>
      </c>
      <c r="J33" s="49">
        <f>Inputs!I13</f>
        <v>2.0000000000000018E-2</v>
      </c>
      <c r="K33" s="50"/>
      <c r="L33" s="196" t="s">
        <v>194</v>
      </c>
      <c r="M33" s="50"/>
      <c r="N33" s="15"/>
      <c r="O33" s="15"/>
      <c r="P33" s="15"/>
      <c r="Q33" s="15"/>
      <c r="R33" s="15"/>
      <c r="S33" s="15"/>
      <c r="T33" s="15"/>
      <c r="U33" s="15"/>
      <c r="V33" s="29"/>
    </row>
    <row r="34" spans="1:26">
      <c r="A34" s="119"/>
      <c r="B34" s="149"/>
      <c r="C34" s="122" t="str">
        <f>Inputs!B14</f>
        <v>2012 ΔCPI, 2 index, no lag, no GST adjustment</v>
      </c>
      <c r="D34" s="47"/>
      <c r="E34" s="49"/>
      <c r="F34" s="49">
        <f>Inputs!E14</f>
        <v>4.4667274384685429E-2</v>
      </c>
      <c r="G34" s="49">
        <f>Inputs!F14</f>
        <v>1.5706806282722585E-2</v>
      </c>
      <c r="H34" s="49">
        <f>Inputs!G14</f>
        <v>1.8041237113401998E-2</v>
      </c>
      <c r="I34" s="49">
        <f>Inputs!H14</f>
        <v>1.7721518987341867E-2</v>
      </c>
      <c r="J34" s="49">
        <f>Inputs!I14</f>
        <v>2.3217247097844007E-2</v>
      </c>
      <c r="K34" s="50"/>
      <c r="L34" s="196" t="s">
        <v>320</v>
      </c>
      <c r="M34" s="50"/>
      <c r="N34" s="15"/>
      <c r="O34" s="15"/>
      <c r="P34" s="15"/>
      <c r="Q34" s="15"/>
      <c r="R34" s="15"/>
      <c r="S34" s="15"/>
      <c r="T34" s="15"/>
      <c r="U34" s="15"/>
      <c r="V34" s="29"/>
    </row>
    <row r="35" spans="1:26">
      <c r="A35" s="119"/>
      <c r="B35" s="149"/>
      <c r="C35" s="122" t="str">
        <f>Inputs!B15</f>
        <v>2009 ΔCPI, 8 index, lagged, no GST adjustment</v>
      </c>
      <c r="D35" s="47"/>
      <c r="E35" s="49"/>
      <c r="F35" s="49"/>
      <c r="G35" s="49">
        <f>Inputs!F15</f>
        <v>1.6991832174541255E-2</v>
      </c>
      <c r="H35" s="49">
        <f>Inputs!G15</f>
        <v>2.0741514169093644E-2</v>
      </c>
      <c r="I35" s="49">
        <f>Inputs!H15</f>
        <v>2.3759818812291389E-2</v>
      </c>
      <c r="J35" s="49">
        <f>Inputs!I15</f>
        <v>2.2164443909808984E-2</v>
      </c>
      <c r="K35" s="50"/>
      <c r="L35" s="196" t="s">
        <v>321</v>
      </c>
      <c r="M35" s="50"/>
      <c r="N35" s="15"/>
      <c r="O35" s="15"/>
      <c r="P35" s="15"/>
      <c r="Q35" s="15"/>
      <c r="R35" s="15"/>
      <c r="S35" s="15"/>
      <c r="T35" s="15"/>
      <c r="U35" s="15"/>
      <c r="V35" s="29"/>
    </row>
    <row r="36" spans="1:26">
      <c r="A36" s="149"/>
      <c r="B36" s="149"/>
      <c r="C36" s="122" t="str">
        <f>Inputs!B16</f>
        <v>2012 ΔCPI, 8 index, lagged, no GST adjustment</v>
      </c>
      <c r="D36" s="50"/>
      <c r="E36" s="49"/>
      <c r="F36" s="49">
        <f>Inputs!E16</f>
        <v>2.465039108793543E-2</v>
      </c>
      <c r="G36" s="49">
        <f>Inputs!F16</f>
        <v>1.7811704834605591E-2</v>
      </c>
      <c r="H36" s="49">
        <f>Inputs!G16</f>
        <v>4.5909090909090899E-2</v>
      </c>
      <c r="I36" s="49">
        <f>Inputs!H16</f>
        <v>1.2820512820512775E-2</v>
      </c>
      <c r="J36" s="49">
        <f>Inputs!I16</f>
        <v>1.9725095732576747E-2</v>
      </c>
      <c r="K36" s="50"/>
      <c r="L36" s="196" t="s">
        <v>365</v>
      </c>
      <c r="M36" s="50"/>
      <c r="N36" s="15"/>
      <c r="O36" s="15"/>
      <c r="P36" s="15"/>
      <c r="Q36" s="15"/>
      <c r="R36" s="15"/>
      <c r="S36" s="15"/>
      <c r="T36" s="15"/>
      <c r="U36" s="15"/>
      <c r="V36" s="29"/>
    </row>
    <row r="37" spans="1:26" ht="15.75" thickBot="1">
      <c r="A37" s="149"/>
      <c r="B37" s="149"/>
      <c r="C37" s="122" t="str">
        <f>Inputs!B17</f>
        <v>2012 ΔCPI, 8 index, lagged, with GST adjustment</v>
      </c>
      <c r="D37" s="50"/>
      <c r="E37" s="49"/>
      <c r="F37" s="112">
        <f>Inputs!E17</f>
        <v>2.4650391087935652E-2</v>
      </c>
      <c r="G37" s="112">
        <f>Inputs!F17</f>
        <v>1.7811704834605369E-2</v>
      </c>
      <c r="H37" s="112">
        <f>Inputs!G17</f>
        <v>2.5401069518716568E-2</v>
      </c>
      <c r="I37" s="49">
        <f>Inputs!H17</f>
        <v>1.2820512820512775E-2</v>
      </c>
      <c r="J37" s="49">
        <f>Inputs!I17</f>
        <v>1.9725095732576747E-2</v>
      </c>
      <c r="K37" s="50"/>
      <c r="L37" s="219" t="s">
        <v>409</v>
      </c>
      <c r="M37" s="220"/>
      <c r="N37" s="220"/>
      <c r="O37" s="220"/>
      <c r="P37" s="220"/>
      <c r="Q37" s="220"/>
      <c r="R37" s="220"/>
      <c r="S37" s="220"/>
      <c r="T37" s="220"/>
      <c r="U37" s="220"/>
      <c r="V37" s="221"/>
    </row>
    <row r="38" spans="1:26">
      <c r="A38" s="149"/>
      <c r="B38" s="149"/>
      <c r="C38" s="122"/>
      <c r="D38" s="50"/>
      <c r="E38" s="49"/>
      <c r="F38" s="112"/>
      <c r="G38" s="112"/>
      <c r="H38" s="112"/>
      <c r="I38" s="49"/>
      <c r="J38" s="49"/>
      <c r="K38" s="49"/>
      <c r="L38" s="49"/>
      <c r="M38" s="49"/>
      <c r="N38" s="49"/>
      <c r="O38" s="49"/>
      <c r="P38" s="49"/>
      <c r="Q38" s="49"/>
      <c r="R38" s="49"/>
      <c r="S38" s="49"/>
      <c r="T38" s="49"/>
      <c r="U38" s="49"/>
      <c r="V38" s="49"/>
      <c r="W38" s="49"/>
      <c r="X38" s="49"/>
      <c r="Y38" s="49"/>
      <c r="Z38" s="49"/>
    </row>
    <row r="39" spans="1:26" ht="23.25">
      <c r="A39" s="50"/>
      <c r="B39" s="50"/>
      <c r="C39" s="1" t="s">
        <v>4</v>
      </c>
      <c r="D39" s="153" t="s">
        <v>36</v>
      </c>
      <c r="E39" s="153" t="s">
        <v>35</v>
      </c>
      <c r="F39" s="152"/>
      <c r="G39" s="152"/>
      <c r="H39" s="152"/>
      <c r="I39" s="152"/>
      <c r="J39" s="152"/>
      <c r="K39" s="152"/>
      <c r="L39" s="152"/>
      <c r="M39" s="152"/>
      <c r="N39" s="194"/>
      <c r="O39" s="194"/>
      <c r="P39" s="194"/>
    </row>
    <row r="40" spans="1:26">
      <c r="A40" s="50"/>
      <c r="B40" s="50"/>
      <c r="C40" s="50"/>
      <c r="D40" s="50"/>
      <c r="E40" s="154" t="s">
        <v>183</v>
      </c>
      <c r="F40" s="154" t="s">
        <v>184</v>
      </c>
      <c r="G40" s="154" t="s">
        <v>185</v>
      </c>
      <c r="H40" s="154" t="s">
        <v>186</v>
      </c>
      <c r="I40" s="154" t="s">
        <v>187</v>
      </c>
      <c r="J40" s="154" t="s">
        <v>188</v>
      </c>
      <c r="K40" s="154"/>
      <c r="L40" s="154"/>
      <c r="M40" s="48"/>
    </row>
    <row r="41" spans="1:26">
      <c r="A41" s="50"/>
      <c r="B41" s="50"/>
      <c r="C41" s="50" t="s">
        <v>129</v>
      </c>
      <c r="D41" s="50"/>
      <c r="E41" s="49">
        <f t="shared" ref="E41:J41" si="2">E33</f>
        <v>1.7233850022212005E-2</v>
      </c>
      <c r="F41" s="49">
        <f t="shared" si="2"/>
        <v>1.9812209526758329E-2</v>
      </c>
      <c r="G41" s="49">
        <f t="shared" si="2"/>
        <v>2.4339880629970168E-2</v>
      </c>
      <c r="H41" s="49">
        <f t="shared" si="2"/>
        <v>2.2893253753313525E-2</v>
      </c>
      <c r="I41" s="49">
        <f t="shared" si="2"/>
        <v>2.144662687665666E-2</v>
      </c>
      <c r="J41" s="49">
        <f t="shared" si="2"/>
        <v>2.0000000000000018E-2</v>
      </c>
      <c r="K41" s="51"/>
      <c r="L41" s="47"/>
      <c r="M41" s="15"/>
    </row>
    <row r="42" spans="1:26">
      <c r="A42" s="50"/>
      <c r="B42" s="50"/>
      <c r="C42" s="50" t="s">
        <v>163</v>
      </c>
      <c r="D42" s="50"/>
      <c r="E42" s="49"/>
      <c r="F42" s="49">
        <f>F34</f>
        <v>4.4667274384685429E-2</v>
      </c>
      <c r="G42" s="49">
        <f>G34</f>
        <v>1.5706806282722585E-2</v>
      </c>
      <c r="H42" s="49">
        <f>H34</f>
        <v>1.8041237113401998E-2</v>
      </c>
      <c r="I42" s="49">
        <f>I34</f>
        <v>1.7721518987341867E-2</v>
      </c>
      <c r="J42" s="49">
        <f>J34</f>
        <v>2.3217247097844007E-2</v>
      </c>
      <c r="K42" s="51"/>
      <c r="L42" s="47"/>
      <c r="M42" s="15"/>
    </row>
    <row r="43" spans="1:26">
      <c r="A43" s="50"/>
      <c r="B43" s="50"/>
      <c r="C43" s="50" t="s">
        <v>122</v>
      </c>
      <c r="D43" s="50"/>
      <c r="E43" s="130">
        <f>E23</f>
        <v>85.332655930474175</v>
      </c>
      <c r="F43" s="47">
        <f>E43*(1+F42)</f>
        <v>89.144233086894616</v>
      </c>
      <c r="G43" s="47">
        <f>F43*(1+G42)</f>
        <v>90.544404287212345</v>
      </c>
      <c r="H43" s="47">
        <f>G43*(1+H42)</f>
        <v>92.177937354249678</v>
      </c>
      <c r="I43" s="47">
        <f>H43*(1+I42)</f>
        <v>93.811470421287027</v>
      </c>
      <c r="J43" s="47">
        <f>I43*(1+J42)</f>
        <v>95.989514510670134</v>
      </c>
      <c r="K43" s="50"/>
      <c r="L43" s="47"/>
      <c r="M43" s="15"/>
    </row>
    <row r="44" spans="1:26">
      <c r="A44" s="50"/>
      <c r="B44" s="50"/>
      <c r="C44" s="50"/>
      <c r="D44" s="50"/>
      <c r="E44" s="51"/>
      <c r="F44" s="51"/>
      <c r="G44" s="51"/>
      <c r="H44" s="51"/>
      <c r="I44" s="51"/>
      <c r="J44" s="51"/>
      <c r="K44" s="51"/>
      <c r="L44" s="27"/>
      <c r="M44" s="15"/>
    </row>
    <row r="45" spans="1:26" ht="21">
      <c r="A45" s="50"/>
      <c r="B45" s="50"/>
      <c r="C45" s="155" t="s">
        <v>69</v>
      </c>
      <c r="D45" s="50"/>
      <c r="E45" s="50"/>
      <c r="F45" s="51"/>
      <c r="G45" s="51"/>
      <c r="H45" s="51"/>
      <c r="I45" s="51"/>
      <c r="J45" s="51"/>
      <c r="K45" s="51"/>
      <c r="L45" s="27"/>
      <c r="M45" s="15"/>
    </row>
    <row r="46" spans="1:26" ht="18">
      <c r="A46" s="50"/>
      <c r="B46" s="50"/>
      <c r="C46" s="50" t="s">
        <v>70</v>
      </c>
      <c r="D46" s="156">
        <f>'Timing Assumptions'!C23</f>
        <v>1.0428084742793051</v>
      </c>
      <c r="E46" s="50"/>
      <c r="F46" s="51"/>
      <c r="G46" s="51"/>
      <c r="H46" s="51"/>
      <c r="I46" s="51"/>
      <c r="J46" s="51"/>
      <c r="K46" s="51"/>
      <c r="L46" s="51"/>
      <c r="M46" s="15"/>
    </row>
    <row r="47" spans="1:26" ht="18">
      <c r="A47" s="50"/>
      <c r="B47" s="50"/>
      <c r="C47" s="50" t="s">
        <v>71</v>
      </c>
      <c r="D47" s="156">
        <f>'Timing Assumptions'!C24</f>
        <v>1.0428084742793051</v>
      </c>
      <c r="E47" s="50"/>
      <c r="F47" s="51"/>
      <c r="G47" s="51"/>
      <c r="H47" s="51"/>
      <c r="I47" s="51"/>
      <c r="J47" s="51"/>
      <c r="K47" s="51"/>
      <c r="L47" s="51"/>
      <c r="M47" s="15"/>
    </row>
    <row r="48" spans="1:26" ht="18">
      <c r="A48" s="50"/>
      <c r="B48" s="50"/>
      <c r="C48" s="50" t="s">
        <v>125</v>
      </c>
      <c r="D48" s="156">
        <f>'Timing Assumptions'!C25</f>
        <v>1.0428084742793051</v>
      </c>
      <c r="E48" s="50"/>
      <c r="F48" s="50"/>
      <c r="G48" s="51"/>
      <c r="H48" s="51"/>
      <c r="I48" s="51"/>
      <c r="J48" s="51"/>
      <c r="K48" s="95"/>
      <c r="L48" s="51"/>
      <c r="M48" s="15"/>
    </row>
    <row r="49" spans="1:16" ht="18">
      <c r="A49" s="50"/>
      <c r="B49" s="50"/>
      <c r="C49" s="50" t="s">
        <v>123</v>
      </c>
      <c r="D49" s="156">
        <f>'Timing Assumptions'!C26</f>
        <v>1.0428084742793051</v>
      </c>
      <c r="E49" s="50"/>
      <c r="F49" s="50"/>
      <c r="G49" s="51"/>
      <c r="H49" s="51"/>
      <c r="I49" s="51"/>
      <c r="J49" s="51"/>
      <c r="K49" s="95"/>
      <c r="L49" s="51"/>
      <c r="M49" s="15"/>
    </row>
    <row r="50" spans="1:16" ht="18">
      <c r="A50" s="50"/>
      <c r="B50" s="50"/>
      <c r="C50" s="50" t="s">
        <v>72</v>
      </c>
      <c r="D50" s="156">
        <f>'Timing Assumptions'!C27</f>
        <v>1.0346743941931567</v>
      </c>
      <c r="E50" s="51"/>
      <c r="F50" s="51"/>
      <c r="G50" s="51"/>
      <c r="H50" s="51"/>
      <c r="I50" s="50"/>
      <c r="J50" s="50"/>
      <c r="K50" s="95"/>
      <c r="L50" s="51"/>
      <c r="M50" s="15"/>
    </row>
    <row r="51" spans="1:16">
      <c r="A51" s="50"/>
      <c r="B51" s="50"/>
      <c r="C51" s="50"/>
      <c r="D51" s="50"/>
      <c r="E51" s="50"/>
      <c r="F51" s="50"/>
      <c r="G51" s="50"/>
      <c r="H51" s="50"/>
      <c r="I51" s="50"/>
      <c r="J51" s="50"/>
      <c r="K51" s="95"/>
      <c r="L51" s="27"/>
      <c r="M51" s="15"/>
    </row>
    <row r="52" spans="1:16" ht="21">
      <c r="A52" s="50"/>
      <c r="B52" s="50"/>
      <c r="C52" s="155" t="s">
        <v>105</v>
      </c>
      <c r="D52" s="155"/>
      <c r="E52" s="155"/>
      <c r="F52" s="155"/>
      <c r="G52" s="155"/>
      <c r="H52" s="155"/>
      <c r="I52" s="155"/>
      <c r="J52" s="155"/>
      <c r="K52" s="155"/>
      <c r="L52" s="157"/>
      <c r="M52" s="52"/>
      <c r="N52" s="2"/>
      <c r="O52" s="2"/>
      <c r="P52" s="2"/>
    </row>
    <row r="53" spans="1:16" ht="15.75">
      <c r="A53" s="50"/>
      <c r="B53" s="50"/>
      <c r="C53" s="158" t="s">
        <v>37</v>
      </c>
      <c r="D53" s="50"/>
      <c r="E53" s="159">
        <f>Inputs!D12</f>
        <v>0.3</v>
      </c>
      <c r="F53" s="159">
        <f>Inputs!E12</f>
        <v>0.3</v>
      </c>
      <c r="G53" s="159">
        <f>Inputs!F12</f>
        <v>0.28000000000000003</v>
      </c>
      <c r="H53" s="159">
        <f>Inputs!G12</f>
        <v>0.28000000000000003</v>
      </c>
      <c r="I53" s="159">
        <f>Inputs!H12</f>
        <v>0.28000000000000003</v>
      </c>
      <c r="J53" s="159">
        <f>Inputs!I12</f>
        <v>0.28000000000000003</v>
      </c>
      <c r="K53" s="95"/>
      <c r="L53" s="50"/>
      <c r="M53" s="15"/>
    </row>
    <row r="54" spans="1:16">
      <c r="A54" s="50"/>
      <c r="B54" s="50"/>
      <c r="C54" s="50" t="s">
        <v>38</v>
      </c>
      <c r="D54" s="50"/>
      <c r="E54" s="160">
        <f>E11/E14</f>
        <v>24.958858102434927</v>
      </c>
      <c r="F54" s="161">
        <f>E54-1</f>
        <v>23.958858102434927</v>
      </c>
      <c r="G54" s="161">
        <f>F54-1</f>
        <v>22.958858102434927</v>
      </c>
      <c r="H54" s="161">
        <f>G54-1</f>
        <v>21.958858102434927</v>
      </c>
      <c r="I54" s="161">
        <f>H54-1</f>
        <v>20.958858102434927</v>
      </c>
      <c r="J54" s="161">
        <f>I54-1</f>
        <v>19.958858102434927</v>
      </c>
      <c r="K54" s="95"/>
      <c r="L54" s="50"/>
      <c r="M54" s="15"/>
    </row>
    <row r="55" spans="1:16">
      <c r="A55" s="50"/>
      <c r="B55" s="50"/>
      <c r="C55" s="50" t="s">
        <v>159</v>
      </c>
      <c r="D55" s="50"/>
      <c r="E55" s="156"/>
      <c r="F55" s="49">
        <f>F34</f>
        <v>4.4667274384685429E-2</v>
      </c>
      <c r="G55" s="49">
        <f>G34</f>
        <v>1.5706806282722585E-2</v>
      </c>
      <c r="H55" s="49">
        <f>H34</f>
        <v>1.8041237113401998E-2</v>
      </c>
      <c r="I55" s="49">
        <f>I34</f>
        <v>1.7721518987341867E-2</v>
      </c>
      <c r="J55" s="49">
        <f>J34</f>
        <v>2.3217247097844007E-2</v>
      </c>
      <c r="K55" s="95"/>
      <c r="L55" s="50"/>
      <c r="M55" s="15"/>
    </row>
    <row r="56" spans="1:16">
      <c r="A56" s="50"/>
      <c r="B56" s="50"/>
      <c r="C56" s="50" t="s">
        <v>40</v>
      </c>
      <c r="D56" s="50"/>
      <c r="E56" s="129">
        <f>E15</f>
        <v>25</v>
      </c>
      <c r="F56" s="32">
        <f>E56*(1+F55)</f>
        <v>26.116681859617135</v>
      </c>
      <c r="G56" s="32">
        <f>F56*(1+G55)</f>
        <v>26.526891522333635</v>
      </c>
      <c r="H56" s="32">
        <f>G56*(1+H55)</f>
        <v>27.00546946216955</v>
      </c>
      <c r="I56" s="32">
        <f>H56*(1+I55)</f>
        <v>27.484047402005469</v>
      </c>
      <c r="J56" s="32">
        <f>I56*(1+J55)</f>
        <v>28.122151321786689</v>
      </c>
      <c r="K56" s="95"/>
      <c r="L56" s="50"/>
      <c r="M56" s="15"/>
    </row>
    <row r="57" spans="1:16">
      <c r="A57" s="50"/>
      <c r="B57" s="50"/>
      <c r="C57" s="50"/>
      <c r="D57" s="122"/>
      <c r="E57" s="50"/>
      <c r="F57" s="50"/>
      <c r="G57" s="50"/>
      <c r="H57" s="50"/>
      <c r="I57" s="50"/>
      <c r="J57" s="50"/>
      <c r="K57" s="95"/>
      <c r="L57" s="27"/>
      <c r="M57" s="15"/>
    </row>
    <row r="58" spans="1:16" ht="15.75">
      <c r="A58" s="50"/>
      <c r="B58" s="50"/>
      <c r="C58" s="162" t="s">
        <v>89</v>
      </c>
      <c r="D58" s="32"/>
      <c r="E58" s="163" t="str">
        <f>Inputs!D11</f>
        <v>2009/10</v>
      </c>
      <c r="F58" s="163" t="str">
        <f>Inputs!E11</f>
        <v>2010/11</v>
      </c>
      <c r="G58" s="163" t="str">
        <f>Inputs!F11</f>
        <v>2011/12</v>
      </c>
      <c r="H58" s="163" t="str">
        <f>Inputs!G11</f>
        <v>2012/13</v>
      </c>
      <c r="I58" s="163" t="str">
        <f>Inputs!H11</f>
        <v>2013/14</v>
      </c>
      <c r="J58" s="163" t="str">
        <f>Inputs!I11</f>
        <v>2014/15</v>
      </c>
      <c r="K58" s="95"/>
      <c r="L58" s="27"/>
      <c r="M58" s="15"/>
    </row>
    <row r="59" spans="1:16">
      <c r="A59" s="50"/>
      <c r="B59" s="50"/>
      <c r="C59" s="50" t="s">
        <v>110</v>
      </c>
      <c r="D59" s="50"/>
      <c r="E59" s="129">
        <f>E11</f>
        <v>59452</v>
      </c>
      <c r="F59" s="32">
        <f>E65</f>
        <v>58068.131418418474</v>
      </c>
      <c r="G59" s="32">
        <f>F65</f>
        <v>56767.144610924661</v>
      </c>
      <c r="H59" s="32">
        <f>G65</f>
        <v>55647.736293257076</v>
      </c>
      <c r="I59" s="32">
        <f>H65</f>
        <v>54358.6146736023</v>
      </c>
      <c r="J59" s="32">
        <f>I65</f>
        <v>52901.597648835217</v>
      </c>
      <c r="K59" s="95"/>
      <c r="L59" s="50"/>
      <c r="M59" s="15"/>
    </row>
    <row r="60" spans="1:16">
      <c r="A60" s="50"/>
      <c r="B60" s="50"/>
      <c r="C60" s="50" t="s">
        <v>40</v>
      </c>
      <c r="D60" s="32"/>
      <c r="E60" s="32">
        <f t="shared" ref="E60:J60" si="3">E56</f>
        <v>25</v>
      </c>
      <c r="F60" s="32">
        <f t="shared" si="3"/>
        <v>26.116681859617135</v>
      </c>
      <c r="G60" s="32">
        <f t="shared" si="3"/>
        <v>26.526891522333635</v>
      </c>
      <c r="H60" s="32">
        <f t="shared" si="3"/>
        <v>27.00546946216955</v>
      </c>
      <c r="I60" s="32">
        <f t="shared" si="3"/>
        <v>27.484047402005469</v>
      </c>
      <c r="J60" s="32">
        <f t="shared" si="3"/>
        <v>28.122151321786689</v>
      </c>
      <c r="K60" s="95"/>
      <c r="L60" s="50"/>
      <c r="M60" s="15"/>
    </row>
    <row r="61" spans="1:16">
      <c r="A61" s="50"/>
      <c r="B61" s="50"/>
      <c r="C61" s="50" t="s">
        <v>312</v>
      </c>
      <c r="D61" s="32"/>
      <c r="E61" s="32">
        <f>Inv!E12</f>
        <v>0</v>
      </c>
      <c r="F61" s="95"/>
      <c r="G61" s="95"/>
      <c r="H61" s="95"/>
      <c r="I61" s="95"/>
      <c r="J61" s="95"/>
      <c r="K61" s="95"/>
      <c r="L61" s="50"/>
      <c r="M61" s="15"/>
    </row>
    <row r="62" spans="1:16">
      <c r="A62" s="50"/>
      <c r="B62" s="50"/>
      <c r="C62" s="50" t="s">
        <v>313</v>
      </c>
      <c r="D62" s="32"/>
      <c r="E62" s="32">
        <f>Inv!E13</f>
        <v>0</v>
      </c>
      <c r="F62" s="95"/>
      <c r="G62" s="95"/>
      <c r="H62" s="95"/>
      <c r="I62" s="95"/>
      <c r="J62" s="95"/>
      <c r="K62" s="95"/>
      <c r="L62" s="50"/>
      <c r="M62" s="15"/>
    </row>
    <row r="63" spans="1:16">
      <c r="A63" s="50"/>
      <c r="B63" s="50"/>
      <c r="C63" s="50" t="s">
        <v>41</v>
      </c>
      <c r="D63" s="50"/>
      <c r="E63" s="32">
        <f t="shared" ref="E63:J63" si="4">(E59*0.999-E60)*E41</f>
        <v>1023.1314184184723</v>
      </c>
      <c r="F63" s="32">
        <f t="shared" si="4"/>
        <v>1148.7900993294097</v>
      </c>
      <c r="G63" s="32">
        <f t="shared" si="4"/>
        <v>1379.6781566374887</v>
      </c>
      <c r="H63" s="32">
        <f t="shared" si="4"/>
        <v>1272.0655469461249</v>
      </c>
      <c r="I63" s="32">
        <f t="shared" si="4"/>
        <v>1164.0536774005743</v>
      </c>
      <c r="J63" s="32">
        <f t="shared" si="4"/>
        <v>1056.4114779972926</v>
      </c>
      <c r="K63" s="95"/>
      <c r="L63" s="50"/>
      <c r="M63" s="15"/>
    </row>
    <row r="64" spans="1:16">
      <c r="A64" s="50"/>
      <c r="B64" s="50"/>
      <c r="C64" s="50" t="s">
        <v>42</v>
      </c>
      <c r="D64" s="50"/>
      <c r="E64" s="129">
        <f>E14</f>
        <v>2382</v>
      </c>
      <c r="F64" s="32">
        <f>F59/F54</f>
        <v>2423.660224963603</v>
      </c>
      <c r="G64" s="32">
        <f>G59/G54</f>
        <v>2472.559582782741</v>
      </c>
      <c r="H64" s="32">
        <f>H59/H54</f>
        <v>2534.1816971387289</v>
      </c>
      <c r="I64" s="32">
        <f>I59/I54</f>
        <v>2593.5866547656574</v>
      </c>
      <c r="J64" s="32">
        <f>J59/J54</f>
        <v>2650.5322788171616</v>
      </c>
      <c r="K64" s="95"/>
      <c r="L64" s="50"/>
      <c r="M64" s="15"/>
    </row>
    <row r="65" spans="1:13">
      <c r="A65" s="50"/>
      <c r="B65" s="50"/>
      <c r="C65" s="50" t="s">
        <v>43</v>
      </c>
      <c r="D65" s="50"/>
      <c r="E65" s="129">
        <f>E59-E60-E61+E62+E63-E64</f>
        <v>58068.131418418474</v>
      </c>
      <c r="F65" s="32">
        <f>F59-F60+F63-F64</f>
        <v>56767.144610924661</v>
      </c>
      <c r="G65" s="32">
        <f>G59-G60+G63-G64</f>
        <v>55647.736293257076</v>
      </c>
      <c r="H65" s="32">
        <f>H59-H60+H63-H64</f>
        <v>54358.6146736023</v>
      </c>
      <c r="I65" s="32">
        <f>I59-I60+I63-I64</f>
        <v>52901.597648835217</v>
      </c>
      <c r="J65" s="32">
        <f>J59-J60+J63-J64</f>
        <v>51279.354696693561</v>
      </c>
      <c r="K65" s="95"/>
      <c r="L65" s="50"/>
      <c r="M65" s="15"/>
    </row>
    <row r="66" spans="1:13">
      <c r="A66" s="50"/>
      <c r="B66" s="50"/>
      <c r="C66" s="50"/>
      <c r="D66" s="50"/>
      <c r="E66" s="50"/>
      <c r="F66" s="50"/>
      <c r="G66" s="50"/>
      <c r="H66" s="50"/>
      <c r="I66" s="50"/>
      <c r="J66" s="50"/>
      <c r="K66" s="95"/>
      <c r="L66" s="27"/>
      <c r="M66" s="15"/>
    </row>
    <row r="67" spans="1:13" ht="15.75">
      <c r="A67" s="50"/>
      <c r="B67" s="50"/>
      <c r="C67" s="162" t="s">
        <v>67</v>
      </c>
      <c r="D67" s="50"/>
      <c r="E67" s="162" t="str">
        <f>Inputs!D$11</f>
        <v>2009/10</v>
      </c>
      <c r="F67" s="162" t="str">
        <f>Inputs!E$11</f>
        <v>2010/11</v>
      </c>
      <c r="G67" s="162" t="str">
        <f>Inputs!F$11</f>
        <v>2011/12</v>
      </c>
      <c r="H67" s="162" t="str">
        <f>Inputs!G$11</f>
        <v>2012/13</v>
      </c>
      <c r="I67" s="162" t="str">
        <f>Inputs!H$11</f>
        <v>2013/14</v>
      </c>
      <c r="J67" s="162" t="str">
        <f>Inputs!I$11</f>
        <v>2014/15</v>
      </c>
      <c r="K67" s="95"/>
      <c r="L67" s="27"/>
      <c r="M67" s="15"/>
    </row>
    <row r="68" spans="1:13">
      <c r="A68" s="50"/>
      <c r="B68" s="50"/>
      <c r="C68" s="164" t="s">
        <v>60</v>
      </c>
      <c r="D68" s="50"/>
      <c r="E68" s="192">
        <v>1</v>
      </c>
      <c r="F68" s="164">
        <f>E68+1</f>
        <v>2</v>
      </c>
      <c r="G68" s="164">
        <f>F68+1</f>
        <v>3</v>
      </c>
      <c r="H68" s="164">
        <f>G68+1</f>
        <v>4</v>
      </c>
      <c r="I68" s="164">
        <f>H68+1</f>
        <v>5</v>
      </c>
      <c r="J68" s="164">
        <f>I68+1</f>
        <v>6</v>
      </c>
      <c r="K68" s="95"/>
      <c r="L68" s="27"/>
      <c r="M68" s="15"/>
    </row>
    <row r="69" spans="1:13">
      <c r="A69" s="50"/>
      <c r="B69" s="50"/>
      <c r="C69" s="50" t="s">
        <v>39</v>
      </c>
      <c r="D69" s="32"/>
      <c r="E69" s="32">
        <f t="shared" ref="E69:J69" si="5">E$29</f>
        <v>2987</v>
      </c>
      <c r="F69" s="32">
        <f t="shared" si="5"/>
        <v>4091.6191989586155</v>
      </c>
      <c r="G69" s="32">
        <f t="shared" si="5"/>
        <v>3617.957498056554</v>
      </c>
      <c r="H69" s="32">
        <f t="shared" si="5"/>
        <v>3552.4395536617048</v>
      </c>
      <c r="I69" s="32">
        <f t="shared" si="5"/>
        <v>3197.2877557338447</v>
      </c>
      <c r="J69" s="32">
        <f t="shared" si="5"/>
        <v>3223.4869778450902</v>
      </c>
      <c r="K69" s="95"/>
      <c r="L69" s="50"/>
      <c r="M69" s="15"/>
    </row>
    <row r="70" spans="1:13">
      <c r="A70" s="50">
        <v>1</v>
      </c>
      <c r="B70" s="50"/>
      <c r="C70" s="50" t="s">
        <v>254</v>
      </c>
      <c r="D70" s="50"/>
      <c r="E70" s="129">
        <v>0</v>
      </c>
      <c r="F70" s="32">
        <f t="shared" ref="F70:J75" si="6">E94</f>
        <v>2987</v>
      </c>
      <c r="G70" s="32">
        <f t="shared" si="6"/>
        <v>2979.8012920786496</v>
      </c>
      <c r="H70" s="32">
        <f t="shared" si="6"/>
        <v>2984.6065431907236</v>
      </c>
      <c r="I70" s="32">
        <f t="shared" si="6"/>
        <v>2983.5244436449811</v>
      </c>
      <c r="J70" s="32">
        <f t="shared" si="6"/>
        <v>2976.4746828879584</v>
      </c>
      <c r="K70" s="95"/>
      <c r="L70" s="50"/>
      <c r="M70" s="15"/>
    </row>
    <row r="71" spans="1:13">
      <c r="A71" s="50">
        <v>2</v>
      </c>
      <c r="B71" s="50"/>
      <c r="C71" s="50" t="s">
        <v>255</v>
      </c>
      <c r="D71" s="50"/>
      <c r="E71" s="129">
        <v>0</v>
      </c>
      <c r="F71" s="32">
        <f t="shared" si="6"/>
        <v>0</v>
      </c>
      <c r="G71" s="32">
        <f t="shared" si="6"/>
        <v>4091.6191989586155</v>
      </c>
      <c r="H71" s="32">
        <f t="shared" si="6"/>
        <v>4100.283850756593</v>
      </c>
      <c r="I71" s="32">
        <f t="shared" si="6"/>
        <v>4100.9644200772</v>
      </c>
      <c r="J71" s="32">
        <f t="shared" si="6"/>
        <v>4093.5450082458501</v>
      </c>
      <c r="K71" s="95"/>
      <c r="L71" s="50"/>
      <c r="M71" s="15"/>
    </row>
    <row r="72" spans="1:13">
      <c r="A72" s="50">
        <v>3</v>
      </c>
      <c r="B72" s="50"/>
      <c r="C72" s="50" t="s">
        <v>256</v>
      </c>
      <c r="D72" s="50"/>
      <c r="E72" s="129">
        <v>0</v>
      </c>
      <c r="F72" s="32">
        <f t="shared" si="6"/>
        <v>0</v>
      </c>
      <c r="G72" s="32">
        <f t="shared" si="6"/>
        <v>0</v>
      </c>
      <c r="H72" s="32">
        <f t="shared" si="6"/>
        <v>3617.957498056554</v>
      </c>
      <c r="I72" s="32">
        <f t="shared" si="6"/>
        <v>3620.3852616158983</v>
      </c>
      <c r="J72" s="32">
        <f t="shared" si="6"/>
        <v>3615.7488302529782</v>
      </c>
      <c r="K72" s="95"/>
      <c r="L72" s="50"/>
      <c r="M72" s="15"/>
    </row>
    <row r="73" spans="1:13">
      <c r="A73" s="50">
        <v>4</v>
      </c>
      <c r="B73" s="50"/>
      <c r="C73" s="50" t="s">
        <v>257</v>
      </c>
      <c r="D73" s="50"/>
      <c r="E73" s="129">
        <v>0</v>
      </c>
      <c r="F73" s="32">
        <f t="shared" si="6"/>
        <v>0</v>
      </c>
      <c r="G73" s="32">
        <f t="shared" si="6"/>
        <v>0</v>
      </c>
      <c r="H73" s="32">
        <f t="shared" si="6"/>
        <v>0</v>
      </c>
      <c r="I73" s="32">
        <f t="shared" si="6"/>
        <v>3552.4395536617048</v>
      </c>
      <c r="J73" s="32">
        <f t="shared" si="6"/>
        <v>3549.6842980784822</v>
      </c>
      <c r="K73" s="95"/>
      <c r="L73" s="50"/>
      <c r="M73" s="15"/>
    </row>
    <row r="74" spans="1:13">
      <c r="A74" s="50">
        <v>5</v>
      </c>
      <c r="B74" s="50"/>
      <c r="C74" s="50" t="s">
        <v>258</v>
      </c>
      <c r="D74" s="50"/>
      <c r="E74" s="129">
        <v>0</v>
      </c>
      <c r="F74" s="32">
        <f t="shared" si="6"/>
        <v>0</v>
      </c>
      <c r="G74" s="32">
        <f t="shared" si="6"/>
        <v>0</v>
      </c>
      <c r="H74" s="32">
        <f t="shared" si="6"/>
        <v>0</v>
      </c>
      <c r="I74" s="32">
        <f t="shared" si="6"/>
        <v>0</v>
      </c>
      <c r="J74" s="32">
        <f t="shared" si="6"/>
        <v>3197.2877557338447</v>
      </c>
      <c r="K74" s="95"/>
      <c r="L74" s="50"/>
      <c r="M74" s="15"/>
    </row>
    <row r="75" spans="1:13">
      <c r="A75" s="50">
        <v>6</v>
      </c>
      <c r="B75" s="50"/>
      <c r="C75" s="50" t="s">
        <v>259</v>
      </c>
      <c r="D75" s="50"/>
      <c r="E75" s="129">
        <v>0</v>
      </c>
      <c r="F75" s="32">
        <f t="shared" si="6"/>
        <v>0</v>
      </c>
      <c r="G75" s="32">
        <f t="shared" si="6"/>
        <v>0</v>
      </c>
      <c r="H75" s="32">
        <f t="shared" si="6"/>
        <v>0</v>
      </c>
      <c r="I75" s="32">
        <f t="shared" si="6"/>
        <v>0</v>
      </c>
      <c r="J75" s="32">
        <f t="shared" si="6"/>
        <v>0</v>
      </c>
      <c r="K75" s="95"/>
      <c r="L75" s="50"/>
      <c r="M75" s="15"/>
    </row>
    <row r="76" spans="1:13">
      <c r="A76" s="50">
        <v>1</v>
      </c>
      <c r="B76" s="50"/>
      <c r="C76" s="50" t="s">
        <v>236</v>
      </c>
      <c r="D76" s="50"/>
      <c r="E76" s="129">
        <f>Inputs!$C$7+$A76</f>
        <v>46</v>
      </c>
      <c r="F76" s="32">
        <f t="shared" ref="F76:J81" si="7">E76-1</f>
        <v>45</v>
      </c>
      <c r="G76" s="32">
        <f t="shared" si="7"/>
        <v>44</v>
      </c>
      <c r="H76" s="32">
        <f t="shared" si="7"/>
        <v>43</v>
      </c>
      <c r="I76" s="32">
        <f t="shared" si="7"/>
        <v>42</v>
      </c>
      <c r="J76" s="32">
        <f t="shared" si="7"/>
        <v>41</v>
      </c>
      <c r="K76" s="95"/>
      <c r="L76" s="50"/>
      <c r="M76" s="15"/>
    </row>
    <row r="77" spans="1:13">
      <c r="A77" s="50">
        <v>2</v>
      </c>
      <c r="B77" s="50"/>
      <c r="C77" s="50" t="s">
        <v>237</v>
      </c>
      <c r="D77" s="50"/>
      <c r="E77" s="129">
        <f>Inputs!$C$7+$A77</f>
        <v>47</v>
      </c>
      <c r="F77" s="32">
        <f t="shared" si="7"/>
        <v>46</v>
      </c>
      <c r="G77" s="32">
        <f t="shared" si="7"/>
        <v>45</v>
      </c>
      <c r="H77" s="32">
        <f t="shared" si="7"/>
        <v>44</v>
      </c>
      <c r="I77" s="32">
        <f t="shared" si="7"/>
        <v>43</v>
      </c>
      <c r="J77" s="32">
        <f t="shared" si="7"/>
        <v>42</v>
      </c>
      <c r="K77" s="95"/>
      <c r="L77" s="50"/>
      <c r="M77" s="15"/>
    </row>
    <row r="78" spans="1:13">
      <c r="A78" s="50">
        <v>3</v>
      </c>
      <c r="B78" s="50"/>
      <c r="C78" s="50" t="s">
        <v>238</v>
      </c>
      <c r="D78" s="50"/>
      <c r="E78" s="129">
        <f>Inputs!$C$7+$A78</f>
        <v>48</v>
      </c>
      <c r="F78" s="32">
        <f t="shared" si="7"/>
        <v>47</v>
      </c>
      <c r="G78" s="32">
        <f t="shared" si="7"/>
        <v>46</v>
      </c>
      <c r="H78" s="32">
        <f t="shared" si="7"/>
        <v>45</v>
      </c>
      <c r="I78" s="32">
        <f t="shared" si="7"/>
        <v>44</v>
      </c>
      <c r="J78" s="32">
        <f t="shared" si="7"/>
        <v>43</v>
      </c>
      <c r="K78" s="95"/>
      <c r="L78" s="50"/>
      <c r="M78" s="15"/>
    </row>
    <row r="79" spans="1:13">
      <c r="A79" s="50">
        <v>4</v>
      </c>
      <c r="B79" s="50"/>
      <c r="C79" s="50" t="s">
        <v>239</v>
      </c>
      <c r="D79" s="50"/>
      <c r="E79" s="129">
        <f>Inputs!$C$7+$A79</f>
        <v>49</v>
      </c>
      <c r="F79" s="32">
        <f t="shared" si="7"/>
        <v>48</v>
      </c>
      <c r="G79" s="32">
        <f t="shared" si="7"/>
        <v>47</v>
      </c>
      <c r="H79" s="32">
        <f t="shared" si="7"/>
        <v>46</v>
      </c>
      <c r="I79" s="32">
        <f t="shared" si="7"/>
        <v>45</v>
      </c>
      <c r="J79" s="32">
        <f t="shared" si="7"/>
        <v>44</v>
      </c>
      <c r="K79" s="95"/>
      <c r="L79" s="50"/>
      <c r="M79" s="15"/>
    </row>
    <row r="80" spans="1:13">
      <c r="A80" s="50">
        <v>5</v>
      </c>
      <c r="B80" s="50"/>
      <c r="C80" s="50" t="s">
        <v>240</v>
      </c>
      <c r="D80" s="50"/>
      <c r="E80" s="129">
        <f>Inputs!$C$7+$A80</f>
        <v>50</v>
      </c>
      <c r="F80" s="32">
        <f t="shared" si="7"/>
        <v>49</v>
      </c>
      <c r="G80" s="32">
        <f t="shared" si="7"/>
        <v>48</v>
      </c>
      <c r="H80" s="32">
        <f t="shared" si="7"/>
        <v>47</v>
      </c>
      <c r="I80" s="32">
        <f t="shared" si="7"/>
        <v>46</v>
      </c>
      <c r="J80" s="32">
        <f t="shared" si="7"/>
        <v>45</v>
      </c>
      <c r="K80" s="95"/>
      <c r="L80" s="50"/>
      <c r="M80" s="15"/>
    </row>
    <row r="81" spans="1:13">
      <c r="A81" s="50">
        <v>6</v>
      </c>
      <c r="B81" s="50"/>
      <c r="C81" s="50" t="s">
        <v>241</v>
      </c>
      <c r="D81" s="50"/>
      <c r="E81" s="129">
        <f>Inputs!$C$7+$A81</f>
        <v>51</v>
      </c>
      <c r="F81" s="32">
        <f t="shared" si="7"/>
        <v>50</v>
      </c>
      <c r="G81" s="32">
        <f t="shared" si="7"/>
        <v>49</v>
      </c>
      <c r="H81" s="32">
        <f t="shared" si="7"/>
        <v>48</v>
      </c>
      <c r="I81" s="32">
        <f t="shared" si="7"/>
        <v>47</v>
      </c>
      <c r="J81" s="32">
        <f t="shared" si="7"/>
        <v>46</v>
      </c>
      <c r="K81" s="95"/>
      <c r="L81" s="50"/>
      <c r="M81" s="15"/>
    </row>
    <row r="82" spans="1:13">
      <c r="A82" s="50">
        <v>1</v>
      </c>
      <c r="B82" s="50"/>
      <c r="C82" s="50" t="s">
        <v>260</v>
      </c>
      <c r="D82" s="50"/>
      <c r="E82" s="32">
        <f t="shared" ref="E82:J87" si="8">E70*E$41</f>
        <v>0</v>
      </c>
      <c r="F82" s="32">
        <f t="shared" si="8"/>
        <v>59.179069856427127</v>
      </c>
      <c r="G82" s="32">
        <f t="shared" si="8"/>
        <v>72.5280077502252</v>
      </c>
      <c r="H82" s="32">
        <f t="shared" si="8"/>
        <v>68.327354947065146</v>
      </c>
      <c r="I82" s="32">
        <f t="shared" si="8"/>
        <v>63.986535520238562</v>
      </c>
      <c r="J82" s="32">
        <f t="shared" si="8"/>
        <v>59.529493657759218</v>
      </c>
      <c r="K82" s="95"/>
      <c r="L82" s="50"/>
      <c r="M82" s="15"/>
    </row>
    <row r="83" spans="1:13">
      <c r="A83" s="50">
        <v>2</v>
      </c>
      <c r="B83" s="50"/>
      <c r="C83" s="50" t="s">
        <v>261</v>
      </c>
      <c r="D83" s="50"/>
      <c r="E83" s="32">
        <f t="shared" si="8"/>
        <v>0</v>
      </c>
      <c r="F83" s="32">
        <f t="shared" si="8"/>
        <v>0</v>
      </c>
      <c r="G83" s="32">
        <f t="shared" si="8"/>
        <v>99.589522885946863</v>
      </c>
      <c r="H83" s="32">
        <f t="shared" si="8"/>
        <v>93.868838655984206</v>
      </c>
      <c r="I83" s="32">
        <f t="shared" si="8"/>
        <v>87.951853751840375</v>
      </c>
      <c r="J83" s="32">
        <f t="shared" si="8"/>
        <v>81.870900164917074</v>
      </c>
      <c r="K83" s="95"/>
      <c r="L83" s="50"/>
      <c r="M83" s="15"/>
    </row>
    <row r="84" spans="1:13">
      <c r="A84" s="50">
        <v>3</v>
      </c>
      <c r="B84" s="50"/>
      <c r="C84" s="50" t="s">
        <v>262</v>
      </c>
      <c r="D84" s="50"/>
      <c r="E84" s="32">
        <f t="shared" si="8"/>
        <v>0</v>
      </c>
      <c r="F84" s="32">
        <f t="shared" si="8"/>
        <v>0</v>
      </c>
      <c r="G84" s="32">
        <f t="shared" si="8"/>
        <v>0</v>
      </c>
      <c r="H84" s="32">
        <f t="shared" si="8"/>
        <v>82.826819071712009</v>
      </c>
      <c r="I84" s="32">
        <f t="shared" si="8"/>
        <v>77.64505185562318</v>
      </c>
      <c r="J84" s="32">
        <f t="shared" si="8"/>
        <v>72.314976605059627</v>
      </c>
      <c r="K84" s="95"/>
      <c r="L84" s="50"/>
      <c r="M84" s="15"/>
    </row>
    <row r="85" spans="1:13">
      <c r="A85" s="50">
        <v>4</v>
      </c>
      <c r="B85" s="50"/>
      <c r="C85" s="50" t="s">
        <v>263</v>
      </c>
      <c r="D85" s="50"/>
      <c r="E85" s="32">
        <f t="shared" si="8"/>
        <v>0</v>
      </c>
      <c r="F85" s="32">
        <f t="shared" si="8"/>
        <v>0</v>
      </c>
      <c r="G85" s="32">
        <f t="shared" si="8"/>
        <v>0</v>
      </c>
      <c r="H85" s="32">
        <f t="shared" si="8"/>
        <v>0</v>
      </c>
      <c r="I85" s="32">
        <f t="shared" si="8"/>
        <v>76.187845609259313</v>
      </c>
      <c r="J85" s="32">
        <f t="shared" si="8"/>
        <v>70.99368596156971</v>
      </c>
      <c r="K85" s="95"/>
      <c r="L85" s="50"/>
      <c r="M85" s="15"/>
    </row>
    <row r="86" spans="1:13">
      <c r="A86" s="50">
        <v>5</v>
      </c>
      <c r="B86" s="50"/>
      <c r="C86" s="50" t="s">
        <v>264</v>
      </c>
      <c r="D86" s="50"/>
      <c r="E86" s="32">
        <f t="shared" si="8"/>
        <v>0</v>
      </c>
      <c r="F86" s="32">
        <f t="shared" si="8"/>
        <v>0</v>
      </c>
      <c r="G86" s="32">
        <f t="shared" si="8"/>
        <v>0</v>
      </c>
      <c r="H86" s="32">
        <f t="shared" si="8"/>
        <v>0</v>
      </c>
      <c r="I86" s="32">
        <f t="shared" si="8"/>
        <v>0</v>
      </c>
      <c r="J86" s="32">
        <f t="shared" si="8"/>
        <v>63.945755114676949</v>
      </c>
      <c r="K86" s="95"/>
      <c r="L86" s="50"/>
      <c r="M86" s="15"/>
    </row>
    <row r="87" spans="1:13">
      <c r="A87" s="50">
        <v>6</v>
      </c>
      <c r="B87" s="50"/>
      <c r="C87" s="50" t="s">
        <v>265</v>
      </c>
      <c r="D87" s="50"/>
      <c r="E87" s="32">
        <f t="shared" si="8"/>
        <v>0</v>
      </c>
      <c r="F87" s="32">
        <f t="shared" si="8"/>
        <v>0</v>
      </c>
      <c r="G87" s="32">
        <f t="shared" si="8"/>
        <v>0</v>
      </c>
      <c r="H87" s="32">
        <f t="shared" si="8"/>
        <v>0</v>
      </c>
      <c r="I87" s="32">
        <f t="shared" si="8"/>
        <v>0</v>
      </c>
      <c r="J87" s="32">
        <f t="shared" si="8"/>
        <v>0</v>
      </c>
      <c r="K87" s="95"/>
      <c r="L87" s="50"/>
      <c r="M87" s="15"/>
    </row>
    <row r="88" spans="1:13">
      <c r="A88" s="50">
        <v>1</v>
      </c>
      <c r="B88" s="50"/>
      <c r="C88" s="50" t="s">
        <v>266</v>
      </c>
      <c r="D88" s="50"/>
      <c r="E88" s="32">
        <f t="shared" ref="E88:J93" si="9">E70/E76</f>
        <v>0</v>
      </c>
      <c r="F88" s="32">
        <f t="shared" si="9"/>
        <v>66.37777777777778</v>
      </c>
      <c r="G88" s="32">
        <f t="shared" si="9"/>
        <v>67.722756638151125</v>
      </c>
      <c r="H88" s="32">
        <f t="shared" si="9"/>
        <v>69.409454492807527</v>
      </c>
      <c r="I88" s="32">
        <f t="shared" si="9"/>
        <v>71.036296277261457</v>
      </c>
      <c r="J88" s="32">
        <f t="shared" si="9"/>
        <v>72.59694348507216</v>
      </c>
      <c r="K88" s="95"/>
      <c r="L88" s="50"/>
      <c r="M88" s="15"/>
    </row>
    <row r="89" spans="1:13">
      <c r="A89" s="50">
        <v>2</v>
      </c>
      <c r="B89" s="50"/>
      <c r="C89" s="50" t="s">
        <v>267</v>
      </c>
      <c r="D89" s="50"/>
      <c r="E89" s="32">
        <f t="shared" si="9"/>
        <v>0</v>
      </c>
      <c r="F89" s="32">
        <f t="shared" si="9"/>
        <v>0</v>
      </c>
      <c r="G89" s="32">
        <f t="shared" si="9"/>
        <v>90.924871087969237</v>
      </c>
      <c r="H89" s="32">
        <f t="shared" si="9"/>
        <v>93.188269335377115</v>
      </c>
      <c r="I89" s="32">
        <f t="shared" si="9"/>
        <v>95.371265583190691</v>
      </c>
      <c r="J89" s="32">
        <f t="shared" si="9"/>
        <v>97.465357339186909</v>
      </c>
      <c r="K89" s="95"/>
      <c r="L89" s="50"/>
      <c r="M89" s="15"/>
    </row>
    <row r="90" spans="1:13">
      <c r="A90" s="50">
        <v>3</v>
      </c>
      <c r="B90" s="50"/>
      <c r="C90" s="50" t="s">
        <v>268</v>
      </c>
      <c r="D90" s="50"/>
      <c r="E90" s="32">
        <f t="shared" si="9"/>
        <v>0</v>
      </c>
      <c r="F90" s="32">
        <f t="shared" si="9"/>
        <v>0</v>
      </c>
      <c r="G90" s="32">
        <f t="shared" si="9"/>
        <v>0</v>
      </c>
      <c r="H90" s="32">
        <f t="shared" si="9"/>
        <v>80.399055512367866</v>
      </c>
      <c r="I90" s="32">
        <f t="shared" si="9"/>
        <v>82.281483218543144</v>
      </c>
      <c r="J90" s="32">
        <f t="shared" si="9"/>
        <v>84.087182098906467</v>
      </c>
      <c r="K90" s="95"/>
      <c r="L90" s="50"/>
      <c r="M90" s="15"/>
    </row>
    <row r="91" spans="1:13">
      <c r="A91" s="50">
        <v>4</v>
      </c>
      <c r="B91" s="50"/>
      <c r="C91" s="50" t="s">
        <v>269</v>
      </c>
      <c r="D91" s="50"/>
      <c r="E91" s="32">
        <f t="shared" si="9"/>
        <v>0</v>
      </c>
      <c r="F91" s="32">
        <f t="shared" si="9"/>
        <v>0</v>
      </c>
      <c r="G91" s="32">
        <f t="shared" si="9"/>
        <v>0</v>
      </c>
      <c r="H91" s="32">
        <f t="shared" si="9"/>
        <v>0</v>
      </c>
      <c r="I91" s="32">
        <f t="shared" si="9"/>
        <v>78.943101192482331</v>
      </c>
      <c r="J91" s="32">
        <f t="shared" si="9"/>
        <v>80.674643138147317</v>
      </c>
      <c r="K91" s="95"/>
      <c r="L91" s="50"/>
      <c r="M91" s="15"/>
    </row>
    <row r="92" spans="1:13">
      <c r="A92" s="50">
        <v>5</v>
      </c>
      <c r="B92" s="50"/>
      <c r="C92" s="50" t="s">
        <v>270</v>
      </c>
      <c r="D92" s="50"/>
      <c r="E92" s="32">
        <f t="shared" si="9"/>
        <v>0</v>
      </c>
      <c r="F92" s="32">
        <f t="shared" si="9"/>
        <v>0</v>
      </c>
      <c r="G92" s="32">
        <f t="shared" si="9"/>
        <v>0</v>
      </c>
      <c r="H92" s="32">
        <f t="shared" si="9"/>
        <v>0</v>
      </c>
      <c r="I92" s="32">
        <f t="shared" si="9"/>
        <v>0</v>
      </c>
      <c r="J92" s="32">
        <f t="shared" si="9"/>
        <v>71.050839016307663</v>
      </c>
      <c r="K92" s="95"/>
      <c r="L92" s="50"/>
      <c r="M92" s="15"/>
    </row>
    <row r="93" spans="1:13">
      <c r="A93" s="50">
        <v>6</v>
      </c>
      <c r="B93" s="50"/>
      <c r="C93" s="50" t="s">
        <v>271</v>
      </c>
      <c r="D93" s="50"/>
      <c r="E93" s="32">
        <f t="shared" si="9"/>
        <v>0</v>
      </c>
      <c r="F93" s="32">
        <f t="shared" si="9"/>
        <v>0</v>
      </c>
      <c r="G93" s="32">
        <f t="shared" si="9"/>
        <v>0</v>
      </c>
      <c r="H93" s="32">
        <f t="shared" si="9"/>
        <v>0</v>
      </c>
      <c r="I93" s="32">
        <f t="shared" si="9"/>
        <v>0</v>
      </c>
      <c r="J93" s="32">
        <f t="shared" si="9"/>
        <v>0</v>
      </c>
      <c r="K93" s="95"/>
      <c r="L93" s="50"/>
      <c r="M93" s="15"/>
    </row>
    <row r="94" spans="1:13">
      <c r="A94" s="50">
        <v>1</v>
      </c>
      <c r="B94" s="50"/>
      <c r="C94" s="50" t="s">
        <v>272</v>
      </c>
      <c r="D94" s="50"/>
      <c r="E94" s="32">
        <f t="shared" ref="E94:J99" si="10">E70+E82-E88+IF($A94=E$68,E$69,0)</f>
        <v>2987</v>
      </c>
      <c r="F94" s="32">
        <f t="shared" si="10"/>
        <v>2979.8012920786496</v>
      </c>
      <c r="G94" s="32">
        <f t="shared" si="10"/>
        <v>2984.6065431907236</v>
      </c>
      <c r="H94" s="32">
        <f t="shared" si="10"/>
        <v>2983.5244436449811</v>
      </c>
      <c r="I94" s="32">
        <f t="shared" si="10"/>
        <v>2976.4746828879584</v>
      </c>
      <c r="J94" s="32">
        <f t="shared" si="10"/>
        <v>2963.4072330606455</v>
      </c>
      <c r="K94" s="95"/>
      <c r="L94" s="50"/>
      <c r="M94" s="15"/>
    </row>
    <row r="95" spans="1:13">
      <c r="A95" s="50">
        <v>2</v>
      </c>
      <c r="B95" s="50"/>
      <c r="C95" s="50" t="s">
        <v>273</v>
      </c>
      <c r="D95" s="50"/>
      <c r="E95" s="32">
        <f t="shared" si="10"/>
        <v>0</v>
      </c>
      <c r="F95" s="32">
        <f t="shared" si="10"/>
        <v>4091.6191989586155</v>
      </c>
      <c r="G95" s="32">
        <f t="shared" si="10"/>
        <v>4100.283850756593</v>
      </c>
      <c r="H95" s="32">
        <f t="shared" si="10"/>
        <v>4100.9644200772</v>
      </c>
      <c r="I95" s="32">
        <f t="shared" si="10"/>
        <v>4093.5450082458501</v>
      </c>
      <c r="J95" s="32">
        <f t="shared" si="10"/>
        <v>4077.9505510715799</v>
      </c>
      <c r="K95" s="95"/>
      <c r="L95" s="50"/>
      <c r="M95" s="15"/>
    </row>
    <row r="96" spans="1:13">
      <c r="A96" s="50">
        <v>3</v>
      </c>
      <c r="B96" s="50"/>
      <c r="C96" s="50" t="s">
        <v>274</v>
      </c>
      <c r="D96" s="50"/>
      <c r="E96" s="32">
        <f t="shared" si="10"/>
        <v>0</v>
      </c>
      <c r="F96" s="32">
        <f t="shared" si="10"/>
        <v>0</v>
      </c>
      <c r="G96" s="32">
        <f t="shared" si="10"/>
        <v>3617.957498056554</v>
      </c>
      <c r="H96" s="32">
        <f t="shared" si="10"/>
        <v>3620.3852616158983</v>
      </c>
      <c r="I96" s="32">
        <f t="shared" si="10"/>
        <v>3615.7488302529782</v>
      </c>
      <c r="J96" s="32">
        <f t="shared" si="10"/>
        <v>3603.9766247591315</v>
      </c>
      <c r="K96" s="95"/>
      <c r="L96" s="50"/>
      <c r="M96" s="15"/>
    </row>
    <row r="97" spans="1:13">
      <c r="A97" s="50">
        <v>4</v>
      </c>
      <c r="B97" s="50"/>
      <c r="C97" s="50" t="s">
        <v>275</v>
      </c>
      <c r="D97" s="50"/>
      <c r="E97" s="32">
        <f t="shared" si="10"/>
        <v>0</v>
      </c>
      <c r="F97" s="32">
        <f t="shared" si="10"/>
        <v>0</v>
      </c>
      <c r="G97" s="32">
        <f t="shared" si="10"/>
        <v>0</v>
      </c>
      <c r="H97" s="32">
        <f t="shared" si="10"/>
        <v>3552.4395536617048</v>
      </c>
      <c r="I97" s="32">
        <f t="shared" si="10"/>
        <v>3549.6842980784822</v>
      </c>
      <c r="J97" s="32">
        <f t="shared" si="10"/>
        <v>3540.0033409019043</v>
      </c>
      <c r="K97" s="95"/>
      <c r="L97" s="50"/>
      <c r="M97" s="15"/>
    </row>
    <row r="98" spans="1:13">
      <c r="A98" s="50">
        <v>5</v>
      </c>
      <c r="B98" s="50"/>
      <c r="C98" s="50" t="s">
        <v>276</v>
      </c>
      <c r="D98" s="50"/>
      <c r="E98" s="32">
        <f t="shared" si="10"/>
        <v>0</v>
      </c>
      <c r="F98" s="32">
        <f t="shared" si="10"/>
        <v>0</v>
      </c>
      <c r="G98" s="32">
        <f t="shared" si="10"/>
        <v>0</v>
      </c>
      <c r="H98" s="32">
        <f t="shared" si="10"/>
        <v>0</v>
      </c>
      <c r="I98" s="32">
        <f t="shared" si="10"/>
        <v>3197.2877557338447</v>
      </c>
      <c r="J98" s="32">
        <f t="shared" si="10"/>
        <v>3190.1826718322141</v>
      </c>
      <c r="K98" s="95"/>
      <c r="L98" s="50"/>
      <c r="M98" s="15"/>
    </row>
    <row r="99" spans="1:13">
      <c r="A99" s="50">
        <v>6</v>
      </c>
      <c r="B99" s="50"/>
      <c r="C99" s="50" t="s">
        <v>277</v>
      </c>
      <c r="D99" s="50"/>
      <c r="E99" s="32">
        <f t="shared" si="10"/>
        <v>0</v>
      </c>
      <c r="F99" s="32">
        <f t="shared" si="10"/>
        <v>0</v>
      </c>
      <c r="G99" s="32">
        <f t="shared" si="10"/>
        <v>0</v>
      </c>
      <c r="H99" s="32">
        <f t="shared" si="10"/>
        <v>0</v>
      </c>
      <c r="I99" s="32">
        <f t="shared" si="10"/>
        <v>0</v>
      </c>
      <c r="J99" s="32">
        <f t="shared" si="10"/>
        <v>3223.4869778450902</v>
      </c>
      <c r="K99" s="95"/>
      <c r="L99" s="50"/>
      <c r="M99" s="15"/>
    </row>
    <row r="100" spans="1:13">
      <c r="A100" s="50"/>
      <c r="B100" s="50"/>
      <c r="C100" s="50" t="s">
        <v>146</v>
      </c>
      <c r="D100" s="50"/>
      <c r="E100" s="32">
        <f t="shared" ref="E100:J100" si="11">SUM(E70:E75)</f>
        <v>0</v>
      </c>
      <c r="F100" s="32">
        <f t="shared" si="11"/>
        <v>2987</v>
      </c>
      <c r="G100" s="32">
        <f t="shared" si="11"/>
        <v>7071.4204910372646</v>
      </c>
      <c r="H100" s="32">
        <f t="shared" si="11"/>
        <v>10702.847892003871</v>
      </c>
      <c r="I100" s="32">
        <f t="shared" si="11"/>
        <v>14257.313678999784</v>
      </c>
      <c r="J100" s="32">
        <f t="shared" si="11"/>
        <v>17432.740575199114</v>
      </c>
      <c r="K100" s="95"/>
      <c r="L100" s="27"/>
      <c r="M100" s="15"/>
    </row>
    <row r="101" spans="1:13">
      <c r="A101" s="50"/>
      <c r="B101" s="50"/>
      <c r="C101" s="50" t="s">
        <v>147</v>
      </c>
      <c r="D101" s="50"/>
      <c r="E101" s="32">
        <f t="shared" ref="E101:J101" si="12">SUM(E82:E87)</f>
        <v>0</v>
      </c>
      <c r="F101" s="32">
        <f t="shared" si="12"/>
        <v>59.179069856427127</v>
      </c>
      <c r="G101" s="32">
        <f t="shared" si="12"/>
        <v>172.11753063617206</v>
      </c>
      <c r="H101" s="32">
        <f t="shared" si="12"/>
        <v>245.02301267476136</v>
      </c>
      <c r="I101" s="32">
        <f t="shared" si="12"/>
        <v>305.77128673696143</v>
      </c>
      <c r="J101" s="32">
        <f t="shared" si="12"/>
        <v>348.65481150398256</v>
      </c>
      <c r="K101" s="95"/>
      <c r="L101" s="27"/>
      <c r="M101" s="15"/>
    </row>
    <row r="102" spans="1:13">
      <c r="A102" s="50"/>
      <c r="B102" s="50"/>
      <c r="C102" s="50" t="s">
        <v>68</v>
      </c>
      <c r="D102" s="50"/>
      <c r="E102" s="32">
        <f t="shared" ref="E102:J102" si="13">SUM(E88:E93)</f>
        <v>0</v>
      </c>
      <c r="F102" s="32">
        <f t="shared" si="13"/>
        <v>66.37777777777778</v>
      </c>
      <c r="G102" s="32">
        <f t="shared" si="13"/>
        <v>158.64762772612036</v>
      </c>
      <c r="H102" s="32">
        <f t="shared" si="13"/>
        <v>242.99677934055251</v>
      </c>
      <c r="I102" s="32">
        <f t="shared" si="13"/>
        <v>327.63214627147761</v>
      </c>
      <c r="J102" s="32">
        <f t="shared" si="13"/>
        <v>405.87496507762046</v>
      </c>
      <c r="K102" s="95"/>
      <c r="L102" s="27"/>
      <c r="M102" s="15"/>
    </row>
    <row r="103" spans="1:13">
      <c r="A103" s="50"/>
      <c r="B103" s="50"/>
      <c r="C103" s="50" t="s">
        <v>148</v>
      </c>
      <c r="D103" s="50"/>
      <c r="E103" s="32">
        <f t="shared" ref="E103:J103" si="14">SUM(E94:E99)</f>
        <v>2987</v>
      </c>
      <c r="F103" s="32">
        <f t="shared" si="14"/>
        <v>7071.4204910372646</v>
      </c>
      <c r="G103" s="32">
        <f t="shared" si="14"/>
        <v>10702.847892003871</v>
      </c>
      <c r="H103" s="32">
        <f t="shared" si="14"/>
        <v>14257.313678999784</v>
      </c>
      <c r="I103" s="32">
        <f t="shared" si="14"/>
        <v>17432.740575199114</v>
      </c>
      <c r="J103" s="32">
        <f t="shared" si="14"/>
        <v>20599.007399470567</v>
      </c>
      <c r="K103" s="95"/>
      <c r="L103" s="50"/>
      <c r="M103" s="15"/>
    </row>
    <row r="104" spans="1:13">
      <c r="A104" s="50"/>
      <c r="B104" s="50"/>
      <c r="C104" s="50"/>
      <c r="D104" s="50"/>
      <c r="E104" s="32"/>
      <c r="F104" s="32"/>
      <c r="G104" s="32"/>
      <c r="H104" s="32"/>
      <c r="I104" s="32"/>
      <c r="J104" s="32"/>
      <c r="K104" s="95"/>
      <c r="L104" s="50"/>
      <c r="M104" s="15"/>
    </row>
    <row r="105" spans="1:13" ht="15.75">
      <c r="A105" s="50"/>
      <c r="B105" s="50"/>
      <c r="C105" s="162" t="s">
        <v>121</v>
      </c>
      <c r="D105" s="50"/>
      <c r="E105" s="162" t="str">
        <f>Inputs!D$11</f>
        <v>2009/10</v>
      </c>
      <c r="F105" s="162" t="str">
        <f>Inputs!E$11</f>
        <v>2010/11</v>
      </c>
      <c r="G105" s="162" t="str">
        <f>Inputs!F$11</f>
        <v>2011/12</v>
      </c>
      <c r="H105" s="162" t="str">
        <f>Inputs!G$11</f>
        <v>2012/13</v>
      </c>
      <c r="I105" s="162" t="str">
        <f>Inputs!H$11</f>
        <v>2013/14</v>
      </c>
      <c r="J105" s="162" t="str">
        <f>Inputs!I$11</f>
        <v>2014/15</v>
      </c>
      <c r="K105" s="95"/>
      <c r="L105" s="50"/>
      <c r="M105" s="15"/>
    </row>
    <row r="106" spans="1:13">
      <c r="A106" s="50"/>
      <c r="B106" s="50"/>
      <c r="C106" s="164" t="s">
        <v>60</v>
      </c>
      <c r="D106" s="50"/>
      <c r="E106" s="164">
        <v>1</v>
      </c>
      <c r="F106" s="164">
        <v>2</v>
      </c>
      <c r="G106" s="164">
        <v>3</v>
      </c>
      <c r="H106" s="164">
        <v>4</v>
      </c>
      <c r="I106" s="164">
        <v>5</v>
      </c>
      <c r="J106" s="164">
        <v>6</v>
      </c>
      <c r="K106" s="95"/>
      <c r="L106" s="50"/>
      <c r="M106" s="15"/>
    </row>
    <row r="107" spans="1:13">
      <c r="A107" s="50"/>
      <c r="B107" s="50"/>
      <c r="C107" s="50" t="s">
        <v>39</v>
      </c>
      <c r="D107" s="32"/>
      <c r="E107" s="32">
        <f t="shared" ref="E107:J107" si="15">E$29</f>
        <v>2987</v>
      </c>
      <c r="F107" s="32">
        <f t="shared" si="15"/>
        <v>4091.6191989586155</v>
      </c>
      <c r="G107" s="32">
        <f t="shared" si="15"/>
        <v>3617.957498056554</v>
      </c>
      <c r="H107" s="32">
        <f t="shared" si="15"/>
        <v>3552.4395536617048</v>
      </c>
      <c r="I107" s="32">
        <f t="shared" si="15"/>
        <v>3197.2877557338447</v>
      </c>
      <c r="J107" s="32">
        <f t="shared" si="15"/>
        <v>3223.4869778450902</v>
      </c>
      <c r="K107" s="95"/>
      <c r="L107" s="50"/>
      <c r="M107" s="15"/>
    </row>
    <row r="108" spans="1:13">
      <c r="A108" s="50">
        <v>1</v>
      </c>
      <c r="B108" s="50"/>
      <c r="C108" s="50" t="s">
        <v>230</v>
      </c>
      <c r="D108" s="50"/>
      <c r="E108" s="129">
        <v>0</v>
      </c>
      <c r="F108" s="32">
        <f t="shared" ref="F108:J113" si="16">E126</f>
        <v>2987</v>
      </c>
      <c r="G108" s="32">
        <f t="shared" si="16"/>
        <v>2920.6222222222223</v>
      </c>
      <c r="H108" s="32">
        <f t="shared" si="16"/>
        <v>2854.2444444444445</v>
      </c>
      <c r="I108" s="32">
        <f t="shared" si="16"/>
        <v>2787.8666666666668</v>
      </c>
      <c r="J108" s="32">
        <f t="shared" si="16"/>
        <v>2721.4888888888891</v>
      </c>
      <c r="K108" s="95"/>
      <c r="L108" s="50"/>
      <c r="M108" s="15"/>
    </row>
    <row r="109" spans="1:13">
      <c r="A109" s="50">
        <v>2</v>
      </c>
      <c r="B109" s="50"/>
      <c r="C109" s="50" t="s">
        <v>231</v>
      </c>
      <c r="D109" s="50"/>
      <c r="E109" s="129">
        <v>0</v>
      </c>
      <c r="F109" s="32">
        <f t="shared" si="16"/>
        <v>0</v>
      </c>
      <c r="G109" s="32">
        <f t="shared" si="16"/>
        <v>4091.6191989586155</v>
      </c>
      <c r="H109" s="32">
        <f t="shared" si="16"/>
        <v>4000.6943278706462</v>
      </c>
      <c r="I109" s="32">
        <f t="shared" si="16"/>
        <v>3909.769456782677</v>
      </c>
      <c r="J109" s="32">
        <f t="shared" si="16"/>
        <v>3818.8445856947078</v>
      </c>
      <c r="K109" s="95"/>
      <c r="L109" s="50"/>
      <c r="M109" s="15"/>
    </row>
    <row r="110" spans="1:13">
      <c r="A110" s="50">
        <v>3</v>
      </c>
      <c r="B110" s="50"/>
      <c r="C110" s="50" t="s">
        <v>232</v>
      </c>
      <c r="D110" s="50"/>
      <c r="E110" s="129">
        <v>0</v>
      </c>
      <c r="F110" s="32">
        <f t="shared" si="16"/>
        <v>0</v>
      </c>
      <c r="G110" s="32">
        <f t="shared" si="16"/>
        <v>0</v>
      </c>
      <c r="H110" s="32">
        <f t="shared" si="16"/>
        <v>3617.957498056554</v>
      </c>
      <c r="I110" s="32">
        <f t="shared" si="16"/>
        <v>3537.5584425441862</v>
      </c>
      <c r="J110" s="32">
        <f t="shared" si="16"/>
        <v>3457.1593870318184</v>
      </c>
      <c r="K110" s="95"/>
      <c r="L110" s="50"/>
      <c r="M110" s="15"/>
    </row>
    <row r="111" spans="1:13">
      <c r="A111" s="50">
        <v>4</v>
      </c>
      <c r="B111" s="50"/>
      <c r="C111" s="50" t="s">
        <v>233</v>
      </c>
      <c r="D111" s="50"/>
      <c r="E111" s="129">
        <v>0</v>
      </c>
      <c r="F111" s="32">
        <f t="shared" si="16"/>
        <v>0</v>
      </c>
      <c r="G111" s="32">
        <f t="shared" si="16"/>
        <v>0</v>
      </c>
      <c r="H111" s="32">
        <f t="shared" si="16"/>
        <v>0</v>
      </c>
      <c r="I111" s="32">
        <f t="shared" si="16"/>
        <v>3552.4395536617048</v>
      </c>
      <c r="J111" s="32">
        <f t="shared" si="16"/>
        <v>3473.4964524692227</v>
      </c>
      <c r="K111" s="95"/>
      <c r="L111" s="50"/>
      <c r="M111" s="15"/>
    </row>
    <row r="112" spans="1:13">
      <c r="A112" s="50">
        <v>5</v>
      </c>
      <c r="B112" s="50"/>
      <c r="C112" s="50" t="s">
        <v>234</v>
      </c>
      <c r="D112" s="50"/>
      <c r="E112" s="129">
        <v>0</v>
      </c>
      <c r="F112" s="32">
        <f t="shared" si="16"/>
        <v>0</v>
      </c>
      <c r="G112" s="32">
        <f t="shared" si="16"/>
        <v>0</v>
      </c>
      <c r="H112" s="32">
        <f t="shared" si="16"/>
        <v>0</v>
      </c>
      <c r="I112" s="32">
        <f t="shared" si="16"/>
        <v>0</v>
      </c>
      <c r="J112" s="32">
        <f t="shared" si="16"/>
        <v>3197.2877557338447</v>
      </c>
      <c r="K112" s="95"/>
      <c r="L112" s="50"/>
      <c r="M112" s="15"/>
    </row>
    <row r="113" spans="1:13">
      <c r="A113" s="50">
        <v>6</v>
      </c>
      <c r="B113" s="50"/>
      <c r="C113" s="50" t="s">
        <v>235</v>
      </c>
      <c r="D113" s="50"/>
      <c r="E113" s="129">
        <v>0</v>
      </c>
      <c r="F113" s="32">
        <f t="shared" si="16"/>
        <v>0</v>
      </c>
      <c r="G113" s="32">
        <f t="shared" si="16"/>
        <v>0</v>
      </c>
      <c r="H113" s="32">
        <f t="shared" si="16"/>
        <v>0</v>
      </c>
      <c r="I113" s="32">
        <f t="shared" si="16"/>
        <v>0</v>
      </c>
      <c r="J113" s="32">
        <f t="shared" si="16"/>
        <v>0</v>
      </c>
      <c r="K113" s="95"/>
      <c r="L113" s="50"/>
      <c r="M113" s="15"/>
    </row>
    <row r="114" spans="1:13">
      <c r="A114" s="50">
        <v>1</v>
      </c>
      <c r="B114" s="50"/>
      <c r="C114" s="50" t="s">
        <v>236</v>
      </c>
      <c r="D114" s="50"/>
      <c r="E114" s="129">
        <f>Inputs!$C$7+$A114</f>
        <v>46</v>
      </c>
      <c r="F114" s="32">
        <f t="shared" ref="F114:J119" si="17">E114-1</f>
        <v>45</v>
      </c>
      <c r="G114" s="32">
        <f t="shared" si="17"/>
        <v>44</v>
      </c>
      <c r="H114" s="32">
        <f t="shared" si="17"/>
        <v>43</v>
      </c>
      <c r="I114" s="32">
        <f t="shared" si="17"/>
        <v>42</v>
      </c>
      <c r="J114" s="32">
        <f t="shared" si="17"/>
        <v>41</v>
      </c>
      <c r="K114" s="95"/>
      <c r="L114" s="50"/>
      <c r="M114" s="15"/>
    </row>
    <row r="115" spans="1:13">
      <c r="A115" s="50">
        <v>2</v>
      </c>
      <c r="B115" s="50"/>
      <c r="C115" s="50" t="s">
        <v>237</v>
      </c>
      <c r="D115" s="50"/>
      <c r="E115" s="129">
        <f>Inputs!$C$7+$A115</f>
        <v>47</v>
      </c>
      <c r="F115" s="32">
        <f t="shared" si="17"/>
        <v>46</v>
      </c>
      <c r="G115" s="32">
        <f t="shared" si="17"/>
        <v>45</v>
      </c>
      <c r="H115" s="32">
        <f t="shared" si="17"/>
        <v>44</v>
      </c>
      <c r="I115" s="32">
        <f t="shared" si="17"/>
        <v>43</v>
      </c>
      <c r="J115" s="32">
        <f t="shared" si="17"/>
        <v>42</v>
      </c>
      <c r="K115" s="95"/>
      <c r="L115" s="50"/>
      <c r="M115" s="15"/>
    </row>
    <row r="116" spans="1:13">
      <c r="A116" s="50">
        <v>3</v>
      </c>
      <c r="B116" s="50"/>
      <c r="C116" s="50" t="s">
        <v>238</v>
      </c>
      <c r="D116" s="50"/>
      <c r="E116" s="129">
        <f>Inputs!$C$7+$A116</f>
        <v>48</v>
      </c>
      <c r="F116" s="32">
        <f t="shared" si="17"/>
        <v>47</v>
      </c>
      <c r="G116" s="32">
        <f t="shared" si="17"/>
        <v>46</v>
      </c>
      <c r="H116" s="32">
        <f t="shared" si="17"/>
        <v>45</v>
      </c>
      <c r="I116" s="32">
        <f t="shared" si="17"/>
        <v>44</v>
      </c>
      <c r="J116" s="32">
        <f t="shared" si="17"/>
        <v>43</v>
      </c>
      <c r="K116" s="95"/>
      <c r="L116" s="50"/>
      <c r="M116" s="15"/>
    </row>
    <row r="117" spans="1:13">
      <c r="A117" s="50">
        <v>4</v>
      </c>
      <c r="B117" s="50"/>
      <c r="C117" s="50" t="s">
        <v>239</v>
      </c>
      <c r="D117" s="50"/>
      <c r="E117" s="129">
        <f>Inputs!$C$7+$A117</f>
        <v>49</v>
      </c>
      <c r="F117" s="32">
        <f t="shared" si="17"/>
        <v>48</v>
      </c>
      <c r="G117" s="32">
        <f t="shared" si="17"/>
        <v>47</v>
      </c>
      <c r="H117" s="32">
        <f t="shared" si="17"/>
        <v>46</v>
      </c>
      <c r="I117" s="32">
        <f t="shared" si="17"/>
        <v>45</v>
      </c>
      <c r="J117" s="32">
        <f t="shared" si="17"/>
        <v>44</v>
      </c>
      <c r="K117" s="95"/>
      <c r="L117" s="50"/>
      <c r="M117" s="15"/>
    </row>
    <row r="118" spans="1:13">
      <c r="A118" s="50">
        <v>5</v>
      </c>
      <c r="B118" s="50"/>
      <c r="C118" s="50" t="s">
        <v>240</v>
      </c>
      <c r="D118" s="50"/>
      <c r="E118" s="129">
        <f>Inputs!$C$7+$A118</f>
        <v>50</v>
      </c>
      <c r="F118" s="32">
        <f t="shared" si="17"/>
        <v>49</v>
      </c>
      <c r="G118" s="32">
        <f t="shared" si="17"/>
        <v>48</v>
      </c>
      <c r="H118" s="32">
        <f t="shared" si="17"/>
        <v>47</v>
      </c>
      <c r="I118" s="32">
        <f t="shared" si="17"/>
        <v>46</v>
      </c>
      <c r="J118" s="32">
        <f t="shared" si="17"/>
        <v>45</v>
      </c>
      <c r="K118" s="95"/>
      <c r="L118" s="50"/>
      <c r="M118" s="15"/>
    </row>
    <row r="119" spans="1:13">
      <c r="A119" s="50">
        <v>6</v>
      </c>
      <c r="B119" s="50"/>
      <c r="C119" s="50" t="s">
        <v>241</v>
      </c>
      <c r="D119" s="50"/>
      <c r="E119" s="129">
        <f>Inputs!$C$7+$A119</f>
        <v>51</v>
      </c>
      <c r="F119" s="32">
        <f t="shared" si="17"/>
        <v>50</v>
      </c>
      <c r="G119" s="32">
        <f t="shared" si="17"/>
        <v>49</v>
      </c>
      <c r="H119" s="32">
        <f t="shared" si="17"/>
        <v>48</v>
      </c>
      <c r="I119" s="32">
        <f t="shared" si="17"/>
        <v>47</v>
      </c>
      <c r="J119" s="32">
        <f t="shared" si="17"/>
        <v>46</v>
      </c>
      <c r="K119" s="95"/>
      <c r="L119" s="50"/>
      <c r="M119" s="15"/>
    </row>
    <row r="120" spans="1:13">
      <c r="A120" s="50">
        <v>1</v>
      </c>
      <c r="B120" s="50"/>
      <c r="C120" s="50" t="s">
        <v>242</v>
      </c>
      <c r="D120" s="50"/>
      <c r="E120" s="32">
        <f t="shared" ref="E120:J125" si="18">E108/E114</f>
        <v>0</v>
      </c>
      <c r="F120" s="32">
        <f t="shared" si="18"/>
        <v>66.37777777777778</v>
      </c>
      <c r="G120" s="32">
        <f t="shared" si="18"/>
        <v>66.37777777777778</v>
      </c>
      <c r="H120" s="32">
        <f t="shared" si="18"/>
        <v>66.37777777777778</v>
      </c>
      <c r="I120" s="32">
        <f t="shared" si="18"/>
        <v>66.37777777777778</v>
      </c>
      <c r="J120" s="32">
        <f t="shared" si="18"/>
        <v>66.37777777777778</v>
      </c>
      <c r="K120" s="95"/>
      <c r="L120" s="50"/>
      <c r="M120" s="15"/>
    </row>
    <row r="121" spans="1:13">
      <c r="A121" s="50">
        <v>2</v>
      </c>
      <c r="B121" s="50"/>
      <c r="C121" s="50" t="s">
        <v>243</v>
      </c>
      <c r="D121" s="50"/>
      <c r="E121" s="32">
        <f t="shared" si="18"/>
        <v>0</v>
      </c>
      <c r="F121" s="32">
        <f t="shared" si="18"/>
        <v>0</v>
      </c>
      <c r="G121" s="32">
        <f t="shared" si="18"/>
        <v>90.924871087969237</v>
      </c>
      <c r="H121" s="32">
        <f t="shared" si="18"/>
        <v>90.924871087969237</v>
      </c>
      <c r="I121" s="32">
        <f t="shared" si="18"/>
        <v>90.924871087969237</v>
      </c>
      <c r="J121" s="32">
        <f t="shared" si="18"/>
        <v>90.924871087969237</v>
      </c>
      <c r="K121" s="95"/>
      <c r="L121" s="50"/>
      <c r="M121" s="15"/>
    </row>
    <row r="122" spans="1:13">
      <c r="A122" s="50">
        <v>3</v>
      </c>
      <c r="B122" s="50"/>
      <c r="C122" s="50" t="s">
        <v>244</v>
      </c>
      <c r="D122" s="50"/>
      <c r="E122" s="32">
        <f t="shared" si="18"/>
        <v>0</v>
      </c>
      <c r="F122" s="32">
        <f t="shared" si="18"/>
        <v>0</v>
      </c>
      <c r="G122" s="32">
        <f t="shared" si="18"/>
        <v>0</v>
      </c>
      <c r="H122" s="32">
        <f t="shared" si="18"/>
        <v>80.399055512367866</v>
      </c>
      <c r="I122" s="32">
        <f t="shared" si="18"/>
        <v>80.399055512367866</v>
      </c>
      <c r="J122" s="32">
        <f t="shared" si="18"/>
        <v>80.399055512367866</v>
      </c>
      <c r="K122" s="95"/>
      <c r="L122" s="50"/>
      <c r="M122" s="15"/>
    </row>
    <row r="123" spans="1:13">
      <c r="A123" s="50">
        <v>4</v>
      </c>
      <c r="B123" s="50"/>
      <c r="C123" s="50" t="s">
        <v>245</v>
      </c>
      <c r="D123" s="50"/>
      <c r="E123" s="32">
        <f t="shared" si="18"/>
        <v>0</v>
      </c>
      <c r="F123" s="32">
        <f t="shared" si="18"/>
        <v>0</v>
      </c>
      <c r="G123" s="32">
        <f t="shared" si="18"/>
        <v>0</v>
      </c>
      <c r="H123" s="32">
        <f t="shared" si="18"/>
        <v>0</v>
      </c>
      <c r="I123" s="32">
        <f t="shared" si="18"/>
        <v>78.943101192482331</v>
      </c>
      <c r="J123" s="32">
        <f t="shared" si="18"/>
        <v>78.943101192482331</v>
      </c>
      <c r="K123" s="95"/>
      <c r="L123" s="50"/>
      <c r="M123" s="15"/>
    </row>
    <row r="124" spans="1:13">
      <c r="A124" s="50">
        <v>5</v>
      </c>
      <c r="B124" s="50"/>
      <c r="C124" s="50" t="s">
        <v>246</v>
      </c>
      <c r="D124" s="50"/>
      <c r="E124" s="32">
        <f t="shared" si="18"/>
        <v>0</v>
      </c>
      <c r="F124" s="32">
        <f t="shared" si="18"/>
        <v>0</v>
      </c>
      <c r="G124" s="32">
        <f t="shared" si="18"/>
        <v>0</v>
      </c>
      <c r="H124" s="32">
        <f t="shared" si="18"/>
        <v>0</v>
      </c>
      <c r="I124" s="32">
        <f t="shared" si="18"/>
        <v>0</v>
      </c>
      <c r="J124" s="32">
        <f t="shared" si="18"/>
        <v>71.050839016307663</v>
      </c>
      <c r="K124" s="95"/>
      <c r="L124" s="50"/>
      <c r="M124" s="15"/>
    </row>
    <row r="125" spans="1:13">
      <c r="A125" s="50">
        <v>6</v>
      </c>
      <c r="B125" s="50"/>
      <c r="C125" s="50" t="s">
        <v>247</v>
      </c>
      <c r="D125" s="50"/>
      <c r="E125" s="32">
        <f t="shared" si="18"/>
        <v>0</v>
      </c>
      <c r="F125" s="32">
        <f t="shared" si="18"/>
        <v>0</v>
      </c>
      <c r="G125" s="32">
        <f t="shared" si="18"/>
        <v>0</v>
      </c>
      <c r="H125" s="32">
        <f t="shared" si="18"/>
        <v>0</v>
      </c>
      <c r="I125" s="32">
        <f t="shared" si="18"/>
        <v>0</v>
      </c>
      <c r="J125" s="32">
        <f t="shared" si="18"/>
        <v>0</v>
      </c>
      <c r="K125" s="95"/>
      <c r="L125" s="50"/>
      <c r="M125" s="15"/>
    </row>
    <row r="126" spans="1:13">
      <c r="A126" s="50">
        <v>1</v>
      </c>
      <c r="B126" s="50"/>
      <c r="C126" s="50" t="s">
        <v>248</v>
      </c>
      <c r="D126" s="50"/>
      <c r="E126" s="32">
        <f t="shared" ref="E126:J131" si="19">E108-E120+IF($A126=E$106,E$107,0)</f>
        <v>2987</v>
      </c>
      <c r="F126" s="32">
        <f t="shared" si="19"/>
        <v>2920.6222222222223</v>
      </c>
      <c r="G126" s="32">
        <f t="shared" si="19"/>
        <v>2854.2444444444445</v>
      </c>
      <c r="H126" s="32">
        <f t="shared" si="19"/>
        <v>2787.8666666666668</v>
      </c>
      <c r="I126" s="32">
        <f t="shared" si="19"/>
        <v>2721.4888888888891</v>
      </c>
      <c r="J126" s="32">
        <f t="shared" si="19"/>
        <v>2655.1111111111113</v>
      </c>
      <c r="K126" s="95"/>
      <c r="L126" s="50"/>
      <c r="M126" s="15"/>
    </row>
    <row r="127" spans="1:13">
      <c r="A127" s="50">
        <v>2</v>
      </c>
      <c r="B127" s="50"/>
      <c r="C127" s="50" t="s">
        <v>249</v>
      </c>
      <c r="D127" s="50"/>
      <c r="E127" s="32">
        <f t="shared" si="19"/>
        <v>0</v>
      </c>
      <c r="F127" s="32">
        <f t="shared" si="19"/>
        <v>4091.6191989586155</v>
      </c>
      <c r="G127" s="32">
        <f t="shared" si="19"/>
        <v>4000.6943278706462</v>
      </c>
      <c r="H127" s="32">
        <f t="shared" si="19"/>
        <v>3909.769456782677</v>
      </c>
      <c r="I127" s="32">
        <f t="shared" si="19"/>
        <v>3818.8445856947078</v>
      </c>
      <c r="J127" s="32">
        <f t="shared" si="19"/>
        <v>3727.9197146067386</v>
      </c>
      <c r="K127" s="95"/>
      <c r="L127" s="50"/>
      <c r="M127" s="15"/>
    </row>
    <row r="128" spans="1:13">
      <c r="A128" s="50">
        <v>3</v>
      </c>
      <c r="B128" s="50"/>
      <c r="C128" s="50" t="s">
        <v>250</v>
      </c>
      <c r="D128" s="50"/>
      <c r="E128" s="32">
        <f t="shared" si="19"/>
        <v>0</v>
      </c>
      <c r="F128" s="32">
        <f t="shared" si="19"/>
        <v>0</v>
      </c>
      <c r="G128" s="32">
        <f t="shared" si="19"/>
        <v>3617.957498056554</v>
      </c>
      <c r="H128" s="32">
        <f t="shared" si="19"/>
        <v>3537.5584425441862</v>
      </c>
      <c r="I128" s="32">
        <f t="shared" si="19"/>
        <v>3457.1593870318184</v>
      </c>
      <c r="J128" s="32">
        <f t="shared" si="19"/>
        <v>3376.7603315194506</v>
      </c>
      <c r="K128" s="95"/>
      <c r="L128" s="50"/>
      <c r="M128" s="15"/>
    </row>
    <row r="129" spans="1:13">
      <c r="A129" s="50">
        <v>4</v>
      </c>
      <c r="B129" s="50"/>
      <c r="C129" s="50" t="s">
        <v>251</v>
      </c>
      <c r="D129" s="50"/>
      <c r="E129" s="32">
        <f t="shared" si="19"/>
        <v>0</v>
      </c>
      <c r="F129" s="32">
        <f t="shared" si="19"/>
        <v>0</v>
      </c>
      <c r="G129" s="32">
        <f t="shared" si="19"/>
        <v>0</v>
      </c>
      <c r="H129" s="32">
        <f t="shared" si="19"/>
        <v>3552.4395536617048</v>
      </c>
      <c r="I129" s="32">
        <f t="shared" si="19"/>
        <v>3473.4964524692227</v>
      </c>
      <c r="J129" s="32">
        <f t="shared" si="19"/>
        <v>3394.5533512767406</v>
      </c>
      <c r="K129" s="95"/>
      <c r="L129" s="50"/>
      <c r="M129" s="15"/>
    </row>
    <row r="130" spans="1:13">
      <c r="A130" s="50">
        <v>5</v>
      </c>
      <c r="B130" s="50"/>
      <c r="C130" s="50" t="s">
        <v>252</v>
      </c>
      <c r="D130" s="50"/>
      <c r="E130" s="32">
        <f t="shared" si="19"/>
        <v>0</v>
      </c>
      <c r="F130" s="32">
        <f t="shared" si="19"/>
        <v>0</v>
      </c>
      <c r="G130" s="32">
        <f t="shared" si="19"/>
        <v>0</v>
      </c>
      <c r="H130" s="32">
        <f t="shared" si="19"/>
        <v>0</v>
      </c>
      <c r="I130" s="32">
        <f t="shared" si="19"/>
        <v>3197.2877557338447</v>
      </c>
      <c r="J130" s="32">
        <f t="shared" si="19"/>
        <v>3126.236916717537</v>
      </c>
      <c r="K130" s="95"/>
      <c r="L130" s="50"/>
      <c r="M130" s="15"/>
    </row>
    <row r="131" spans="1:13">
      <c r="A131" s="50">
        <v>6</v>
      </c>
      <c r="B131" s="50"/>
      <c r="C131" s="50" t="s">
        <v>253</v>
      </c>
      <c r="D131" s="50"/>
      <c r="E131" s="32">
        <f t="shared" si="19"/>
        <v>0</v>
      </c>
      <c r="F131" s="32">
        <f t="shared" si="19"/>
        <v>0</v>
      </c>
      <c r="G131" s="32">
        <f t="shared" si="19"/>
        <v>0</v>
      </c>
      <c r="H131" s="32">
        <f t="shared" si="19"/>
        <v>0</v>
      </c>
      <c r="I131" s="32">
        <f t="shared" si="19"/>
        <v>0</v>
      </c>
      <c r="J131" s="32">
        <f t="shared" si="19"/>
        <v>3223.4869778450902</v>
      </c>
      <c r="K131" s="95"/>
      <c r="L131" s="50"/>
      <c r="M131" s="15"/>
    </row>
    <row r="132" spans="1:13">
      <c r="A132" s="50"/>
      <c r="B132" s="50"/>
      <c r="C132" s="50" t="s">
        <v>62</v>
      </c>
      <c r="D132" s="50"/>
      <c r="E132" s="32">
        <f t="shared" ref="E132:J132" si="20">SUM(E120:E125)</f>
        <v>0</v>
      </c>
      <c r="F132" s="32">
        <f t="shared" si="20"/>
        <v>66.37777777777778</v>
      </c>
      <c r="G132" s="32">
        <f t="shared" si="20"/>
        <v>157.30264886574702</v>
      </c>
      <c r="H132" s="32">
        <f t="shared" si="20"/>
        <v>237.70170437811487</v>
      </c>
      <c r="I132" s="32">
        <f t="shared" si="20"/>
        <v>316.64480557059721</v>
      </c>
      <c r="J132" s="32">
        <f t="shared" si="20"/>
        <v>387.6956445869049</v>
      </c>
      <c r="K132" s="95"/>
      <c r="L132" s="27"/>
      <c r="M132" s="15"/>
    </row>
    <row r="133" spans="1:13" s="15" customFormat="1">
      <c r="A133" s="50"/>
      <c r="B133" s="50"/>
      <c r="C133" s="50"/>
      <c r="D133" s="50"/>
      <c r="E133" s="32"/>
      <c r="F133" s="32"/>
      <c r="G133" s="32"/>
      <c r="H133" s="32"/>
      <c r="I133" s="32"/>
      <c r="J133" s="32"/>
      <c r="K133" s="95"/>
      <c r="L133" s="50"/>
    </row>
    <row r="134" spans="1:13" ht="15.75">
      <c r="A134" s="50"/>
      <c r="B134" s="50"/>
      <c r="C134" s="162" t="s">
        <v>63</v>
      </c>
      <c r="D134" s="50"/>
      <c r="E134" s="50"/>
      <c r="F134" s="50"/>
      <c r="G134" s="50"/>
      <c r="H134" s="50"/>
      <c r="I134" s="50"/>
      <c r="J134" s="50"/>
      <c r="K134" s="95"/>
      <c r="L134" s="50"/>
      <c r="M134" s="15"/>
    </row>
    <row r="135" spans="1:13">
      <c r="A135" s="50"/>
      <c r="B135" s="50"/>
      <c r="C135" s="50" t="s">
        <v>65</v>
      </c>
      <c r="D135" s="50"/>
      <c r="E135" s="129">
        <f>E59</f>
        <v>59452</v>
      </c>
      <c r="F135" s="32">
        <f>E140</f>
        <v>57045</v>
      </c>
      <c r="G135" s="32">
        <f>F140</f>
        <v>54637.926773546023</v>
      </c>
      <c r="H135" s="32">
        <f>G140</f>
        <v>52231.580880147834</v>
      </c>
      <c r="I135" s="32">
        <f>H140</f>
        <v>49825.964435720802</v>
      </c>
      <c r="J135" s="32">
        <f>I140</f>
        <v>47421.157912437724</v>
      </c>
      <c r="K135" s="95"/>
      <c r="L135" s="50"/>
      <c r="M135" s="15"/>
    </row>
    <row r="136" spans="1:13">
      <c r="A136" s="50"/>
      <c r="B136" s="50"/>
      <c r="C136" s="50" t="s">
        <v>40</v>
      </c>
      <c r="D136" s="50"/>
      <c r="E136" s="32">
        <f t="shared" ref="E136:J136" si="21">E56</f>
        <v>25</v>
      </c>
      <c r="F136" s="32">
        <f t="shared" si="21"/>
        <v>26.116681859617135</v>
      </c>
      <c r="G136" s="32">
        <f t="shared" si="21"/>
        <v>26.526891522333635</v>
      </c>
      <c r="H136" s="32">
        <f t="shared" si="21"/>
        <v>27.00546946216955</v>
      </c>
      <c r="I136" s="32">
        <f t="shared" si="21"/>
        <v>27.484047402005469</v>
      </c>
      <c r="J136" s="32">
        <f t="shared" si="21"/>
        <v>28.122151321786689</v>
      </c>
      <c r="K136" s="95"/>
      <c r="L136" s="50"/>
      <c r="M136" s="15"/>
    </row>
    <row r="137" spans="1:13">
      <c r="A137" s="50"/>
      <c r="B137" s="50"/>
      <c r="C137" s="50" t="s">
        <v>312</v>
      </c>
      <c r="D137" s="50"/>
      <c r="E137" s="32">
        <f>Inv!E12</f>
        <v>0</v>
      </c>
      <c r="F137" s="32"/>
      <c r="G137" s="32"/>
      <c r="H137" s="32"/>
      <c r="I137" s="32"/>
      <c r="J137" s="32"/>
      <c r="K137" s="95"/>
      <c r="L137" s="50"/>
      <c r="M137" s="15"/>
    </row>
    <row r="138" spans="1:13">
      <c r="A138" s="50"/>
      <c r="B138" s="50"/>
      <c r="C138" s="50" t="s">
        <v>313</v>
      </c>
      <c r="D138" s="50"/>
      <c r="E138" s="32">
        <f>Inv!E13</f>
        <v>0</v>
      </c>
      <c r="F138" s="32"/>
      <c r="G138" s="32"/>
      <c r="H138" s="32"/>
      <c r="I138" s="32"/>
      <c r="J138" s="32"/>
      <c r="K138" s="95"/>
      <c r="L138" s="50"/>
      <c r="M138" s="15"/>
    </row>
    <row r="139" spans="1:13">
      <c r="A139" s="50"/>
      <c r="B139" s="50"/>
      <c r="C139" s="50" t="s">
        <v>64</v>
      </c>
      <c r="D139" s="50"/>
      <c r="E139" s="32">
        <f t="shared" ref="E139:J139" si="22">E135/E$54</f>
        <v>2382</v>
      </c>
      <c r="F139" s="32">
        <f t="shared" si="22"/>
        <v>2380.9565445943581</v>
      </c>
      <c r="G139" s="32">
        <f t="shared" si="22"/>
        <v>2379.8190018758528</v>
      </c>
      <c r="H139" s="32">
        <f t="shared" si="22"/>
        <v>2378.6109749648635</v>
      </c>
      <c r="I139" s="32">
        <f t="shared" si="22"/>
        <v>2377.3224758810784</v>
      </c>
      <c r="J139" s="32">
        <f t="shared" si="22"/>
        <v>2375.9454408192055</v>
      </c>
      <c r="K139" s="95"/>
      <c r="L139" s="50"/>
      <c r="M139" s="15"/>
    </row>
    <row r="140" spans="1:13">
      <c r="A140" s="50"/>
      <c r="B140" s="50"/>
      <c r="C140" s="50" t="s">
        <v>61</v>
      </c>
      <c r="D140" s="50"/>
      <c r="E140" s="129">
        <f>E135-E136-E137+E138-E139</f>
        <v>57045</v>
      </c>
      <c r="F140" s="32">
        <f>F135-F136-F139</f>
        <v>54637.926773546023</v>
      </c>
      <c r="G140" s="32">
        <f>G135-G136-G139</f>
        <v>52231.580880147834</v>
      </c>
      <c r="H140" s="32">
        <f>H135-H136-H139</f>
        <v>49825.964435720802</v>
      </c>
      <c r="I140" s="32">
        <f>I135-I136-I139</f>
        <v>47421.157912437724</v>
      </c>
      <c r="J140" s="32">
        <f>J135-J136-J139</f>
        <v>45017.090320296731</v>
      </c>
      <c r="K140" s="95"/>
      <c r="L140" s="50"/>
      <c r="M140" s="15"/>
    </row>
    <row r="141" spans="1:13">
      <c r="A141" s="50"/>
      <c r="B141" s="50"/>
      <c r="C141" s="50"/>
      <c r="D141" s="50"/>
      <c r="E141" s="32"/>
      <c r="F141" s="32"/>
      <c r="G141" s="32"/>
      <c r="H141" s="32"/>
      <c r="I141" s="32"/>
      <c r="J141" s="32"/>
      <c r="K141" s="95"/>
      <c r="L141" s="27"/>
      <c r="M141" s="15"/>
    </row>
    <row r="142" spans="1:13" ht="15.75">
      <c r="A142" s="50"/>
      <c r="B142" s="50"/>
      <c r="C142" s="162" t="s">
        <v>66</v>
      </c>
      <c r="D142" s="50"/>
      <c r="E142" s="50"/>
      <c r="F142" s="50"/>
      <c r="G142" s="50"/>
      <c r="H142" s="50"/>
      <c r="I142" s="50"/>
      <c r="J142" s="50"/>
      <c r="K142" s="95"/>
      <c r="L142" s="27"/>
      <c r="M142" s="15"/>
    </row>
    <row r="143" spans="1:13">
      <c r="A143" s="50"/>
      <c r="B143" s="50"/>
      <c r="C143" s="50" t="s">
        <v>155</v>
      </c>
      <c r="D143" s="50"/>
      <c r="E143" s="32">
        <f t="shared" ref="E143:J143" si="23">E59+E100</f>
        <v>59452</v>
      </c>
      <c r="F143" s="32">
        <f t="shared" si="23"/>
        <v>61055.131418418474</v>
      </c>
      <c r="G143" s="32">
        <f t="shared" si="23"/>
        <v>63838.565101961925</v>
      </c>
      <c r="H143" s="32">
        <f t="shared" si="23"/>
        <v>66350.584185260945</v>
      </c>
      <c r="I143" s="32">
        <f t="shared" si="23"/>
        <v>68615.928352602088</v>
      </c>
      <c r="J143" s="32">
        <f t="shared" si="23"/>
        <v>70334.338224034334</v>
      </c>
      <c r="K143" s="95"/>
      <c r="L143" s="27"/>
      <c r="M143" s="15"/>
    </row>
    <row r="144" spans="1:13">
      <c r="A144" s="50"/>
      <c r="B144" s="50"/>
      <c r="C144" s="50" t="s">
        <v>154</v>
      </c>
      <c r="D144" s="50"/>
      <c r="E144" s="32">
        <f t="shared" ref="E144:J146" si="24">E63+E101</f>
        <v>1023.1314184184723</v>
      </c>
      <c r="F144" s="32">
        <f t="shared" si="24"/>
        <v>1207.9691691858368</v>
      </c>
      <c r="G144" s="32">
        <f t="shared" si="24"/>
        <v>1551.7956872736606</v>
      </c>
      <c r="H144" s="32">
        <f t="shared" si="24"/>
        <v>1517.0885596208861</v>
      </c>
      <c r="I144" s="32">
        <f t="shared" si="24"/>
        <v>1469.8249641375357</v>
      </c>
      <c r="J144" s="32">
        <f t="shared" si="24"/>
        <v>1405.0662895012752</v>
      </c>
      <c r="K144" s="95"/>
      <c r="L144" s="50"/>
      <c r="M144" s="15"/>
    </row>
    <row r="145" spans="1:13">
      <c r="A145" s="50"/>
      <c r="B145" s="50"/>
      <c r="C145" s="50" t="s">
        <v>153</v>
      </c>
      <c r="D145" s="50"/>
      <c r="E145" s="32">
        <f t="shared" si="24"/>
        <v>2382</v>
      </c>
      <c r="F145" s="32">
        <f t="shared" si="24"/>
        <v>2490.0380027413808</v>
      </c>
      <c r="G145" s="32">
        <f t="shared" si="24"/>
        <v>2631.2072105088614</v>
      </c>
      <c r="H145" s="32">
        <f t="shared" si="24"/>
        <v>2777.1784764792815</v>
      </c>
      <c r="I145" s="32">
        <f t="shared" si="24"/>
        <v>2921.2188010371351</v>
      </c>
      <c r="J145" s="32">
        <f t="shared" si="24"/>
        <v>3056.4072438947819</v>
      </c>
      <c r="K145" s="95"/>
      <c r="L145" s="50"/>
      <c r="M145" s="15"/>
    </row>
    <row r="146" spans="1:13">
      <c r="A146" s="50"/>
      <c r="B146" s="50"/>
      <c r="C146" s="50" t="s">
        <v>156</v>
      </c>
      <c r="D146" s="50"/>
      <c r="E146" s="32">
        <f t="shared" si="24"/>
        <v>61055.131418418474</v>
      </c>
      <c r="F146" s="32">
        <f t="shared" si="24"/>
        <v>63838.565101961925</v>
      </c>
      <c r="G146" s="32">
        <f t="shared" si="24"/>
        <v>66350.584185260945</v>
      </c>
      <c r="H146" s="32">
        <f t="shared" si="24"/>
        <v>68615.928352602088</v>
      </c>
      <c r="I146" s="32">
        <f t="shared" si="24"/>
        <v>70334.338224034334</v>
      </c>
      <c r="J146" s="32">
        <f t="shared" si="24"/>
        <v>71878.362096164128</v>
      </c>
      <c r="K146" s="95"/>
      <c r="L146" s="50"/>
      <c r="M146" s="15"/>
    </row>
    <row r="147" spans="1:13">
      <c r="A147" s="50"/>
      <c r="B147" s="50"/>
      <c r="C147" s="50" t="s">
        <v>45</v>
      </c>
      <c r="D147" s="50"/>
      <c r="E147" s="32">
        <f t="shared" ref="E147:J147" si="25">E132+E139</f>
        <v>2382</v>
      </c>
      <c r="F147" s="32">
        <f t="shared" si="25"/>
        <v>2447.3343223721358</v>
      </c>
      <c r="G147" s="32">
        <f t="shared" si="25"/>
        <v>2537.1216507415998</v>
      </c>
      <c r="H147" s="32">
        <f t="shared" si="25"/>
        <v>2616.3126793429783</v>
      </c>
      <c r="I147" s="32">
        <f t="shared" si="25"/>
        <v>2693.9672814516757</v>
      </c>
      <c r="J147" s="32">
        <f t="shared" si="25"/>
        <v>2763.6410854061105</v>
      </c>
      <c r="K147" s="95"/>
      <c r="L147" s="50"/>
      <c r="M147" s="15"/>
    </row>
    <row r="148" spans="1:13">
      <c r="A148" s="50"/>
      <c r="B148" s="50"/>
      <c r="C148" s="50" t="s">
        <v>178</v>
      </c>
      <c r="D148" s="50"/>
      <c r="E148" s="128"/>
      <c r="F148" s="165">
        <f>F143+F107+F144-F145-F56-F146</f>
        <v>0</v>
      </c>
      <c r="G148" s="165">
        <f>G143+G107+G144-G145-G56-G146</f>
        <v>0</v>
      </c>
      <c r="H148" s="165">
        <f>H143+H107+H144-H145-H56-H146</f>
        <v>0</v>
      </c>
      <c r="I148" s="165">
        <f>I143+I107+I144-I145-I56-I146</f>
        <v>0</v>
      </c>
      <c r="J148" s="165">
        <f>J143+J107+J144-J145-J56-J146</f>
        <v>0</v>
      </c>
      <c r="K148" s="95"/>
      <c r="L148" s="50"/>
      <c r="M148" s="15"/>
    </row>
    <row r="149" spans="1:13">
      <c r="A149" s="50"/>
      <c r="B149" s="50"/>
      <c r="C149" s="50"/>
      <c r="D149" s="50"/>
      <c r="E149" s="50"/>
      <c r="F149" s="32"/>
      <c r="G149" s="32"/>
      <c r="H149" s="50"/>
      <c r="I149" s="50"/>
      <c r="J149" s="50"/>
      <c r="K149" s="95"/>
      <c r="L149" s="50"/>
      <c r="M149" s="15"/>
    </row>
    <row r="150" spans="1:13" ht="15.75">
      <c r="A150" s="50"/>
      <c r="B150" s="50"/>
      <c r="C150" s="162" t="s">
        <v>90</v>
      </c>
      <c r="D150" s="50"/>
      <c r="E150" s="50"/>
      <c r="F150" s="50"/>
      <c r="G150" s="50"/>
      <c r="H150" s="50"/>
      <c r="I150" s="50"/>
      <c r="J150" s="50"/>
      <c r="K150" s="95"/>
      <c r="L150" s="50"/>
      <c r="M150" s="15"/>
    </row>
    <row r="151" spans="1:13" ht="15.75">
      <c r="A151" s="50"/>
      <c r="B151" s="50"/>
      <c r="C151" s="158" t="s">
        <v>160</v>
      </c>
      <c r="D151" s="50"/>
      <c r="E151" s="129"/>
      <c r="F151" s="166">
        <f>F143/$E143</f>
        <v>1.0269651385726044</v>
      </c>
      <c r="G151" s="166">
        <f>G143/$E143</f>
        <v>1.0737833058931898</v>
      </c>
      <c r="H151" s="166">
        <f>H143/$E143</f>
        <v>1.1160362003845277</v>
      </c>
      <c r="I151" s="166">
        <f>I143/$E143</f>
        <v>1.1541399507603123</v>
      </c>
      <c r="J151" s="166">
        <f>J143/$E143</f>
        <v>1.1830441065739477</v>
      </c>
      <c r="K151" s="95"/>
      <c r="L151" s="50"/>
      <c r="M151" s="15"/>
    </row>
    <row r="152" spans="1:13">
      <c r="A152" s="50"/>
      <c r="B152" s="50"/>
      <c r="C152" s="50" t="s">
        <v>90</v>
      </c>
      <c r="D152" s="50"/>
      <c r="E152" s="129">
        <f>IF(E20&gt;0,E20,0)</f>
        <v>0</v>
      </c>
      <c r="F152" s="32">
        <f>$E152*F151</f>
        <v>0</v>
      </c>
      <c r="G152" s="32">
        <f>$E152*G151</f>
        <v>0</v>
      </c>
      <c r="H152" s="32">
        <f>$E152*H151</f>
        <v>0</v>
      </c>
      <c r="I152" s="32">
        <f>$E152*I151</f>
        <v>0</v>
      </c>
      <c r="J152" s="32">
        <f>$E152*J151</f>
        <v>0</v>
      </c>
      <c r="K152" s="95"/>
      <c r="L152" s="50"/>
      <c r="M152" s="15"/>
    </row>
    <row r="153" spans="1:13">
      <c r="A153" s="50"/>
      <c r="B153" s="50"/>
      <c r="C153" s="50"/>
      <c r="D153" s="50"/>
      <c r="E153" s="50"/>
      <c r="F153" s="50"/>
      <c r="G153" s="50"/>
      <c r="H153" s="50"/>
      <c r="I153" s="50"/>
      <c r="J153" s="50"/>
      <c r="K153" s="95"/>
      <c r="L153" s="50"/>
      <c r="M153" s="15"/>
    </row>
    <row r="154" spans="1:13" ht="15.75">
      <c r="A154" s="50"/>
      <c r="B154" s="50"/>
      <c r="C154" s="162" t="s">
        <v>46</v>
      </c>
      <c r="D154" s="50"/>
      <c r="E154" s="50"/>
      <c r="F154" s="50"/>
      <c r="G154" s="50"/>
      <c r="H154" s="50"/>
      <c r="I154" s="50"/>
      <c r="J154" s="50"/>
      <c r="K154" s="95"/>
      <c r="L154" s="27"/>
      <c r="M154" s="15"/>
    </row>
    <row r="155" spans="1:13">
      <c r="A155" s="50"/>
      <c r="B155" s="50"/>
      <c r="C155" s="50" t="s">
        <v>157</v>
      </c>
      <c r="D155" s="49">
        <f>E17/E18</f>
        <v>0.10359585263622326</v>
      </c>
      <c r="E155" s="50"/>
      <c r="F155" s="50"/>
      <c r="G155" s="50"/>
      <c r="H155" s="50"/>
      <c r="I155" s="50"/>
      <c r="J155" s="50"/>
      <c r="K155" s="95"/>
      <c r="L155" s="125"/>
      <c r="M155" s="15"/>
    </row>
    <row r="156" spans="1:13">
      <c r="A156" s="50"/>
      <c r="B156" s="50"/>
      <c r="C156" s="50" t="s">
        <v>167</v>
      </c>
      <c r="D156" s="50"/>
      <c r="E156" s="129">
        <f>E18</f>
        <v>22665</v>
      </c>
      <c r="F156" s="32">
        <f>E159</f>
        <v>23304</v>
      </c>
      <c r="G156" s="32">
        <f>F159</f>
        <v>24981.421449124067</v>
      </c>
      <c r="H156" s="32">
        <f>G159</f>
        <v>26011.407292093776</v>
      </c>
      <c r="I156" s="32">
        <f>H159</f>
        <v>26869.172929062952</v>
      </c>
      <c r="J156" s="32">
        <f>I159</f>
        <v>27282.925805580391</v>
      </c>
      <c r="K156" s="95"/>
      <c r="L156" s="125"/>
      <c r="M156" s="15"/>
    </row>
    <row r="157" spans="1:13">
      <c r="A157" s="50"/>
      <c r="B157" s="50"/>
      <c r="C157" s="50" t="s">
        <v>34</v>
      </c>
      <c r="D157" s="50"/>
      <c r="E157" s="129">
        <f>E17</f>
        <v>2348</v>
      </c>
      <c r="F157" s="32">
        <f>F156*$D155</f>
        <v>2414.1977498345468</v>
      </c>
      <c r="G157" s="32">
        <f>G156*$D155</f>
        <v>2587.9716550868438</v>
      </c>
      <c r="H157" s="32">
        <f>H156*$D155</f>
        <v>2694.6739166925299</v>
      </c>
      <c r="I157" s="32">
        <f>I156*$D155</f>
        <v>2783.534879216405</v>
      </c>
      <c r="J157" s="32">
        <f>J156*$D155</f>
        <v>2826.3979612399189</v>
      </c>
      <c r="K157" s="95"/>
      <c r="L157" s="50"/>
      <c r="M157" s="15"/>
    </row>
    <row r="158" spans="1:13">
      <c r="A158" s="50"/>
      <c r="B158" s="50"/>
      <c r="C158" s="50" t="s">
        <v>98</v>
      </c>
      <c r="D158" s="50"/>
      <c r="E158" s="32">
        <f t="shared" ref="E158:J158" si="26">E29</f>
        <v>2987</v>
      </c>
      <c r="F158" s="32">
        <f t="shared" si="26"/>
        <v>4091.6191989586155</v>
      </c>
      <c r="G158" s="32">
        <f t="shared" si="26"/>
        <v>3617.957498056554</v>
      </c>
      <c r="H158" s="32">
        <f t="shared" si="26"/>
        <v>3552.4395536617048</v>
      </c>
      <c r="I158" s="32">
        <f t="shared" si="26"/>
        <v>3197.2877557338447</v>
      </c>
      <c r="J158" s="32">
        <f t="shared" si="26"/>
        <v>3223.4869778450902</v>
      </c>
      <c r="K158" s="95"/>
      <c r="L158" s="125"/>
      <c r="M158" s="15"/>
    </row>
    <row r="159" spans="1:13">
      <c r="A159" s="50"/>
      <c r="B159" s="50"/>
      <c r="C159" s="50" t="s">
        <v>127</v>
      </c>
      <c r="D159" s="50"/>
      <c r="E159" s="32">
        <f t="shared" ref="E159:J159" si="27">E156-E157+E158</f>
        <v>23304</v>
      </c>
      <c r="F159" s="32">
        <f t="shared" si="27"/>
        <v>24981.421449124067</v>
      </c>
      <c r="G159" s="32">
        <f t="shared" si="27"/>
        <v>26011.407292093776</v>
      </c>
      <c r="H159" s="32">
        <f t="shared" si="27"/>
        <v>26869.172929062952</v>
      </c>
      <c r="I159" s="32">
        <f t="shared" si="27"/>
        <v>27282.925805580391</v>
      </c>
      <c r="J159" s="32">
        <f t="shared" si="27"/>
        <v>27680.014822185563</v>
      </c>
      <c r="K159" s="95"/>
      <c r="L159" s="125"/>
      <c r="M159" s="15"/>
    </row>
    <row r="160" spans="1:13">
      <c r="A160" s="50"/>
      <c r="B160" s="50"/>
      <c r="C160" s="50"/>
      <c r="D160" s="50"/>
      <c r="E160" s="50"/>
      <c r="F160" s="50"/>
      <c r="G160" s="50"/>
      <c r="H160" s="50"/>
      <c r="I160" s="50"/>
      <c r="J160" s="50"/>
      <c r="K160" s="95"/>
      <c r="L160" s="27"/>
      <c r="M160" s="15"/>
    </row>
    <row r="161" spans="1:13" ht="15.75">
      <c r="A161" s="50"/>
      <c r="B161" s="50"/>
      <c r="C161" s="162" t="s">
        <v>128</v>
      </c>
      <c r="D161" s="50"/>
      <c r="E161" s="50"/>
      <c r="F161" s="50"/>
      <c r="G161" s="50"/>
      <c r="H161" s="50"/>
      <c r="I161" s="50"/>
      <c r="J161" s="50"/>
      <c r="K161" s="95"/>
      <c r="L161" s="27"/>
      <c r="M161" s="15"/>
    </row>
    <row r="162" spans="1:13">
      <c r="A162" s="50"/>
      <c r="B162" s="50"/>
      <c r="C162" s="50" t="s">
        <v>126</v>
      </c>
      <c r="D162" s="50"/>
      <c r="E162" s="32">
        <f t="shared" ref="E162:J162" si="28">E147-E157</f>
        <v>34</v>
      </c>
      <c r="F162" s="32">
        <f t="shared" si="28"/>
        <v>33.136572537589018</v>
      </c>
      <c r="G162" s="32">
        <f t="shared" si="28"/>
        <v>-50.850004345244088</v>
      </c>
      <c r="H162" s="32">
        <f t="shared" si="28"/>
        <v>-78.361237349551629</v>
      </c>
      <c r="I162" s="32">
        <f t="shared" si="28"/>
        <v>-89.567597764729271</v>
      </c>
      <c r="J162" s="32">
        <f t="shared" si="28"/>
        <v>-62.756875833808408</v>
      </c>
      <c r="K162" s="95"/>
      <c r="L162" s="50"/>
      <c r="M162" s="15"/>
    </row>
    <row r="163" spans="1:13">
      <c r="A163" s="50"/>
      <c r="B163" s="50"/>
      <c r="C163" s="50"/>
      <c r="D163" s="50"/>
      <c r="E163" s="50"/>
      <c r="F163" s="50"/>
      <c r="G163" s="50"/>
      <c r="H163" s="50"/>
      <c r="I163" s="50"/>
      <c r="J163" s="50"/>
      <c r="K163" s="95"/>
      <c r="L163" s="50"/>
      <c r="M163" s="15"/>
    </row>
    <row r="164" spans="1:13" ht="15.75">
      <c r="A164" s="50"/>
      <c r="B164" s="50"/>
      <c r="C164" s="162" t="s">
        <v>47</v>
      </c>
      <c r="D164" s="50"/>
      <c r="E164" s="50"/>
      <c r="F164" s="50"/>
      <c r="G164" s="50"/>
      <c r="H164" s="50"/>
      <c r="I164" s="50"/>
      <c r="J164" s="50"/>
      <c r="K164" s="95"/>
      <c r="L164" s="50"/>
      <c r="M164" s="15"/>
    </row>
    <row r="165" spans="1:13">
      <c r="A165" s="50"/>
      <c r="B165" s="50"/>
      <c r="C165" s="50" t="s">
        <v>151</v>
      </c>
      <c r="D165" s="50"/>
      <c r="E165" s="193">
        <v>0</v>
      </c>
      <c r="F165" s="31">
        <f>E168</f>
        <v>-449.63749999999999</v>
      </c>
      <c r="G165" s="31">
        <f>F168</f>
        <v>-899.53402823872329</v>
      </c>
      <c r="H165" s="31">
        <f>G168</f>
        <v>-1342.9536961220583</v>
      </c>
      <c r="I165" s="31">
        <f>H168</f>
        <v>-1794.0765092465995</v>
      </c>
      <c r="J165" s="31">
        <f>I168</f>
        <v>-2248.3371032873902</v>
      </c>
      <c r="K165" s="95"/>
      <c r="L165" s="50"/>
      <c r="M165" s="15"/>
    </row>
    <row r="166" spans="1:13">
      <c r="A166" s="50"/>
      <c r="B166" s="50"/>
      <c r="C166" s="50" t="s">
        <v>126</v>
      </c>
      <c r="D166" s="50"/>
      <c r="E166" s="32">
        <f t="shared" ref="E166:J166" si="29">E162</f>
        <v>34</v>
      </c>
      <c r="F166" s="32">
        <f t="shared" si="29"/>
        <v>33.136572537589018</v>
      </c>
      <c r="G166" s="32">
        <f t="shared" si="29"/>
        <v>-50.850004345244088</v>
      </c>
      <c r="H166" s="32">
        <f t="shared" si="29"/>
        <v>-78.361237349551629</v>
      </c>
      <c r="I166" s="32">
        <f t="shared" si="29"/>
        <v>-89.567597764729271</v>
      </c>
      <c r="J166" s="32">
        <f t="shared" si="29"/>
        <v>-62.756875833808408</v>
      </c>
      <c r="K166" s="95"/>
      <c r="L166" s="50"/>
      <c r="M166" s="15"/>
    </row>
    <row r="167" spans="1:13">
      <c r="A167" s="50"/>
      <c r="B167" s="50"/>
      <c r="C167" s="50" t="s">
        <v>48</v>
      </c>
      <c r="D167" s="50"/>
      <c r="E167" s="129">
        <f>(E11-E18)/E19</f>
        <v>1532.7916666666667</v>
      </c>
      <c r="F167" s="32">
        <f>E167</f>
        <v>1532.7916666666667</v>
      </c>
      <c r="G167" s="32">
        <f>F167</f>
        <v>1532.7916666666667</v>
      </c>
      <c r="H167" s="32">
        <f>G167</f>
        <v>1532.7916666666667</v>
      </c>
      <c r="I167" s="32">
        <f>H167</f>
        <v>1532.7916666666667</v>
      </c>
      <c r="J167" s="32">
        <f>I167</f>
        <v>1532.7916666666667</v>
      </c>
      <c r="K167" s="95"/>
      <c r="L167" s="50"/>
      <c r="M167" s="15"/>
    </row>
    <row r="168" spans="1:13">
      <c r="A168" s="50"/>
      <c r="B168" s="50"/>
      <c r="C168" s="50" t="s">
        <v>152</v>
      </c>
      <c r="D168" s="50"/>
      <c r="E168" s="31">
        <f t="shared" ref="E168:J168" si="30">E165+(E166-E167)*E53</f>
        <v>-449.63749999999999</v>
      </c>
      <c r="F168" s="31">
        <f t="shared" si="30"/>
        <v>-899.53402823872329</v>
      </c>
      <c r="G168" s="31">
        <f t="shared" si="30"/>
        <v>-1342.9536961220583</v>
      </c>
      <c r="H168" s="31">
        <f t="shared" si="30"/>
        <v>-1794.0765092465995</v>
      </c>
      <c r="I168" s="31">
        <f t="shared" si="30"/>
        <v>-2248.3371032873902</v>
      </c>
      <c r="J168" s="31">
        <f t="shared" si="30"/>
        <v>-2695.0906951875231</v>
      </c>
      <c r="K168" s="95"/>
      <c r="L168" s="50"/>
      <c r="M168" s="15"/>
    </row>
    <row r="169" spans="1:13">
      <c r="A169" s="50"/>
      <c r="B169" s="50"/>
      <c r="C169" s="50"/>
      <c r="D169" s="50"/>
      <c r="E169" s="31"/>
      <c r="F169" s="31"/>
      <c r="G169" s="31"/>
      <c r="H169" s="31"/>
      <c r="I169" s="31"/>
      <c r="J169" s="31"/>
      <c r="K169" s="95"/>
      <c r="L169" s="27"/>
      <c r="M169" s="15"/>
    </row>
    <row r="170" spans="1:13" ht="15.75">
      <c r="A170" s="50"/>
      <c r="B170" s="50"/>
      <c r="C170" s="162" t="s">
        <v>196</v>
      </c>
      <c r="D170" s="50"/>
      <c r="E170" s="50"/>
      <c r="F170" s="50"/>
      <c r="G170" s="50"/>
      <c r="H170" s="50"/>
      <c r="I170" s="50"/>
      <c r="J170" s="50"/>
      <c r="K170" s="95"/>
      <c r="L170" s="27"/>
      <c r="M170" s="15"/>
    </row>
    <row r="171" spans="1:13">
      <c r="A171" s="50"/>
      <c r="B171" s="50"/>
      <c r="C171" s="50" t="s">
        <v>106</v>
      </c>
      <c r="D171" s="50"/>
      <c r="E171" s="32">
        <f t="shared" ref="E171:J171" si="31">E143+E165</f>
        <v>59452</v>
      </c>
      <c r="F171" s="32">
        <f t="shared" si="31"/>
        <v>60605.493918418477</v>
      </c>
      <c r="G171" s="32">
        <f t="shared" si="31"/>
        <v>62939.031073723199</v>
      </c>
      <c r="H171" s="32">
        <f t="shared" si="31"/>
        <v>65007.630489138886</v>
      </c>
      <c r="I171" s="32">
        <f t="shared" si="31"/>
        <v>66821.851843355485</v>
      </c>
      <c r="J171" s="32">
        <f t="shared" si="31"/>
        <v>68086.001120746951</v>
      </c>
      <c r="K171" s="95"/>
      <c r="L171" s="50"/>
      <c r="M171" s="15"/>
    </row>
    <row r="172" spans="1:13">
      <c r="A172" s="50"/>
      <c r="B172" s="50"/>
      <c r="C172" s="50" t="s">
        <v>98</v>
      </c>
      <c r="D172" s="50"/>
      <c r="E172" s="32">
        <f t="shared" ref="E172:J172" si="32">E29</f>
        <v>2987</v>
      </c>
      <c r="F172" s="32">
        <f t="shared" si="32"/>
        <v>4091.6191989586155</v>
      </c>
      <c r="G172" s="32">
        <f t="shared" si="32"/>
        <v>3617.957498056554</v>
      </c>
      <c r="H172" s="32">
        <f t="shared" si="32"/>
        <v>3552.4395536617048</v>
      </c>
      <c r="I172" s="32">
        <f t="shared" si="32"/>
        <v>3197.2877557338447</v>
      </c>
      <c r="J172" s="32">
        <f t="shared" si="32"/>
        <v>3223.4869778450902</v>
      </c>
      <c r="K172" s="95"/>
      <c r="L172" s="50"/>
      <c r="M172" s="15"/>
    </row>
    <row r="173" spans="1:13">
      <c r="A173" s="50"/>
      <c r="B173" s="50"/>
      <c r="C173" s="50" t="s">
        <v>111</v>
      </c>
      <c r="D173" s="50"/>
      <c r="E173" s="96">
        <f t="shared" ref="E173:J173" si="33">E152</f>
        <v>0</v>
      </c>
      <c r="F173" s="96">
        <f t="shared" si="33"/>
        <v>0</v>
      </c>
      <c r="G173" s="96">
        <f t="shared" si="33"/>
        <v>0</v>
      </c>
      <c r="H173" s="96">
        <f t="shared" si="33"/>
        <v>0</v>
      </c>
      <c r="I173" s="96">
        <f t="shared" si="33"/>
        <v>0</v>
      </c>
      <c r="J173" s="96">
        <f t="shared" si="33"/>
        <v>0</v>
      </c>
      <c r="K173" s="95"/>
      <c r="L173" s="50"/>
      <c r="M173" s="15"/>
    </row>
    <row r="174" spans="1:13">
      <c r="A174" s="50"/>
      <c r="B174" s="50"/>
      <c r="C174" s="50" t="s">
        <v>44</v>
      </c>
      <c r="D174" s="50"/>
      <c r="E174" s="96">
        <f t="shared" ref="E174:J174" si="34">E144</f>
        <v>1023.1314184184723</v>
      </c>
      <c r="F174" s="96">
        <f t="shared" si="34"/>
        <v>1207.9691691858368</v>
      </c>
      <c r="G174" s="96">
        <f t="shared" si="34"/>
        <v>1551.7956872736606</v>
      </c>
      <c r="H174" s="96">
        <f t="shared" si="34"/>
        <v>1517.0885596208861</v>
      </c>
      <c r="I174" s="96">
        <f t="shared" si="34"/>
        <v>1469.8249641375357</v>
      </c>
      <c r="J174" s="96">
        <f t="shared" si="34"/>
        <v>1405.0662895012752</v>
      </c>
      <c r="K174" s="95"/>
      <c r="L174" s="50"/>
      <c r="M174" s="15"/>
    </row>
    <row r="175" spans="1:13">
      <c r="A175" s="50"/>
      <c r="B175" s="50"/>
      <c r="C175" s="50" t="s">
        <v>196</v>
      </c>
      <c r="D175" s="50"/>
      <c r="E175" s="32">
        <f t="shared" ref="E175:J175" si="35">E171*WACC+E172*($D$48-1)+E173-E174</f>
        <v>4318.6778942538131</v>
      </c>
      <c r="F175" s="32">
        <f t="shared" si="35"/>
        <v>4282.2886226987939</v>
      </c>
      <c r="G175" s="32">
        <f t="shared" si="35"/>
        <v>4122.8365783910367</v>
      </c>
      <c r="H175" s="32">
        <f t="shared" si="35"/>
        <v>4336.1551515383071</v>
      </c>
      <c r="I175" s="32">
        <f t="shared" si="35"/>
        <v>4527.3224531796095</v>
      </c>
      <c r="J175" s="32">
        <f t="shared" si="35"/>
        <v>4704.0685681689883</v>
      </c>
      <c r="K175" s="95"/>
      <c r="L175" s="50"/>
      <c r="M175" s="15"/>
    </row>
    <row r="176" spans="1:13">
      <c r="A176" s="50"/>
      <c r="B176" s="50"/>
      <c r="C176" s="50"/>
      <c r="D176" s="50"/>
      <c r="E176" s="31"/>
      <c r="F176" s="31"/>
      <c r="G176" s="31"/>
      <c r="H176" s="31"/>
      <c r="I176" s="31"/>
      <c r="J176" s="31"/>
      <c r="K176" s="95"/>
      <c r="L176" s="27"/>
      <c r="M176" s="15"/>
    </row>
    <row r="177" spans="1:13" ht="15.75">
      <c r="A177" s="50"/>
      <c r="B177" s="50"/>
      <c r="C177" s="162" t="s">
        <v>49</v>
      </c>
      <c r="D177" s="50"/>
      <c r="E177" s="50"/>
      <c r="F177" s="50"/>
      <c r="G177" s="50"/>
      <c r="H177" s="50"/>
      <c r="I177" s="50"/>
      <c r="J177" s="50"/>
      <c r="K177" s="95"/>
      <c r="L177" s="27"/>
      <c r="M177" s="15"/>
    </row>
    <row r="178" spans="1:13">
      <c r="A178" s="50"/>
      <c r="B178" s="50"/>
      <c r="C178" s="50" t="s">
        <v>50</v>
      </c>
      <c r="D178" s="50"/>
      <c r="E178" s="31">
        <f t="shared" ref="E178:J178" si="36">E171*Leverage*Debt+E152</f>
        <v>2074.3991839999999</v>
      </c>
      <c r="F178" s="31">
        <f t="shared" si="36"/>
        <v>2114.6468938014577</v>
      </c>
      <c r="G178" s="31">
        <f t="shared" si="36"/>
        <v>2196.0686722243495</v>
      </c>
      <c r="H178" s="31">
        <f t="shared" si="36"/>
        <v>2268.2462430270339</v>
      </c>
      <c r="I178" s="31">
        <f t="shared" si="36"/>
        <v>2331.5480545183595</v>
      </c>
      <c r="J178" s="31">
        <f t="shared" si="36"/>
        <v>2375.6567511051026</v>
      </c>
      <c r="K178" s="95"/>
      <c r="L178" s="50"/>
      <c r="M178" s="15"/>
    </row>
    <row r="179" spans="1:13">
      <c r="A179" s="50"/>
      <c r="B179" s="50"/>
      <c r="C179" s="50" t="s">
        <v>51</v>
      </c>
      <c r="D179" s="50"/>
      <c r="E179" s="31">
        <f t="shared" ref="E179:J179" si="37">E145-E147</f>
        <v>0</v>
      </c>
      <c r="F179" s="31">
        <f t="shared" si="37"/>
        <v>42.703680369244921</v>
      </c>
      <c r="G179" s="31">
        <f t="shared" si="37"/>
        <v>94.085559767261657</v>
      </c>
      <c r="H179" s="31">
        <f t="shared" si="37"/>
        <v>160.86579713630317</v>
      </c>
      <c r="I179" s="31">
        <f t="shared" si="37"/>
        <v>227.25151958545939</v>
      </c>
      <c r="J179" s="31">
        <f t="shared" si="37"/>
        <v>292.76615848867141</v>
      </c>
      <c r="K179" s="95"/>
      <c r="L179" s="50"/>
      <c r="M179" s="15"/>
    </row>
    <row r="180" spans="1:13">
      <c r="A180" s="50"/>
      <c r="B180" s="50"/>
      <c r="C180" s="50" t="s">
        <v>52</v>
      </c>
      <c r="D180" s="50"/>
      <c r="E180" s="31">
        <f t="shared" ref="E180:J180" si="38">E167+E179-E178</f>
        <v>-541.60751733333313</v>
      </c>
      <c r="F180" s="31">
        <f t="shared" si="38"/>
        <v>-539.15154676554607</v>
      </c>
      <c r="G180" s="31">
        <f t="shared" si="38"/>
        <v>-569.19144579042108</v>
      </c>
      <c r="H180" s="31">
        <f t="shared" si="38"/>
        <v>-574.58877922406396</v>
      </c>
      <c r="I180" s="31">
        <f t="shared" si="38"/>
        <v>-571.50486826623342</v>
      </c>
      <c r="J180" s="31">
        <f t="shared" si="38"/>
        <v>-550.09892594976441</v>
      </c>
      <c r="K180" s="95"/>
      <c r="L180" s="50"/>
      <c r="M180" s="15"/>
    </row>
    <row r="181" spans="1:13">
      <c r="A181" s="50"/>
      <c r="B181" s="50"/>
      <c r="C181" s="50"/>
      <c r="D181" s="50"/>
      <c r="E181" s="50"/>
      <c r="F181" s="167"/>
      <c r="G181" s="32"/>
      <c r="H181" s="32"/>
      <c r="I181" s="32"/>
      <c r="J181" s="32"/>
      <c r="K181" s="95"/>
      <c r="L181" s="50"/>
      <c r="M181" s="15"/>
    </row>
    <row r="182" spans="1:13" ht="15.75">
      <c r="A182" s="50"/>
      <c r="B182" s="50"/>
      <c r="C182" s="162" t="s">
        <v>107</v>
      </c>
      <c r="D182" s="50"/>
      <c r="E182" s="50"/>
      <c r="F182" s="167"/>
      <c r="G182" s="32"/>
      <c r="H182" s="32"/>
      <c r="I182" s="32"/>
      <c r="J182" s="32"/>
      <c r="K182" s="95"/>
      <c r="L182" s="27"/>
      <c r="M182" s="15"/>
    </row>
    <row r="183" spans="1:13">
      <c r="A183" s="50"/>
      <c r="B183" s="50"/>
      <c r="C183" s="50" t="s">
        <v>153</v>
      </c>
      <c r="D183" s="50"/>
      <c r="E183" s="32">
        <f t="shared" ref="E183:J183" si="39">E145</f>
        <v>2382</v>
      </c>
      <c r="F183" s="32">
        <f t="shared" si="39"/>
        <v>2490.0380027413808</v>
      </c>
      <c r="G183" s="32">
        <f t="shared" si="39"/>
        <v>2631.2072105088614</v>
      </c>
      <c r="H183" s="32">
        <f t="shared" si="39"/>
        <v>2777.1784764792815</v>
      </c>
      <c r="I183" s="32">
        <f t="shared" si="39"/>
        <v>2921.2188010371351</v>
      </c>
      <c r="J183" s="32">
        <f t="shared" si="39"/>
        <v>3056.4072438947819</v>
      </c>
      <c r="K183" s="95"/>
      <c r="L183" s="50"/>
      <c r="M183" s="15"/>
    </row>
    <row r="184" spans="1:13">
      <c r="A184" s="50"/>
      <c r="B184" s="50"/>
      <c r="C184" s="50" t="s">
        <v>107</v>
      </c>
      <c r="D184" s="50"/>
      <c r="E184" s="96">
        <f t="shared" ref="E184:J184" si="40">E183</f>
        <v>2382</v>
      </c>
      <c r="F184" s="96">
        <f t="shared" si="40"/>
        <v>2490.0380027413808</v>
      </c>
      <c r="G184" s="96">
        <f t="shared" si="40"/>
        <v>2631.2072105088614</v>
      </c>
      <c r="H184" s="96">
        <f t="shared" si="40"/>
        <v>2777.1784764792815</v>
      </c>
      <c r="I184" s="96">
        <f t="shared" si="40"/>
        <v>2921.2188010371351</v>
      </c>
      <c r="J184" s="96">
        <f t="shared" si="40"/>
        <v>3056.4072438947819</v>
      </c>
      <c r="K184" s="95"/>
      <c r="L184" s="50"/>
      <c r="M184" s="15"/>
    </row>
    <row r="185" spans="1:13">
      <c r="A185" s="50"/>
      <c r="B185" s="50"/>
      <c r="C185" s="50"/>
      <c r="D185" s="50"/>
      <c r="E185" s="50"/>
      <c r="F185" s="96"/>
      <c r="G185" s="96"/>
      <c r="H185" s="96"/>
      <c r="I185" s="96"/>
      <c r="J185" s="96"/>
      <c r="K185" s="95"/>
      <c r="L185" s="50"/>
      <c r="M185" s="15"/>
    </row>
    <row r="186" spans="1:13" ht="15.75">
      <c r="A186" s="50"/>
      <c r="B186" s="50"/>
      <c r="C186" s="121" t="s">
        <v>122</v>
      </c>
      <c r="D186" s="50"/>
      <c r="E186" s="50"/>
      <c r="F186" s="96"/>
      <c r="G186" s="96"/>
      <c r="H186" s="96"/>
      <c r="I186" s="96"/>
      <c r="J186" s="96"/>
      <c r="K186" s="95"/>
      <c r="L186" s="27"/>
      <c r="M186" s="15"/>
    </row>
    <row r="187" spans="1:13">
      <c r="A187" s="50"/>
      <c r="B187" s="50"/>
      <c r="C187" s="50" t="s">
        <v>122</v>
      </c>
      <c r="D187" s="50"/>
      <c r="E187" s="32">
        <f t="shared" ref="E187:J187" si="41">E43</f>
        <v>85.332655930474175</v>
      </c>
      <c r="F187" s="32">
        <f t="shared" si="41"/>
        <v>89.144233086894616</v>
      </c>
      <c r="G187" s="32">
        <f t="shared" si="41"/>
        <v>90.544404287212345</v>
      </c>
      <c r="H187" s="32">
        <f t="shared" si="41"/>
        <v>92.177937354249678</v>
      </c>
      <c r="I187" s="32">
        <f t="shared" si="41"/>
        <v>93.811470421287027</v>
      </c>
      <c r="J187" s="32">
        <f t="shared" si="41"/>
        <v>95.989514510670134</v>
      </c>
      <c r="K187" s="95"/>
      <c r="L187" s="125"/>
      <c r="M187" s="15"/>
    </row>
    <row r="188" spans="1:13">
      <c r="A188" s="50"/>
      <c r="B188" s="50"/>
      <c r="C188" s="50"/>
      <c r="D188" s="50"/>
      <c r="E188" s="50"/>
      <c r="F188" s="96"/>
      <c r="G188" s="96"/>
      <c r="H188" s="96"/>
      <c r="I188" s="96"/>
      <c r="J188" s="96"/>
      <c r="K188" s="95"/>
      <c r="L188" s="27"/>
      <c r="M188" s="15"/>
    </row>
    <row r="189" spans="1:13" ht="15.75">
      <c r="A189" s="50"/>
      <c r="B189" s="50"/>
      <c r="C189" s="162" t="s">
        <v>179</v>
      </c>
      <c r="D189" s="50"/>
      <c r="E189" s="32">
        <f t="shared" ref="E189:J189" si="42">E28</f>
        <v>4402</v>
      </c>
      <c r="F189" s="32">
        <f t="shared" si="42"/>
        <v>4519.8749144208259</v>
      </c>
      <c r="G189" s="32">
        <f t="shared" si="42"/>
        <v>4655.2180622759379</v>
      </c>
      <c r="H189" s="32">
        <f t="shared" si="42"/>
        <v>4764.6232059655686</v>
      </c>
      <c r="I189" s="32">
        <f t="shared" si="42"/>
        <v>4885.7498828170155</v>
      </c>
      <c r="J189" s="32">
        <f t="shared" si="42"/>
        <v>5015.8181496926263</v>
      </c>
      <c r="K189" s="95"/>
      <c r="L189" s="125"/>
      <c r="M189" s="15"/>
    </row>
    <row r="190" spans="1:13">
      <c r="A190" s="50"/>
      <c r="B190" s="50"/>
      <c r="C190" s="50" t="s">
        <v>180</v>
      </c>
      <c r="D190" s="50"/>
      <c r="E190" s="32">
        <f t="shared" ref="E190:J190" si="43">E189*$D$46</f>
        <v>4590.4429037775008</v>
      </c>
      <c r="F190" s="32">
        <f t="shared" si="43"/>
        <v>4713.3638634404861</v>
      </c>
      <c r="G190" s="32">
        <f t="shared" si="43"/>
        <v>4854.5008449594343</v>
      </c>
      <c r="H190" s="32">
        <f t="shared" si="43"/>
        <v>4968.5894559287262</v>
      </c>
      <c r="I190" s="32">
        <f t="shared" si="43"/>
        <v>5094.9013810107053</v>
      </c>
      <c r="J190" s="32">
        <f t="shared" si="43"/>
        <v>5230.5376719434153</v>
      </c>
      <c r="K190" s="95"/>
      <c r="L190" s="125"/>
      <c r="M190" s="15"/>
    </row>
    <row r="191" spans="1:13">
      <c r="A191" s="50"/>
      <c r="B191" s="50"/>
      <c r="C191" s="50"/>
      <c r="D191" s="50"/>
      <c r="E191" s="50"/>
      <c r="F191" s="96"/>
      <c r="G191" s="32"/>
      <c r="H191" s="32"/>
      <c r="I191" s="32"/>
      <c r="J191" s="32"/>
      <c r="K191" s="95"/>
      <c r="L191" s="27"/>
      <c r="M191" s="15"/>
    </row>
    <row r="192" spans="1:13" ht="15.75">
      <c r="A192" s="50"/>
      <c r="B192" s="50"/>
      <c r="C192" s="162" t="s">
        <v>229</v>
      </c>
      <c r="D192" s="50"/>
      <c r="E192" s="50"/>
      <c r="F192" s="50"/>
      <c r="G192" s="50"/>
      <c r="H192" s="50"/>
      <c r="I192" s="50"/>
      <c r="J192" s="50"/>
      <c r="K192" s="95"/>
      <c r="L192" s="125"/>
      <c r="M192" s="15"/>
    </row>
    <row r="193" spans="1:15">
      <c r="A193" s="50"/>
      <c r="B193" s="50"/>
      <c r="C193" s="50" t="s">
        <v>169</v>
      </c>
      <c r="D193" s="50"/>
      <c r="E193" s="31">
        <f t="shared" ref="E193:J193" si="44">E168-E165</f>
        <v>-449.63749999999999</v>
      </c>
      <c r="F193" s="31">
        <f t="shared" si="44"/>
        <v>-449.89652823872331</v>
      </c>
      <c r="G193" s="31">
        <f t="shared" si="44"/>
        <v>-443.41966788333502</v>
      </c>
      <c r="H193" s="31">
        <f t="shared" si="44"/>
        <v>-451.12281312454115</v>
      </c>
      <c r="I193" s="31">
        <f t="shared" si="44"/>
        <v>-454.26059404079069</v>
      </c>
      <c r="J193" s="31">
        <f t="shared" si="44"/>
        <v>-446.75359190013296</v>
      </c>
      <c r="K193" s="95"/>
      <c r="L193" s="125"/>
      <c r="M193" s="15"/>
    </row>
    <row r="194" spans="1:15">
      <c r="A194" s="50"/>
      <c r="B194" s="50"/>
      <c r="C194" s="50" t="s">
        <v>170</v>
      </c>
      <c r="D194" s="50"/>
      <c r="E194" s="50"/>
      <c r="F194" s="31">
        <f>(F175+F184+F190+((F187-F189-F145-F152+F180)*F53+F193)*$D47-F193-F187*$D49)/($D50-F53*$D47)</f>
        <v>12523.263290564188</v>
      </c>
      <c r="G194" s="31">
        <f>(G175+G184+G190+((G187-G189-G145-G152+G180)*G53+G193)*$D47-G193-G187*$D49)/($D50-G53*$D47)</f>
        <v>12424.930087637124</v>
      </c>
      <c r="H194" s="31">
        <f>(H175+H184+H190+((H187-H189-H145-H152+H180)*H53+H193)*$D47-H193-H187*$D49)/($D50-H53*$D47)</f>
        <v>12957.697288260204</v>
      </c>
      <c r="I194" s="31">
        <f>(I175+I184+I190+((I187-I189-I145-I152+I180)*I53+I193)*$D47-I193-I187*$D49)/($D50-I53*$D47)</f>
        <v>13474.2453312245</v>
      </c>
      <c r="J194" s="31">
        <f>(J175+J184+J190+((J187-J189-J145-J152+J180)*J53+J193)*$D47-J193-J187*$D49)/($D50-J53*$D47)</f>
        <v>13979.243091469705</v>
      </c>
      <c r="K194" s="95"/>
      <c r="L194" s="125"/>
      <c r="M194" s="15"/>
    </row>
    <row r="195" spans="1:15">
      <c r="A195" s="50"/>
      <c r="B195" s="50"/>
      <c r="C195" s="50" t="s">
        <v>177</v>
      </c>
      <c r="D195" s="50"/>
      <c r="E195" s="50"/>
      <c r="F195" s="31">
        <f>(F194+F187-F189-F183-F152+F180)*F53</f>
        <v>1519.0029179169987</v>
      </c>
      <c r="G195" s="31">
        <f>(G194+G187-G189-G183-G152+G180)*G53</f>
        <v>1304.7601765377526</v>
      </c>
      <c r="H195" s="31">
        <f>(H194+H187-H189-H183-H152+H180)*H53</f>
        <v>1381.3757339047515</v>
      </c>
      <c r="I195" s="31">
        <f>(I194+I187-I189-I183-I152+I180)*I53</f>
        <v>1453.0833098671128</v>
      </c>
      <c r="J195" s="31">
        <f>(J194+J187-J189-J183-J152+J180)*J53</f>
        <v>1526.8143202040965</v>
      </c>
      <c r="K195" s="95"/>
      <c r="L195" s="125"/>
      <c r="M195" s="15"/>
    </row>
    <row r="196" spans="1:15">
      <c r="A196" s="50"/>
      <c r="B196" s="50"/>
      <c r="C196" s="50" t="s">
        <v>162</v>
      </c>
      <c r="D196" s="50"/>
      <c r="E196" s="50"/>
      <c r="F196" s="31">
        <f>IF(F195&lt;0,#N/A,F195)</f>
        <v>1519.0029179169987</v>
      </c>
      <c r="G196" s="31">
        <f>IF(G195&lt;0,#N/A,G195)</f>
        <v>1304.7601765377526</v>
      </c>
      <c r="H196" s="31">
        <f>IF(H195&lt;0,#N/A,H195)</f>
        <v>1381.3757339047515</v>
      </c>
      <c r="I196" s="31">
        <f>IF(I195&lt;0,#N/A,I195)</f>
        <v>1453.0833098671128</v>
      </c>
      <c r="J196" s="31">
        <f>IF(J195&lt;0,#N/A,J195)</f>
        <v>1526.8143202040965</v>
      </c>
      <c r="K196" s="95"/>
      <c r="L196" s="50"/>
      <c r="M196" s="15"/>
    </row>
    <row r="197" spans="1:15">
      <c r="A197" s="50"/>
      <c r="B197" s="50"/>
      <c r="C197" s="50" t="s">
        <v>171</v>
      </c>
      <c r="D197" s="50"/>
      <c r="E197" s="50"/>
      <c r="F197" s="31">
        <f>F175+F184+F190+(F196+F193)*$D$47-F193-F187*$D$49</f>
        <v>12957.499858485899</v>
      </c>
      <c r="G197" s="31">
        <f>G175+G184+G190+(G196+G193)*$D$47-G193-G187*$D$49</f>
        <v>12855.757011318265</v>
      </c>
      <c r="H197" s="31">
        <f>H175+H184+H190+(H196+H193)*$D$47-H193-H187*$D$49</f>
        <v>13406.997591868936</v>
      </c>
      <c r="I197" s="31">
        <f>I175+I184+I190+(I196+I193)*$D$47-I193-I187*$D$49</f>
        <v>13941.456625294679</v>
      </c>
      <c r="J197" s="31">
        <f>J175+J184+J190+(J196+J193)*$D$47-J193-J187*$D$49</f>
        <v>14463.964876945287</v>
      </c>
      <c r="K197" s="95"/>
      <c r="L197" s="27"/>
      <c r="M197" s="15"/>
    </row>
    <row r="198" spans="1:15">
      <c r="A198" s="50"/>
      <c r="B198" s="50"/>
      <c r="C198" s="50" t="s">
        <v>172</v>
      </c>
      <c r="D198" s="50"/>
      <c r="E198" s="50"/>
      <c r="F198" s="31">
        <f>F197/$D$50</f>
        <v>12523.263290564188</v>
      </c>
      <c r="G198" s="31">
        <f>G197/$D$50</f>
        <v>12424.930087637122</v>
      </c>
      <c r="H198" s="31">
        <f>H197/$D$50</f>
        <v>12957.697288260204</v>
      </c>
      <c r="I198" s="31">
        <f>I197/$D$50</f>
        <v>13474.2453312245</v>
      </c>
      <c r="J198" s="31">
        <f>J197/$D$50</f>
        <v>13979.243091469705</v>
      </c>
      <c r="K198" s="95"/>
      <c r="L198" s="50"/>
      <c r="M198" s="15"/>
    </row>
    <row r="199" spans="1:15">
      <c r="A199" s="50"/>
      <c r="B199" s="50"/>
      <c r="C199" s="50" t="s">
        <v>173</v>
      </c>
      <c r="D199" s="50"/>
      <c r="E199" s="50"/>
      <c r="F199" s="31">
        <f>F194-F198</f>
        <v>0</v>
      </c>
      <c r="G199" s="31">
        <f>G194-G198</f>
        <v>0</v>
      </c>
      <c r="H199" s="31">
        <f>H194-H198</f>
        <v>0</v>
      </c>
      <c r="I199" s="31">
        <f>I194-I198</f>
        <v>0</v>
      </c>
      <c r="J199" s="31">
        <f>J194-J198</f>
        <v>0</v>
      </c>
      <c r="K199" s="95"/>
      <c r="L199" s="27"/>
      <c r="M199" s="15"/>
    </row>
    <row r="200" spans="1:15">
      <c r="A200" s="50"/>
      <c r="B200" s="50"/>
      <c r="C200" s="50"/>
      <c r="D200" s="50"/>
      <c r="E200" s="50"/>
      <c r="F200" s="50"/>
      <c r="G200" s="50"/>
      <c r="H200" s="50"/>
      <c r="I200" s="50"/>
      <c r="J200" s="50"/>
      <c r="K200" s="50"/>
      <c r="L200" s="50"/>
      <c r="M200" s="15"/>
    </row>
    <row r="201" spans="1:15" ht="15.75">
      <c r="A201" s="50"/>
      <c r="B201" s="50"/>
      <c r="C201" s="162" t="s">
        <v>174</v>
      </c>
      <c r="D201" s="50"/>
      <c r="E201" s="50"/>
      <c r="F201" s="31"/>
      <c r="G201" s="31"/>
      <c r="H201" s="31"/>
      <c r="I201" s="31"/>
      <c r="J201" s="50"/>
      <c r="K201" s="95"/>
      <c r="L201" s="27"/>
      <c r="M201" s="15"/>
    </row>
    <row r="202" spans="1:15">
      <c r="A202" s="50"/>
      <c r="B202" s="50"/>
      <c r="C202" s="95" t="s">
        <v>103</v>
      </c>
      <c r="D202" s="50"/>
      <c r="E202" s="50"/>
      <c r="F202" s="31"/>
      <c r="G202" s="31"/>
      <c r="H202" s="31"/>
      <c r="I202" s="31"/>
      <c r="J202" s="50"/>
      <c r="K202" s="95"/>
      <c r="L202" s="50"/>
      <c r="M202" s="15"/>
      <c r="O202" s="8"/>
    </row>
    <row r="203" spans="1:15">
      <c r="A203" s="50"/>
      <c r="B203" s="50"/>
      <c r="C203" s="50" t="s">
        <v>175</v>
      </c>
      <c r="D203" s="50"/>
      <c r="E203" s="50"/>
      <c r="F203" s="50"/>
      <c r="G203" s="50"/>
      <c r="H203" s="31">
        <v>1</v>
      </c>
      <c r="I203" s="31">
        <v>2</v>
      </c>
      <c r="J203" s="31">
        <v>3</v>
      </c>
      <c r="K203" s="95"/>
      <c r="L203" s="27"/>
      <c r="M203" s="15"/>
    </row>
    <row r="204" spans="1:15">
      <c r="A204" s="50"/>
      <c r="B204" s="50" t="s">
        <v>135</v>
      </c>
      <c r="C204" s="50" t="s">
        <v>136</v>
      </c>
      <c r="D204" s="50"/>
      <c r="E204" s="50"/>
      <c r="F204" s="31"/>
      <c r="G204" s="31"/>
      <c r="H204" s="31">
        <f>H197</f>
        <v>13406.997591868936</v>
      </c>
      <c r="I204" s="31">
        <f>I197</f>
        <v>13941.456625294679</v>
      </c>
      <c r="J204" s="31">
        <f>J197</f>
        <v>14463.964876945287</v>
      </c>
      <c r="K204" s="95"/>
      <c r="L204" s="50"/>
      <c r="M204" s="15"/>
    </row>
    <row r="205" spans="1:15">
      <c r="A205" s="50"/>
      <c r="B205" s="50" t="s">
        <v>135</v>
      </c>
      <c r="C205" s="50" t="s">
        <v>137</v>
      </c>
      <c r="D205" s="50"/>
      <c r="E205" s="50"/>
      <c r="F205" s="31"/>
      <c r="G205" s="31"/>
      <c r="H205" s="31">
        <f>H204/(1+WACC)^H$203</f>
        <v>12326.006795871046</v>
      </c>
      <c r="I205" s="31">
        <f>I204/(1+WACC)^I$203</f>
        <v>11783.922967850336</v>
      </c>
      <c r="J205" s="31">
        <f>J204/(1+WACC)^J$203</f>
        <v>11239.835959239439</v>
      </c>
      <c r="K205" s="95"/>
      <c r="L205" s="50"/>
      <c r="M205" s="15"/>
    </row>
    <row r="206" spans="1:15">
      <c r="A206" s="50"/>
      <c r="B206" s="50" t="s">
        <v>135</v>
      </c>
      <c r="C206" s="50" t="s">
        <v>101</v>
      </c>
      <c r="D206" s="31">
        <f>SUM(H205:J205)</f>
        <v>35349.765722960823</v>
      </c>
      <c r="E206" s="50"/>
      <c r="F206" s="31"/>
      <c r="G206" s="31"/>
      <c r="H206" s="31"/>
      <c r="I206" s="31"/>
      <c r="J206" s="31"/>
      <c r="K206" s="95"/>
      <c r="L206" s="50"/>
      <c r="M206" s="15"/>
    </row>
    <row r="207" spans="1:15">
      <c r="A207" s="50"/>
      <c r="B207" s="50"/>
      <c r="C207" s="50"/>
      <c r="D207" s="50"/>
      <c r="E207" s="50"/>
      <c r="F207" s="123"/>
      <c r="G207" s="50"/>
      <c r="H207" s="50"/>
      <c r="I207" s="50"/>
      <c r="J207" s="50"/>
      <c r="K207" s="95"/>
      <c r="L207" s="50"/>
      <c r="M207" s="15"/>
    </row>
    <row r="208" spans="1:15" ht="21">
      <c r="A208" s="50"/>
      <c r="B208" s="50"/>
      <c r="C208" s="155" t="s">
        <v>104</v>
      </c>
      <c r="D208" s="50"/>
      <c r="E208" s="50"/>
      <c r="F208" s="123"/>
      <c r="G208" s="50"/>
      <c r="H208" s="50"/>
      <c r="I208" s="50"/>
      <c r="J208" s="50"/>
      <c r="K208" s="95"/>
      <c r="L208" s="50"/>
      <c r="M208" s="15"/>
    </row>
    <row r="209" spans="1:13" ht="15.75">
      <c r="A209" s="50"/>
      <c r="B209" s="50"/>
      <c r="C209" s="50"/>
      <c r="D209" s="50"/>
      <c r="E209" s="162" t="str">
        <f>Inputs!D$11</f>
        <v>2009/10</v>
      </c>
      <c r="F209" s="168" t="str">
        <f>Inputs!E$11</f>
        <v>2010/11</v>
      </c>
      <c r="G209" s="162" t="str">
        <f>Inputs!F$11</f>
        <v>2011/12</v>
      </c>
      <c r="H209" s="162" t="str">
        <f>Inputs!G$11</f>
        <v>2012/13</v>
      </c>
      <c r="I209" s="162" t="str">
        <f>Inputs!H$11</f>
        <v>2013/14</v>
      </c>
      <c r="J209" s="162" t="str">
        <f>Inputs!I$11</f>
        <v>2014/15</v>
      </c>
      <c r="K209" s="95"/>
      <c r="L209" s="50"/>
      <c r="M209" s="15"/>
    </row>
    <row r="210" spans="1:13">
      <c r="A210" s="50"/>
      <c r="B210" s="50"/>
      <c r="C210" s="50" t="s">
        <v>53</v>
      </c>
      <c r="D210" s="32">
        <f>D206</f>
        <v>35349.765722960823</v>
      </c>
      <c r="E210" s="50"/>
      <c r="F210" s="169"/>
      <c r="G210" s="32"/>
      <c r="H210" s="32"/>
      <c r="I210" s="32"/>
      <c r="J210" s="32"/>
      <c r="K210" s="95"/>
      <c r="L210" s="50"/>
      <c r="M210" s="15"/>
    </row>
    <row r="211" spans="1:13">
      <c r="A211" s="50"/>
      <c r="B211" s="50"/>
      <c r="C211" s="50" t="s">
        <v>143</v>
      </c>
      <c r="D211" s="50"/>
      <c r="E211" s="50"/>
      <c r="F211" s="113"/>
      <c r="G211" s="113"/>
      <c r="H211" s="170">
        <v>1</v>
      </c>
      <c r="I211" s="113">
        <f>H211*(1+I$35)*(1+I$30)*(1-X_industry_wide)</f>
        <v>1.0225869047150333</v>
      </c>
      <c r="J211" s="113">
        <f>I211*(1+J$35)*(1+J$30)*(1-X_industry_wide)</f>
        <v>1.0440544373051333</v>
      </c>
      <c r="K211" s="95"/>
      <c r="L211" s="50" t="s">
        <v>290</v>
      </c>
    </row>
    <row r="212" spans="1:13">
      <c r="A212" s="50"/>
      <c r="B212" s="50"/>
      <c r="C212" s="50" t="s">
        <v>102</v>
      </c>
      <c r="D212" s="50"/>
      <c r="E212" s="50"/>
      <c r="F212" s="171"/>
      <c r="G212" s="113"/>
      <c r="H212" s="113">
        <f>H211/(1+WACC)^H$203</f>
        <v>0.91937115013330895</v>
      </c>
      <c r="I212" s="113">
        <f>I211/(1+WACC)^I$203</f>
        <v>0.86433474183977266</v>
      </c>
      <c r="J212" s="113">
        <f>J211/(1+WACC)^J$203</f>
        <v>0.81132668031644906</v>
      </c>
      <c r="K212" s="95"/>
      <c r="L212" s="50" t="s">
        <v>165</v>
      </c>
    </row>
    <row r="213" spans="1:13">
      <c r="A213" s="50"/>
      <c r="B213" s="50"/>
      <c r="C213" s="50" t="s">
        <v>91</v>
      </c>
      <c r="D213" s="113">
        <f>SUM(H212:J212)</f>
        <v>2.5950325722895307</v>
      </c>
      <c r="E213" s="50"/>
      <c r="F213" s="171"/>
      <c r="G213" s="113"/>
      <c r="H213" s="113"/>
      <c r="I213" s="113"/>
      <c r="J213" s="113"/>
      <c r="K213" s="95"/>
      <c r="L213" s="50" t="s">
        <v>279</v>
      </c>
    </row>
    <row r="214" spans="1:13">
      <c r="A214" s="50"/>
      <c r="B214" s="50"/>
      <c r="C214" s="50" t="s">
        <v>142</v>
      </c>
      <c r="D214" s="32">
        <f>D210/D213</f>
        <v>13622.089410528142</v>
      </c>
      <c r="E214" s="50"/>
      <c r="F214" s="171"/>
      <c r="G214" s="113"/>
      <c r="H214" s="31"/>
      <c r="I214" s="31"/>
      <c r="J214" s="31"/>
      <c r="K214" s="95"/>
      <c r="L214" s="31"/>
    </row>
    <row r="215" spans="1:13">
      <c r="A215" s="50"/>
      <c r="B215" s="50"/>
      <c r="C215" s="50" t="s">
        <v>138</v>
      </c>
      <c r="D215" s="32"/>
      <c r="E215" s="50"/>
      <c r="F215" s="171"/>
      <c r="G215" s="113"/>
      <c r="H215" s="31">
        <f>$D214*H211</f>
        <v>13622.089410528142</v>
      </c>
      <c r="I215" s="31">
        <f>$D214*I211</f>
        <v>13929.770246063406</v>
      </c>
      <c r="J215" s="31">
        <f>$D214*J211</f>
        <v>14222.202894429174</v>
      </c>
      <c r="K215" s="95"/>
      <c r="L215" s="50" t="s">
        <v>131</v>
      </c>
    </row>
    <row r="216" spans="1:13">
      <c r="A216" s="50"/>
      <c r="B216" s="50"/>
      <c r="C216" s="50" t="s">
        <v>139</v>
      </c>
      <c r="D216" s="32"/>
      <c r="E216" s="50"/>
      <c r="F216" s="171"/>
      <c r="G216" s="113"/>
      <c r="H216" s="54">
        <f>H215/$D$50</f>
        <v>13165.580869671277</v>
      </c>
      <c r="I216" s="54">
        <f>I215/$D$50</f>
        <v>13462.950590292608</v>
      </c>
      <c r="J216" s="54">
        <f>J215/$D$50</f>
        <v>13745.583126679874</v>
      </c>
      <c r="K216" s="95"/>
      <c r="L216" s="50" t="s">
        <v>133</v>
      </c>
    </row>
    <row r="217" spans="1:13">
      <c r="A217" s="50"/>
      <c r="B217" s="50"/>
      <c r="C217" s="50" t="s">
        <v>140</v>
      </c>
      <c r="D217" s="50"/>
      <c r="E217" s="50"/>
      <c r="F217" s="171"/>
      <c r="G217" s="113"/>
      <c r="H217" s="31">
        <f>H215/(1+WACC)^H$203</f>
        <v>12523.756008576027</v>
      </c>
      <c r="I217" s="31">
        <f>I215/(1+WACC)^I$203</f>
        <v>11774.045133967144</v>
      </c>
      <c r="J217" s="31">
        <f>J215/(1+WACC)^J$203</f>
        <v>11051.964580417653</v>
      </c>
      <c r="K217" s="95"/>
      <c r="L217" s="50" t="s">
        <v>181</v>
      </c>
    </row>
    <row r="218" spans="1:13">
      <c r="A218" s="50"/>
      <c r="B218" s="50"/>
      <c r="C218" s="50" t="s">
        <v>141</v>
      </c>
      <c r="D218" s="32">
        <f>SUM(H217:J217)</f>
        <v>35349.765722960823</v>
      </c>
      <c r="E218" s="50"/>
      <c r="F218" s="171"/>
      <c r="G218" s="113"/>
      <c r="H218" s="31"/>
      <c r="I218" s="31"/>
      <c r="J218" s="31"/>
      <c r="K218" s="95"/>
      <c r="L218" s="50" t="s">
        <v>134</v>
      </c>
      <c r="M218" s="15"/>
    </row>
    <row r="219" spans="1:13">
      <c r="A219" s="50"/>
      <c r="B219" s="50"/>
      <c r="C219" s="50" t="s">
        <v>132</v>
      </c>
      <c r="D219" s="172">
        <f>D210-D218</f>
        <v>0</v>
      </c>
      <c r="E219" s="50"/>
      <c r="F219" s="171"/>
      <c r="G219" s="113"/>
      <c r="H219" s="31"/>
      <c r="I219" s="31"/>
      <c r="J219" s="31"/>
      <c r="K219" s="95"/>
      <c r="L219" s="50"/>
      <c r="M219" s="15"/>
    </row>
    <row r="220" spans="1:13">
      <c r="A220" s="50"/>
      <c r="B220" s="50"/>
      <c r="C220" s="50" t="s">
        <v>202</v>
      </c>
      <c r="D220" s="32">
        <f>SUM(I217:J217)</f>
        <v>22826.009714384796</v>
      </c>
      <c r="E220" s="50"/>
      <c r="F220" s="171"/>
      <c r="G220" s="113"/>
      <c r="H220" s="31"/>
      <c r="I220" s="31"/>
      <c r="J220" s="31"/>
      <c r="K220" s="95"/>
      <c r="L220" s="27"/>
      <c r="M220" s="15"/>
    </row>
    <row r="221" spans="1:13">
      <c r="A221" s="50"/>
      <c r="B221" s="50"/>
      <c r="C221" s="50"/>
      <c r="D221" s="31"/>
      <c r="E221" s="50"/>
      <c r="F221" s="123"/>
      <c r="G221" s="50"/>
      <c r="H221" s="50"/>
      <c r="I221" s="50"/>
      <c r="J221" s="50"/>
      <c r="K221" s="95"/>
      <c r="L221" s="50"/>
      <c r="M221" s="15"/>
    </row>
    <row r="222" spans="1:13" ht="21">
      <c r="A222" s="50"/>
      <c r="B222" s="50"/>
      <c r="C222" s="155" t="s">
        <v>113</v>
      </c>
      <c r="D222" s="155"/>
      <c r="E222" s="155"/>
      <c r="F222" s="155"/>
      <c r="G222" s="155"/>
      <c r="H222" s="50"/>
      <c r="I222" s="50"/>
      <c r="J222" s="50"/>
      <c r="K222" s="173"/>
      <c r="L222" s="174"/>
      <c r="M222" s="53"/>
    </row>
    <row r="223" spans="1:13" ht="15.75">
      <c r="A223" s="50"/>
      <c r="B223" s="50"/>
      <c r="C223" s="50"/>
      <c r="D223" s="50"/>
      <c r="E223" s="162" t="str">
        <f>Inputs!D$11</f>
        <v>2009/10</v>
      </c>
      <c r="F223" s="168" t="str">
        <f>Inputs!E$11</f>
        <v>2010/11</v>
      </c>
      <c r="G223" s="162" t="str">
        <f>Inputs!F$11</f>
        <v>2011/12</v>
      </c>
      <c r="H223" s="162" t="str">
        <f>Inputs!G$11</f>
        <v>2012/13</v>
      </c>
      <c r="I223" s="162" t="str">
        <f>Inputs!H$11</f>
        <v>2013/14</v>
      </c>
      <c r="J223" s="162" t="str">
        <f>Inputs!I$11</f>
        <v>2014/15</v>
      </c>
      <c r="K223" s="95"/>
      <c r="L223" s="50"/>
      <c r="M223" s="15"/>
    </row>
    <row r="224" spans="1:13" ht="15.75">
      <c r="A224" s="50"/>
      <c r="B224" s="50"/>
      <c r="C224" s="175" t="s">
        <v>318</v>
      </c>
      <c r="D224" s="50"/>
      <c r="E224" s="162"/>
      <c r="F224" s="95"/>
      <c r="G224" s="95"/>
      <c r="H224" s="95"/>
      <c r="I224" s="95"/>
      <c r="J224" s="95"/>
      <c r="K224" s="95"/>
      <c r="L224" s="50"/>
      <c r="M224" s="15"/>
    </row>
    <row r="225" spans="1:13" ht="15.75">
      <c r="A225" s="50"/>
      <c r="B225" s="50"/>
      <c r="C225" s="175" t="s">
        <v>204</v>
      </c>
      <c r="D225" s="50"/>
      <c r="E225" s="162"/>
      <c r="F225" s="95"/>
      <c r="G225" s="95"/>
      <c r="H225" s="95"/>
      <c r="I225" s="95"/>
      <c r="J225" s="95"/>
      <c r="K225" s="95"/>
      <c r="L225" s="50"/>
      <c r="M225" s="15"/>
    </row>
    <row r="226" spans="1:13">
      <c r="A226" s="50"/>
      <c r="B226" s="50" t="s">
        <v>150</v>
      </c>
      <c r="C226" s="50" t="s">
        <v>203</v>
      </c>
      <c r="D226" s="32">
        <f>D220</f>
        <v>22826.009714384796</v>
      </c>
      <c r="E226" s="50"/>
      <c r="F226" s="169"/>
      <c r="G226" s="32"/>
      <c r="H226" s="32"/>
      <c r="I226" s="32"/>
      <c r="J226" s="32"/>
      <c r="K226" s="95"/>
      <c r="L226" s="50"/>
      <c r="M226" s="15"/>
    </row>
    <row r="227" spans="1:13">
      <c r="A227" s="32"/>
      <c r="B227" s="50" t="s">
        <v>150</v>
      </c>
      <c r="C227" s="50" t="s">
        <v>319</v>
      </c>
      <c r="D227" s="49">
        <f>IF(E26="IWX",X_industry_wide,E26)</f>
        <v>0</v>
      </c>
      <c r="E227" s="32"/>
      <c r="F227" s="49"/>
      <c r="G227" s="49"/>
      <c r="H227" s="49"/>
      <c r="I227" s="49"/>
      <c r="J227" s="49"/>
      <c r="K227" s="95"/>
      <c r="L227" s="50"/>
      <c r="M227" s="15"/>
    </row>
    <row r="228" spans="1:13">
      <c r="A228" s="50"/>
      <c r="B228" s="50" t="s">
        <v>150</v>
      </c>
      <c r="C228" s="50" t="s">
        <v>143</v>
      </c>
      <c r="D228" s="50"/>
      <c r="E228" s="50"/>
      <c r="F228" s="171"/>
      <c r="G228" s="113"/>
      <c r="H228" s="113"/>
      <c r="I228" s="113">
        <v>1</v>
      </c>
      <c r="J228" s="113">
        <f>I228*(1+J$35)*(1+J$30)*(1-D227)</f>
        <v>1.0209933576218466</v>
      </c>
      <c r="K228" s="95"/>
      <c r="L228" s="50" t="s">
        <v>278</v>
      </c>
    </row>
    <row r="229" spans="1:13">
      <c r="A229" s="50"/>
      <c r="B229" s="50" t="s">
        <v>150</v>
      </c>
      <c r="C229" s="50" t="s">
        <v>102</v>
      </c>
      <c r="D229" s="50"/>
      <c r="E229" s="50"/>
      <c r="F229" s="171"/>
      <c r="G229" s="113"/>
      <c r="H229" s="113"/>
      <c r="I229" s="113">
        <f>I228/(1+WACC)^I$203</f>
        <v>0.84524331169744327</v>
      </c>
      <c r="J229" s="113">
        <f>J228/(1+WACC)^J$203</f>
        <v>0.79340609250471805</v>
      </c>
      <c r="K229" s="95"/>
      <c r="L229" s="50" t="s">
        <v>165</v>
      </c>
    </row>
    <row r="230" spans="1:13">
      <c r="A230" s="50"/>
      <c r="B230" s="50" t="s">
        <v>150</v>
      </c>
      <c r="C230" s="50" t="s">
        <v>91</v>
      </c>
      <c r="D230" s="113">
        <f>SUM(I229:J229)</f>
        <v>1.6386494042021613</v>
      </c>
      <c r="E230" s="50"/>
      <c r="F230" s="171"/>
      <c r="G230" s="113"/>
      <c r="H230" s="113"/>
      <c r="I230" s="113"/>
      <c r="J230" s="113"/>
      <c r="K230" s="95"/>
      <c r="L230" s="50" t="s">
        <v>279</v>
      </c>
    </row>
    <row r="231" spans="1:13">
      <c r="A231" s="50"/>
      <c r="B231" s="50" t="s">
        <v>150</v>
      </c>
      <c r="C231" s="50" t="s">
        <v>142</v>
      </c>
      <c r="D231" s="32">
        <f>D226/D230</f>
        <v>13929.770246063406</v>
      </c>
      <c r="E231" s="50"/>
      <c r="F231" s="171"/>
      <c r="G231" s="113"/>
      <c r="H231" s="31"/>
      <c r="I231" s="31"/>
      <c r="J231" s="31"/>
      <c r="K231" s="95"/>
      <c r="L231" s="50"/>
    </row>
    <row r="232" spans="1:13">
      <c r="A232" s="50"/>
      <c r="B232" s="50" t="s">
        <v>150</v>
      </c>
      <c r="C232" s="50" t="s">
        <v>138</v>
      </c>
      <c r="D232" s="32"/>
      <c r="E232" s="50"/>
      <c r="F232" s="171"/>
      <c r="G232" s="113"/>
      <c r="H232" s="31">
        <f>H215</f>
        <v>13622.089410528142</v>
      </c>
      <c r="I232" s="31">
        <f>$D231*I228</f>
        <v>13929.770246063406</v>
      </c>
      <c r="J232" s="31">
        <f>$D231*J228</f>
        <v>14222.202894429174</v>
      </c>
      <c r="K232" s="95"/>
      <c r="L232" s="50" t="s">
        <v>131</v>
      </c>
    </row>
    <row r="233" spans="1:13">
      <c r="A233" s="50"/>
      <c r="B233" s="50" t="s">
        <v>150</v>
      </c>
      <c r="C233" s="50" t="s">
        <v>139</v>
      </c>
      <c r="D233" s="32"/>
      <c r="E233" s="50"/>
      <c r="F233" s="171"/>
      <c r="G233" s="113"/>
      <c r="H233" s="54">
        <f>H232/$D$50</f>
        <v>13165.580869671277</v>
      </c>
      <c r="I233" s="54">
        <f>I232/$D$50</f>
        <v>13462.950590292608</v>
      </c>
      <c r="J233" s="54">
        <f>J232/$D$50</f>
        <v>13745.583126679874</v>
      </c>
      <c r="K233" s="95"/>
      <c r="L233" s="50" t="s">
        <v>133</v>
      </c>
    </row>
    <row r="234" spans="1:13">
      <c r="A234" s="50"/>
      <c r="B234" s="50" t="s">
        <v>150</v>
      </c>
      <c r="C234" s="50" t="s">
        <v>209</v>
      </c>
      <c r="D234" s="50"/>
      <c r="E234" s="50"/>
      <c r="F234" s="171"/>
      <c r="G234" s="113"/>
      <c r="H234" s="31"/>
      <c r="I234" s="31">
        <f>I232/(1+WACC)^I$203</f>
        <v>11774.045133967144</v>
      </c>
      <c r="J234" s="31">
        <f>J232/(1+WACC)^J$203</f>
        <v>11051.964580417653</v>
      </c>
      <c r="K234" s="95"/>
      <c r="L234" s="50" t="s">
        <v>181</v>
      </c>
    </row>
    <row r="235" spans="1:13">
      <c r="A235" s="50"/>
      <c r="B235" s="50" t="s">
        <v>150</v>
      </c>
      <c r="C235" s="50" t="s">
        <v>390</v>
      </c>
      <c r="D235" s="32">
        <f>SUM(I234:J234)</f>
        <v>22826.009714384796</v>
      </c>
      <c r="E235" s="50"/>
      <c r="F235" s="50"/>
      <c r="G235" s="113"/>
      <c r="H235" s="31"/>
      <c r="I235" s="31"/>
      <c r="J235" s="31"/>
      <c r="K235" s="95"/>
      <c r="L235" s="50" t="s">
        <v>134</v>
      </c>
    </row>
    <row r="236" spans="1:13">
      <c r="A236" s="50"/>
      <c r="B236" s="50" t="s">
        <v>150</v>
      </c>
      <c r="C236" s="50" t="s">
        <v>132</v>
      </c>
      <c r="D236" s="172">
        <f>D226-D235</f>
        <v>0</v>
      </c>
      <c r="E236" s="50"/>
      <c r="F236" s="171"/>
      <c r="G236" s="113"/>
      <c r="H236" s="31"/>
      <c r="I236" s="31"/>
      <c r="J236" s="31"/>
      <c r="K236" s="95"/>
      <c r="L236" s="50"/>
      <c r="M236" s="15"/>
    </row>
    <row r="237" spans="1:13">
      <c r="A237" s="50"/>
      <c r="B237" s="119" t="s">
        <v>150</v>
      </c>
      <c r="C237" s="119" t="s">
        <v>190</v>
      </c>
      <c r="D237" s="119"/>
      <c r="E237" s="50"/>
      <c r="F237" s="176"/>
      <c r="G237" s="177"/>
      <c r="H237" s="178">
        <f>(H233+H187-H$189-H$183-H152+H$180)*H$53</f>
        <v>1439.5831366998523</v>
      </c>
      <c r="I237" s="178">
        <f>(I233+I187-I$189-I$183-I152+I$180)*I$53</f>
        <v>1449.9207824061832</v>
      </c>
      <c r="J237" s="178">
        <f>(J233+J187-J$189-J$183-J152+J$180)*J$53</f>
        <v>1461.3895300629438</v>
      </c>
      <c r="K237" s="54"/>
      <c r="L237" s="50"/>
      <c r="M237" s="15"/>
    </row>
    <row r="238" spans="1:13">
      <c r="A238" s="50"/>
      <c r="B238" s="119"/>
      <c r="C238" s="119"/>
      <c r="D238" s="119"/>
      <c r="E238" s="178"/>
      <c r="F238" s="176"/>
      <c r="G238" s="177"/>
      <c r="H238" s="178"/>
      <c r="I238" s="178"/>
      <c r="J238" s="178"/>
      <c r="K238" s="95"/>
      <c r="L238" s="50"/>
      <c r="M238" s="15"/>
    </row>
    <row r="239" spans="1:13" ht="21">
      <c r="A239" s="50"/>
      <c r="B239" s="50"/>
      <c r="C239" s="155" t="s">
        <v>199</v>
      </c>
      <c r="D239" s="155"/>
      <c r="E239" s="155"/>
      <c r="F239" s="155"/>
      <c r="G239" s="155"/>
      <c r="H239" s="155"/>
      <c r="I239" s="155"/>
      <c r="J239" s="50"/>
      <c r="K239" s="50"/>
      <c r="L239" s="50"/>
      <c r="M239" s="15"/>
    </row>
    <row r="240" spans="1:13">
      <c r="A240" s="50"/>
      <c r="B240" s="50"/>
      <c r="C240" s="50" t="s">
        <v>197</v>
      </c>
      <c r="D240" s="179"/>
      <c r="E240" s="50"/>
      <c r="F240" s="31">
        <f>G240/((1+G35)*(1+G30)*(1-X_industry_wide))</f>
        <v>12711.666445630992</v>
      </c>
      <c r="G240" s="31">
        <f>H240/((1+H35)*(1+H30)*(1-X_industry_wide))</f>
        <v>12912.849822435301</v>
      </c>
      <c r="H240" s="31">
        <f>H233</f>
        <v>13165.580869671277</v>
      </c>
      <c r="I240" s="50"/>
      <c r="J240" s="50"/>
      <c r="K240" s="50"/>
      <c r="L240" s="50"/>
      <c r="M240" s="15"/>
    </row>
    <row r="241" spans="1:13">
      <c r="A241" s="50"/>
      <c r="B241" s="50"/>
      <c r="C241" s="50"/>
      <c r="D241" s="179"/>
      <c r="E241" s="50"/>
      <c r="F241" s="31"/>
      <c r="G241" s="31"/>
      <c r="H241" s="31"/>
      <c r="I241" s="50"/>
      <c r="J241" s="50"/>
      <c r="K241" s="50"/>
      <c r="L241" s="50"/>
      <c r="M241" s="15"/>
    </row>
    <row r="242" spans="1:13" ht="21">
      <c r="A242" s="50"/>
      <c r="B242" s="50"/>
      <c r="C242" s="155" t="s">
        <v>198</v>
      </c>
      <c r="D242" s="179"/>
      <c r="E242" s="50"/>
      <c r="F242" s="123"/>
      <c r="G242" s="50"/>
      <c r="H242" s="50"/>
      <c r="I242" s="50"/>
      <c r="J242" s="50"/>
      <c r="K242" s="50"/>
      <c r="L242" s="27"/>
      <c r="M242" s="15"/>
    </row>
    <row r="243" spans="1:13">
      <c r="A243" s="50"/>
      <c r="B243" s="50"/>
      <c r="C243" s="180" t="s">
        <v>212</v>
      </c>
      <c r="D243" s="179"/>
      <c r="E243" s="181">
        <f>(1+H30)*(1+I30)</f>
        <v>0.99770992731656649</v>
      </c>
      <c r="F243" s="123"/>
      <c r="G243" s="50"/>
      <c r="H243" s="50"/>
      <c r="I243" s="50"/>
      <c r="J243" s="50"/>
      <c r="K243" s="50"/>
      <c r="L243" s="27"/>
      <c r="M243" s="15"/>
    </row>
    <row r="244" spans="1:13">
      <c r="A244" s="50"/>
      <c r="B244" s="50"/>
      <c r="C244" s="50"/>
      <c r="D244" s="127"/>
      <c r="E244" s="50"/>
      <c r="F244" s="123"/>
      <c r="G244" s="50"/>
      <c r="H244" s="50"/>
      <c r="I244" s="50"/>
      <c r="J244" s="50"/>
      <c r="K244" s="50"/>
      <c r="L244" s="27"/>
    </row>
    <row r="245" spans="1:13" ht="21">
      <c r="A245" s="50"/>
      <c r="B245" s="50"/>
      <c r="C245" s="155" t="s">
        <v>315</v>
      </c>
      <c r="D245" s="162" t="s">
        <v>342</v>
      </c>
      <c r="E245" s="50"/>
      <c r="F245" s="123"/>
      <c r="G245" s="50"/>
      <c r="H245" s="50"/>
      <c r="I245" s="50"/>
      <c r="J245" s="50"/>
      <c r="K245" s="50"/>
      <c r="L245" s="27"/>
    </row>
    <row r="246" spans="1:13">
      <c r="A246" s="50"/>
      <c r="B246" s="50"/>
      <c r="C246" s="50"/>
      <c r="D246" s="50"/>
      <c r="E246" s="99" t="str">
        <f>Inputs!D$11</f>
        <v>2009/10</v>
      </c>
      <c r="F246" s="99" t="str">
        <f>Inputs!E$11</f>
        <v>2010/11</v>
      </c>
      <c r="G246" s="99" t="str">
        <f>Inputs!F$11</f>
        <v>2011/12</v>
      </c>
      <c r="H246" s="99" t="str">
        <f>Inputs!G$11</f>
        <v>2012/13</v>
      </c>
      <c r="I246" s="99" t="str">
        <f>Inputs!H$11</f>
        <v>2013/14</v>
      </c>
      <c r="J246" s="99" t="str">
        <f>Inputs!I$11</f>
        <v>2014/15</v>
      </c>
      <c r="K246" s="50"/>
      <c r="L246" s="27"/>
    </row>
    <row r="247" spans="1:13">
      <c r="A247" s="50"/>
      <c r="B247" s="50"/>
      <c r="C247" s="122" t="str">
        <f>C35</f>
        <v>2009 ΔCPI, 8 index, lagged, no GST adjustment</v>
      </c>
      <c r="D247" s="50"/>
      <c r="E247" s="50"/>
      <c r="F247" s="50"/>
      <c r="G247" s="50"/>
      <c r="H247" s="50"/>
      <c r="I247" s="100">
        <f>I35</f>
        <v>2.3759818812291389E-2</v>
      </c>
      <c r="J247" s="100">
        <f>J35</f>
        <v>2.2164443909808984E-2</v>
      </c>
      <c r="K247" s="50"/>
      <c r="L247" s="27"/>
    </row>
    <row r="248" spans="1:13">
      <c r="A248" s="50"/>
      <c r="B248" s="50"/>
      <c r="C248" s="122" t="str">
        <f>C37</f>
        <v>2012 ΔCPI, 8 index, lagged, with GST adjustment</v>
      </c>
      <c r="D248" s="50"/>
      <c r="E248" s="99"/>
      <c r="F248" s="100"/>
      <c r="G248" s="100"/>
      <c r="H248" s="100"/>
      <c r="I248" s="100">
        <f>I$37</f>
        <v>1.2820512820512775E-2</v>
      </c>
      <c r="J248" s="101">
        <f>J$37</f>
        <v>1.9725095732576747E-2</v>
      </c>
      <c r="K248" s="50"/>
      <c r="L248" s="27"/>
    </row>
    <row r="249" spans="1:13">
      <c r="A249" s="50"/>
      <c r="B249" s="50"/>
      <c r="C249" s="50" t="s">
        <v>200</v>
      </c>
      <c r="D249" s="50"/>
      <c r="E249" s="99"/>
      <c r="F249" s="100"/>
      <c r="G249" s="100">
        <f>G$30</f>
        <v>-1.1456926475380026E-3</v>
      </c>
      <c r="H249" s="100">
        <f>H$30</f>
        <v>-1.1456926475380026E-3</v>
      </c>
      <c r="I249" s="100">
        <f>I$30</f>
        <v>-1.1456926475380026E-3</v>
      </c>
      <c r="J249" s="100">
        <f>J$30</f>
        <v>-1.1456926475380026E-3</v>
      </c>
      <c r="K249" s="50"/>
      <c r="L249" s="27"/>
    </row>
    <row r="250" spans="1:13">
      <c r="A250" s="50"/>
      <c r="B250" s="50"/>
      <c r="C250" s="50" t="s">
        <v>309</v>
      </c>
      <c r="D250" s="54">
        <f>E25</f>
        <v>4782</v>
      </c>
      <c r="E250" s="50"/>
      <c r="F250" s="123"/>
      <c r="G250" s="50"/>
      <c r="H250" s="50"/>
      <c r="I250" s="50"/>
      <c r="J250" s="50"/>
      <c r="K250" s="50"/>
      <c r="L250" s="27"/>
    </row>
    <row r="251" spans="1:13">
      <c r="A251" s="50"/>
      <c r="B251" s="50"/>
      <c r="C251" s="119" t="s">
        <v>335</v>
      </c>
      <c r="D251" s="32">
        <f>E24</f>
        <v>12756</v>
      </c>
      <c r="E251" s="50"/>
      <c r="F251" s="123"/>
      <c r="G251" s="50"/>
      <c r="H251" s="50"/>
      <c r="I251" s="50"/>
      <c r="J251" s="50"/>
      <c r="K251" s="50"/>
      <c r="L251" s="27"/>
    </row>
    <row r="252" spans="1:13">
      <c r="A252" s="50"/>
      <c r="B252" s="50"/>
      <c r="C252" s="50" t="s">
        <v>383</v>
      </c>
      <c r="D252" s="50"/>
      <c r="E252" s="50"/>
      <c r="F252" s="123"/>
      <c r="G252" s="50"/>
      <c r="H252" s="124">
        <f>(D251+D250)*(1+G$249)*(1+H$249)-D250</f>
        <v>12715.836705277943</v>
      </c>
      <c r="I252" s="124">
        <f>H252*(1+I249)*(1+I248)</f>
        <v>12864.105037281224</v>
      </c>
      <c r="J252" s="124">
        <f>I252*(1+J249)*(1+J248)</f>
        <v>13102.821715510448</v>
      </c>
      <c r="K252" s="50"/>
      <c r="L252" s="27"/>
    </row>
    <row r="253" spans="1:13">
      <c r="A253" s="50"/>
      <c r="B253" s="50"/>
      <c r="C253" s="50" t="s">
        <v>314</v>
      </c>
      <c r="D253" s="50"/>
      <c r="E253" s="50"/>
      <c r="F253" s="123"/>
      <c r="G253" s="50"/>
      <c r="H253" s="124">
        <f>$D$250</f>
        <v>4782</v>
      </c>
      <c r="I253" s="124">
        <f>H253*(1+I34)</f>
        <v>4866.744303797469</v>
      </c>
      <c r="J253" s="124"/>
      <c r="K253" s="50"/>
      <c r="L253" s="27"/>
    </row>
    <row r="254" spans="1:13">
      <c r="A254" s="50"/>
      <c r="B254" s="50"/>
      <c r="C254" s="119" t="s">
        <v>336</v>
      </c>
      <c r="D254" s="50"/>
      <c r="E254" s="50"/>
      <c r="F254" s="123"/>
      <c r="G254" s="50"/>
      <c r="H254" s="124">
        <f>D251</f>
        <v>12756</v>
      </c>
      <c r="I254" s="124">
        <f>((H254+H253)*(1+G249)-H253)*(1+I248)*(1-X_industry_wide)</f>
        <v>12899.18769930065</v>
      </c>
      <c r="J254" s="97"/>
      <c r="K254" s="50"/>
      <c r="L254" s="27"/>
    </row>
    <row r="255" spans="1:13">
      <c r="A255" s="50"/>
      <c r="B255" s="50"/>
      <c r="C255" s="50" t="s">
        <v>337</v>
      </c>
      <c r="D255" s="50"/>
      <c r="E255" s="50"/>
      <c r="F255" s="123"/>
      <c r="G255" s="50"/>
      <c r="H255" s="124">
        <f>H216</f>
        <v>13165.580869671277</v>
      </c>
      <c r="I255" s="124">
        <f>I216</f>
        <v>13462.950590292608</v>
      </c>
      <c r="J255" s="124">
        <f>J216</f>
        <v>13745.583126679874</v>
      </c>
      <c r="K255" s="50"/>
      <c r="L255" s="27"/>
    </row>
    <row r="256" spans="1:13">
      <c r="A256" s="50"/>
      <c r="B256" s="50"/>
      <c r="C256" s="119" t="s">
        <v>371</v>
      </c>
      <c r="D256" s="50"/>
      <c r="E256" s="50"/>
      <c r="F256" s="123"/>
      <c r="G256" s="50"/>
      <c r="H256" s="124"/>
      <c r="I256" s="124">
        <f>(I255+I253)/((1+H249)*(1+I249))-I253</f>
        <v>13505.02327336746</v>
      </c>
      <c r="J256" s="124"/>
      <c r="K256" s="50"/>
      <c r="L256" s="27"/>
    </row>
    <row r="257" spans="1:12">
      <c r="A257" s="50"/>
      <c r="B257" s="50"/>
      <c r="C257" s="50" t="s">
        <v>344</v>
      </c>
      <c r="D257" s="50"/>
      <c r="E257" s="50"/>
      <c r="F257" s="123"/>
      <c r="G257" s="50"/>
      <c r="H257" s="124">
        <f>H255</f>
        <v>13165.580869671277</v>
      </c>
      <c r="I257" s="124">
        <f>I255*(1+I248)/(1+I247)</f>
        <v>13319.09327791023</v>
      </c>
      <c r="J257" s="124">
        <f>I257*(1+J$248)*(1+J$249)*(1-X_industry_wide)</f>
        <v>13566.253083828597</v>
      </c>
      <c r="K257" s="50"/>
      <c r="L257" s="27"/>
    </row>
    <row r="258" spans="1:12">
      <c r="A258" s="50"/>
      <c r="B258" s="50"/>
      <c r="C258" s="119" t="s">
        <v>346</v>
      </c>
      <c r="D258" s="50"/>
      <c r="E258" s="50"/>
      <c r="F258" s="123"/>
      <c r="G258" s="50"/>
      <c r="H258" s="124"/>
      <c r="I258" s="124">
        <f>(I257+I253)/((1+H249)*(1+I249))-I253</f>
        <v>13360.835761101953</v>
      </c>
      <c r="J258" s="97"/>
      <c r="K258" s="50"/>
      <c r="L258" s="27"/>
    </row>
    <row r="259" spans="1:12">
      <c r="A259" s="50"/>
      <c r="B259" s="50"/>
      <c r="C259" s="50" t="s">
        <v>338</v>
      </c>
      <c r="D259" s="50"/>
      <c r="E259" s="50"/>
      <c r="F259" s="123"/>
      <c r="G259" s="50"/>
      <c r="H259" s="124">
        <f>H233</f>
        <v>13165.580869671277</v>
      </c>
      <c r="I259" s="124">
        <f>I233</f>
        <v>13462.950590292608</v>
      </c>
      <c r="J259" s="124">
        <f>J233</f>
        <v>13745.583126679874</v>
      </c>
      <c r="K259" s="50"/>
      <c r="L259" s="27"/>
    </row>
    <row r="260" spans="1:12">
      <c r="A260" s="50"/>
      <c r="B260" s="50"/>
      <c r="C260" s="50" t="s">
        <v>345</v>
      </c>
      <c r="D260" s="50"/>
      <c r="E260" s="50"/>
      <c r="F260" s="123"/>
      <c r="G260" s="50"/>
      <c r="H260" s="124">
        <f>H259</f>
        <v>13165.580869671277</v>
      </c>
      <c r="I260" s="124">
        <f>I259*(1+I248)/(1+I247)</f>
        <v>13319.09327791023</v>
      </c>
      <c r="J260" s="124">
        <f>I260*(1+J$248)*(1+J$249)*(1-D227)</f>
        <v>13566.253083828597</v>
      </c>
      <c r="K260" s="50"/>
      <c r="L260" s="27"/>
    </row>
    <row r="261" spans="1:12">
      <c r="A261" s="50"/>
      <c r="B261" s="50"/>
      <c r="C261" s="119" t="s">
        <v>347</v>
      </c>
      <c r="D261" s="50"/>
      <c r="E261" s="50"/>
      <c r="F261" s="123"/>
      <c r="G261" s="50"/>
      <c r="H261" s="97"/>
      <c r="I261" s="124">
        <f>(I260+I253)/((1+H249)*(1+I249))-I253</f>
        <v>13360.835761101953</v>
      </c>
      <c r="J261" s="97"/>
      <c r="K261" s="50"/>
      <c r="L261" s="27"/>
    </row>
    <row r="262" spans="1:12">
      <c r="A262" s="50"/>
      <c r="B262" s="50"/>
      <c r="C262" s="50" t="s">
        <v>317</v>
      </c>
      <c r="D262" s="126">
        <f>E27</f>
        <v>0.2</v>
      </c>
      <c r="E262" s="50"/>
      <c r="F262" s="123"/>
      <c r="G262" s="50"/>
      <c r="H262" s="125"/>
      <c r="I262" s="125"/>
      <c r="J262" s="125"/>
      <c r="K262" s="50"/>
      <c r="L262" s="27"/>
    </row>
    <row r="263" spans="1:12" ht="18">
      <c r="A263" s="50"/>
      <c r="B263" s="50"/>
      <c r="C263" s="50" t="s">
        <v>339</v>
      </c>
      <c r="D263" s="127"/>
      <c r="E263" s="50"/>
      <c r="F263" s="123"/>
      <c r="G263" s="50"/>
      <c r="H263" s="124">
        <f>(D251+H253)*(1+G$249)*(1+H$249)-H253</f>
        <v>12715.836705277943</v>
      </c>
      <c r="I263" s="124">
        <f>H263*(1+$D262)*(1+I$247)*(1+I$249)</f>
        <v>15603.657716774374</v>
      </c>
      <c r="J263" s="124">
        <f>I264*(1+$D262)*(1+J247)*(1+J249)</f>
        <v>16318.446919550559</v>
      </c>
      <c r="K263" s="50"/>
      <c r="L263" s="27"/>
    </row>
    <row r="264" spans="1:12">
      <c r="A264" s="50"/>
      <c r="B264" s="50"/>
      <c r="C264" s="50" t="s">
        <v>367</v>
      </c>
      <c r="D264" s="127"/>
      <c r="E264" s="50"/>
      <c r="F264" s="123"/>
      <c r="G264" s="50"/>
      <c r="H264" s="124">
        <f>H260</f>
        <v>13165.580869671277</v>
      </c>
      <c r="I264" s="124">
        <f>MIN(I260,I263)</f>
        <v>13319.09327791023</v>
      </c>
      <c r="J264" s="124">
        <f>MIN(J260,J263)</f>
        <v>13566.253083828597</v>
      </c>
      <c r="K264" s="50"/>
      <c r="L264" s="27"/>
    </row>
    <row r="265" spans="1:12">
      <c r="A265" s="50"/>
      <c r="B265" s="50"/>
      <c r="C265" s="50" t="s">
        <v>373</v>
      </c>
      <c r="D265" s="31">
        <f>NPV(WACC,H255:J255)*D50</f>
        <v>35349.765722960823</v>
      </c>
      <c r="E265" s="50"/>
      <c r="F265" s="123"/>
      <c r="G265" s="50"/>
      <c r="H265" s="50"/>
      <c r="I265" s="50"/>
      <c r="J265" s="50"/>
      <c r="K265" s="50"/>
      <c r="L265" s="27"/>
    </row>
    <row r="266" spans="1:12">
      <c r="A266" s="50"/>
      <c r="B266" s="50"/>
      <c r="C266" s="50" t="s">
        <v>372</v>
      </c>
      <c r="D266" s="31">
        <f>NPV(WACC,H252:J252)*D50</f>
        <v>33881.421047041549</v>
      </c>
      <c r="E266" s="50"/>
      <c r="F266" s="123"/>
      <c r="G266" s="50"/>
      <c r="H266" s="50"/>
      <c r="I266" s="50"/>
      <c r="J266" s="50"/>
      <c r="K266" s="50"/>
      <c r="L266" s="27"/>
    </row>
    <row r="267" spans="1:12">
      <c r="A267" s="50"/>
      <c r="B267" s="50"/>
      <c r="C267" s="50" t="s">
        <v>340</v>
      </c>
      <c r="D267" s="31">
        <f>NPV(WACC,H259:J259)*D50</f>
        <v>35349.765722960823</v>
      </c>
      <c r="E267" s="50"/>
      <c r="F267" s="123"/>
      <c r="G267" s="50"/>
      <c r="H267" s="50"/>
      <c r="I267" s="50"/>
      <c r="J267" s="50"/>
      <c r="K267" s="50"/>
      <c r="L267" s="27"/>
    </row>
    <row r="268" spans="1:12">
      <c r="A268" s="50"/>
      <c r="B268" s="50"/>
      <c r="C268" s="50" t="s">
        <v>351</v>
      </c>
      <c r="D268" s="31">
        <f>NPV(WACC,H264:J264)*D50</f>
        <v>35079.766995518206</v>
      </c>
      <c r="E268" s="50"/>
      <c r="F268" s="123"/>
      <c r="G268" s="50"/>
      <c r="H268" s="50"/>
      <c r="I268" s="50"/>
      <c r="J268" s="50"/>
      <c r="K268" s="50"/>
      <c r="L268" s="27"/>
    </row>
    <row r="269" spans="1:12">
      <c r="A269" s="50"/>
      <c r="B269" s="50"/>
      <c r="C269" s="50" t="s">
        <v>348</v>
      </c>
      <c r="D269" s="31">
        <f>NPV(WACC,H257:J257)*D50</f>
        <v>35079.766995518206</v>
      </c>
      <c r="E269" s="50"/>
      <c r="F269" s="123"/>
      <c r="G269" s="50"/>
      <c r="H269" s="50"/>
      <c r="I269" s="50"/>
      <c r="J269" s="50"/>
      <c r="K269" s="50"/>
      <c r="L269" s="27"/>
    </row>
    <row r="270" spans="1:12">
      <c r="A270" s="50"/>
      <c r="B270" s="50"/>
      <c r="C270" s="50" t="s">
        <v>349</v>
      </c>
      <c r="D270" s="31">
        <f>NPV(WACC,H260:J260)*D50</f>
        <v>35079.766995518206</v>
      </c>
      <c r="E270" s="50"/>
      <c r="F270" s="123"/>
      <c r="G270" s="50"/>
      <c r="H270" s="50"/>
      <c r="I270" s="50"/>
      <c r="J270" s="50"/>
      <c r="K270" s="50"/>
      <c r="L270" s="27"/>
    </row>
    <row r="271" spans="1:12">
      <c r="A271" s="50"/>
      <c r="B271" s="50"/>
      <c r="C271" s="50" t="s">
        <v>368</v>
      </c>
      <c r="D271" s="31" t="b">
        <f>OR(I260&gt;I263,J260&gt;J263)</f>
        <v>0</v>
      </c>
      <c r="E271" s="50"/>
      <c r="F271" s="123"/>
      <c r="G271" s="50"/>
      <c r="H271" s="50"/>
      <c r="I271" s="50"/>
      <c r="J271" s="50"/>
      <c r="K271" s="50"/>
      <c r="L271" s="27"/>
    </row>
    <row r="272" spans="1:12">
      <c r="A272" s="50"/>
      <c r="B272" s="50"/>
      <c r="C272" s="50"/>
      <c r="D272" s="31"/>
      <c r="E272" s="50"/>
      <c r="F272" s="123"/>
      <c r="G272" s="50"/>
      <c r="H272" s="50"/>
      <c r="I272" s="50"/>
      <c r="J272" s="50"/>
      <c r="K272" s="50"/>
      <c r="L272" s="27"/>
    </row>
    <row r="273" spans="1:12" ht="21">
      <c r="A273" s="50"/>
      <c r="B273" s="50"/>
      <c r="C273" s="155" t="s">
        <v>343</v>
      </c>
      <c r="D273" s="127"/>
      <c r="E273" s="50"/>
      <c r="F273" s="123"/>
      <c r="G273" s="50"/>
      <c r="H273" s="50"/>
      <c r="I273" s="50"/>
      <c r="J273" s="50"/>
      <c r="K273" s="50"/>
      <c r="L273" s="27"/>
    </row>
    <row r="274" spans="1:12" ht="30">
      <c r="A274" s="50"/>
      <c r="B274" s="50"/>
      <c r="C274" s="123" t="s">
        <v>370</v>
      </c>
      <c r="D274" s="126">
        <f>I$261/(D$251*(1+I$249)*(1+I$248))-1</f>
        <v>3.5343543418646428E-2</v>
      </c>
      <c r="E274" s="50"/>
      <c r="F274" s="123"/>
      <c r="G274" s="50"/>
      <c r="H274" s="50"/>
      <c r="I274" s="50"/>
      <c r="J274" s="50"/>
      <c r="K274" s="50"/>
      <c r="L274" s="27"/>
    </row>
    <row r="275" spans="1:12" ht="30">
      <c r="A275" s="50"/>
      <c r="B275" s="50"/>
      <c r="C275" s="123" t="s">
        <v>350</v>
      </c>
      <c r="D275" s="31">
        <f>D265-D268</f>
        <v>269.99872744261666</v>
      </c>
      <c r="E275" s="50"/>
      <c r="F275" s="123"/>
      <c r="G275" s="50"/>
      <c r="H275" s="50"/>
      <c r="I275" s="50"/>
      <c r="J275" s="50"/>
      <c r="K275" s="50"/>
      <c r="L275" s="27"/>
    </row>
    <row r="276" spans="1:12">
      <c r="A276" s="50"/>
      <c r="B276" s="50"/>
      <c r="C276" s="123" t="s">
        <v>366</v>
      </c>
      <c r="D276" s="31">
        <f>ROUNDUP(I264,0)</f>
        <v>13320</v>
      </c>
      <c r="E276" s="50"/>
      <c r="F276" s="123"/>
      <c r="G276" s="50"/>
      <c r="H276" s="50"/>
      <c r="I276" s="50"/>
      <c r="J276" s="50"/>
      <c r="K276" s="50"/>
      <c r="L276" s="27"/>
    </row>
    <row r="277" spans="1:12">
      <c r="A277" s="50"/>
      <c r="B277" s="50"/>
      <c r="C277" s="123" t="s">
        <v>378</v>
      </c>
      <c r="D277" s="31">
        <f>ROUNDUP(H233,0)</f>
        <v>13166</v>
      </c>
      <c r="E277" s="50"/>
      <c r="F277" s="123"/>
      <c r="G277" s="50"/>
      <c r="H277" s="50"/>
      <c r="I277" s="50"/>
      <c r="J277" s="50"/>
      <c r="K277" s="50"/>
      <c r="L277" s="27"/>
    </row>
    <row r="278" spans="1:12">
      <c r="A278" s="50"/>
      <c r="B278" s="50"/>
      <c r="C278" s="114" t="s">
        <v>382</v>
      </c>
      <c r="D278" s="31">
        <f>D269-D266</f>
        <v>1198.3459484766572</v>
      </c>
      <c r="E278" s="50"/>
      <c r="F278" s="123"/>
      <c r="G278" s="50"/>
      <c r="H278" s="50"/>
      <c r="I278" s="50"/>
      <c r="J278" s="50"/>
      <c r="K278" s="50"/>
      <c r="L278" s="27"/>
    </row>
    <row r="279" spans="1:12">
      <c r="A279" s="15"/>
      <c r="B279" s="15"/>
      <c r="C279" s="15"/>
      <c r="D279" s="15"/>
      <c r="E279" s="120"/>
      <c r="F279" s="15"/>
      <c r="G279" s="15"/>
      <c r="H279" s="15"/>
      <c r="I279" s="15"/>
      <c r="J279" s="15"/>
      <c r="K279" s="15"/>
    </row>
    <row r="280" spans="1:12">
      <c r="A280" s="15"/>
      <c r="B280" s="15"/>
      <c r="C280" s="15"/>
      <c r="D280" s="15"/>
      <c r="E280" s="120"/>
      <c r="F280" s="15"/>
      <c r="G280" s="15"/>
      <c r="H280" s="15"/>
      <c r="I280" s="15"/>
      <c r="J280" s="15"/>
      <c r="K280" s="15"/>
    </row>
    <row r="281" spans="1:12">
      <c r="A281" s="15"/>
      <c r="B281" s="15"/>
      <c r="C281" s="15"/>
      <c r="D281" s="15"/>
      <c r="E281" s="120"/>
      <c r="F281" s="15"/>
      <c r="G281" s="15"/>
      <c r="H281" s="15"/>
      <c r="I281" s="15"/>
      <c r="J281" s="15"/>
      <c r="K281" s="15"/>
    </row>
    <row r="282" spans="1:12">
      <c r="A282" s="15"/>
      <c r="B282" s="15"/>
      <c r="C282" s="15"/>
      <c r="D282" s="15"/>
      <c r="E282" s="120"/>
      <c r="F282" s="15"/>
      <c r="G282" s="15"/>
      <c r="H282" s="15"/>
      <c r="I282" s="15"/>
      <c r="J282" s="15"/>
      <c r="K282" s="15"/>
    </row>
    <row r="283" spans="1:12">
      <c r="A283" s="15"/>
      <c r="B283" s="15"/>
      <c r="C283" s="15"/>
      <c r="D283" s="15"/>
      <c r="E283" s="120"/>
      <c r="F283" s="15"/>
      <c r="G283" s="15"/>
      <c r="H283" s="15"/>
      <c r="I283" s="15"/>
      <c r="J283" s="15"/>
      <c r="K283" s="15"/>
    </row>
    <row r="284" spans="1:12">
      <c r="A284" s="15"/>
      <c r="B284" s="15"/>
      <c r="C284" s="15"/>
      <c r="D284" s="15"/>
      <c r="E284" s="120"/>
      <c r="F284" s="15"/>
      <c r="G284" s="15"/>
      <c r="H284" s="15"/>
      <c r="I284" s="15"/>
      <c r="J284" s="15"/>
      <c r="K284" s="15"/>
    </row>
    <row r="285" spans="1:12">
      <c r="A285" s="15"/>
      <c r="B285" s="15"/>
      <c r="C285" s="15"/>
      <c r="D285" s="15"/>
      <c r="E285" s="120"/>
      <c r="F285" s="15"/>
      <c r="G285" s="15"/>
      <c r="H285" s="15"/>
      <c r="I285" s="15"/>
      <c r="J285" s="15"/>
      <c r="K285" s="15"/>
    </row>
    <row r="286" spans="1:12">
      <c r="A286" s="15"/>
      <c r="B286" s="15"/>
      <c r="C286" s="15"/>
      <c r="D286" s="15"/>
      <c r="E286" s="120"/>
      <c r="F286" s="15"/>
      <c r="G286" s="15"/>
      <c r="H286" s="15"/>
      <c r="I286" s="15"/>
      <c r="J286" s="15"/>
      <c r="K286" s="15"/>
    </row>
    <row r="287" spans="1:12">
      <c r="A287" s="15"/>
      <c r="B287" s="15"/>
      <c r="C287" s="15"/>
      <c r="D287" s="15"/>
      <c r="E287" s="120"/>
      <c r="F287" s="15"/>
      <c r="G287" s="15"/>
      <c r="H287" s="15"/>
      <c r="I287" s="15"/>
      <c r="J287" s="15"/>
      <c r="K287" s="15"/>
    </row>
    <row r="288" spans="1:12">
      <c r="A288" s="15"/>
      <c r="B288" s="15"/>
      <c r="C288" s="15"/>
      <c r="D288" s="15"/>
      <c r="E288" s="120"/>
      <c r="F288" s="15"/>
      <c r="G288" s="15"/>
      <c r="H288" s="15"/>
      <c r="I288" s="15"/>
      <c r="J288" s="15"/>
      <c r="K288" s="15"/>
    </row>
    <row r="289" spans="1:11">
      <c r="A289" s="15"/>
      <c r="B289" s="15"/>
      <c r="C289" s="15"/>
      <c r="D289" s="15"/>
      <c r="E289" s="120"/>
      <c r="F289" s="15"/>
      <c r="G289" s="15"/>
      <c r="H289" s="15"/>
      <c r="I289" s="15"/>
      <c r="J289" s="15"/>
      <c r="K289" s="15"/>
    </row>
    <row r="290" spans="1:11">
      <c r="A290" s="15"/>
      <c r="B290" s="15"/>
      <c r="C290" s="15"/>
      <c r="D290" s="15"/>
      <c r="E290" s="120"/>
      <c r="F290" s="15"/>
      <c r="G290" s="15"/>
      <c r="H290" s="15"/>
      <c r="I290" s="15"/>
      <c r="J290" s="15"/>
      <c r="K290" s="15"/>
    </row>
    <row r="291" spans="1:11">
      <c r="A291" s="15"/>
      <c r="B291" s="15"/>
      <c r="C291" s="15"/>
      <c r="D291" s="15"/>
      <c r="E291" s="120"/>
      <c r="F291" s="15"/>
      <c r="G291" s="15"/>
      <c r="H291" s="15"/>
      <c r="I291" s="15"/>
      <c r="J291" s="15"/>
      <c r="K291" s="15"/>
    </row>
    <row r="292" spans="1:11">
      <c r="A292" s="15"/>
      <c r="B292" s="15"/>
      <c r="C292" s="15"/>
      <c r="D292" s="15"/>
      <c r="E292" s="120"/>
      <c r="F292" s="15"/>
      <c r="G292" s="15"/>
      <c r="H292" s="15"/>
      <c r="I292" s="15"/>
      <c r="J292" s="15"/>
      <c r="K292" s="15"/>
    </row>
    <row r="293" spans="1:11">
      <c r="A293" s="15"/>
      <c r="B293" s="15"/>
      <c r="C293" s="15"/>
      <c r="D293" s="15"/>
      <c r="E293" s="120"/>
      <c r="F293" s="15"/>
      <c r="G293" s="15"/>
      <c r="H293" s="15"/>
      <c r="I293" s="15"/>
      <c r="J293" s="15"/>
      <c r="K293" s="15"/>
    </row>
    <row r="294" spans="1:11">
      <c r="A294" s="15"/>
      <c r="B294" s="15"/>
      <c r="C294" s="15"/>
      <c r="D294" s="15"/>
      <c r="E294" s="120"/>
      <c r="F294" s="15"/>
      <c r="G294" s="15"/>
      <c r="H294" s="15"/>
      <c r="I294" s="15"/>
      <c r="J294" s="15"/>
      <c r="K294" s="15"/>
    </row>
    <row r="295" spans="1:11">
      <c r="A295" s="15"/>
      <c r="B295" s="15"/>
      <c r="C295" s="15"/>
      <c r="D295" s="15"/>
      <c r="E295" s="120"/>
      <c r="F295" s="15"/>
      <c r="G295" s="15"/>
      <c r="H295" s="15"/>
      <c r="I295" s="15"/>
      <c r="J295" s="15"/>
      <c r="K295" s="15"/>
    </row>
    <row r="296" spans="1:11">
      <c r="A296" s="15"/>
      <c r="B296" s="15"/>
      <c r="C296" s="15"/>
      <c r="D296" s="15"/>
      <c r="E296" s="120"/>
      <c r="F296" s="15"/>
      <c r="G296" s="15"/>
      <c r="H296" s="15"/>
      <c r="I296" s="15"/>
      <c r="J296" s="15"/>
      <c r="K296" s="15"/>
    </row>
    <row r="297" spans="1:11">
      <c r="A297" s="15"/>
      <c r="B297" s="15"/>
      <c r="C297" s="15"/>
      <c r="D297" s="15"/>
      <c r="E297" s="120"/>
      <c r="F297" s="15"/>
      <c r="G297" s="15"/>
      <c r="H297" s="15"/>
      <c r="I297" s="15"/>
      <c r="J297" s="15"/>
      <c r="K297" s="15"/>
    </row>
    <row r="298" spans="1:11">
      <c r="A298" s="15"/>
      <c r="B298" s="15"/>
      <c r="C298" s="15"/>
      <c r="D298" s="15"/>
      <c r="E298" s="120"/>
      <c r="F298" s="15"/>
      <c r="G298" s="15"/>
      <c r="H298" s="15"/>
      <c r="I298" s="15"/>
      <c r="J298" s="15"/>
      <c r="K298" s="15"/>
    </row>
    <row r="299" spans="1:11">
      <c r="A299" s="15"/>
      <c r="B299" s="15"/>
      <c r="C299" s="15"/>
      <c r="D299" s="15"/>
      <c r="E299" s="120"/>
      <c r="F299" s="15"/>
      <c r="G299" s="15"/>
      <c r="H299" s="15"/>
      <c r="I299" s="15"/>
      <c r="J299" s="15"/>
    </row>
    <row r="300" spans="1:11">
      <c r="A300" s="15"/>
      <c r="B300" s="15"/>
      <c r="C300" s="15"/>
      <c r="D300" s="15"/>
      <c r="E300" s="120"/>
      <c r="F300" s="15"/>
      <c r="G300" s="15"/>
      <c r="H300" s="15"/>
      <c r="I300" s="15"/>
      <c r="J300" s="15"/>
    </row>
    <row r="301" spans="1:11">
      <c r="A301" s="15"/>
      <c r="B301" s="15"/>
      <c r="C301" s="15"/>
      <c r="D301" s="15"/>
      <c r="E301" s="120"/>
      <c r="F301" s="15"/>
      <c r="G301" s="15"/>
      <c r="H301" s="15"/>
      <c r="I301" s="15"/>
      <c r="J301" s="15"/>
    </row>
    <row r="302" spans="1:11">
      <c r="A302" s="15"/>
      <c r="B302" s="15"/>
      <c r="C302" s="15"/>
      <c r="D302" s="15"/>
      <c r="E302" s="120"/>
      <c r="F302" s="15"/>
      <c r="G302" s="15"/>
      <c r="H302" s="15"/>
      <c r="I302" s="15"/>
      <c r="J302" s="15"/>
    </row>
    <row r="303" spans="1:11">
      <c r="A303" s="15"/>
      <c r="B303" s="15"/>
      <c r="C303" s="15"/>
      <c r="D303" s="15"/>
      <c r="E303" s="120"/>
      <c r="F303" s="15"/>
      <c r="G303" s="15"/>
      <c r="H303" s="15"/>
      <c r="I303" s="15"/>
      <c r="J303" s="15"/>
    </row>
    <row r="304" spans="1:11">
      <c r="A304" s="15"/>
      <c r="B304" s="15"/>
      <c r="C304" s="15"/>
      <c r="D304" s="15"/>
      <c r="E304" s="120"/>
      <c r="F304" s="15"/>
      <c r="G304" s="15"/>
      <c r="H304" s="15"/>
      <c r="I304" s="15"/>
      <c r="J304" s="15"/>
    </row>
    <row r="305" spans="1:10">
      <c r="A305" s="15"/>
      <c r="B305" s="15"/>
      <c r="C305" s="15"/>
      <c r="D305" s="15"/>
      <c r="E305" s="120"/>
      <c r="F305" s="15"/>
      <c r="G305" s="15"/>
      <c r="H305" s="15"/>
      <c r="I305" s="15"/>
      <c r="J305" s="15"/>
    </row>
    <row r="306" spans="1:10">
      <c r="A306" s="15"/>
      <c r="B306" s="15"/>
      <c r="C306" s="15"/>
      <c r="D306" s="15"/>
      <c r="E306" s="120"/>
      <c r="F306" s="15"/>
      <c r="G306" s="15"/>
      <c r="H306" s="15"/>
      <c r="I306" s="15"/>
      <c r="J306" s="15"/>
    </row>
    <row r="307" spans="1:10">
      <c r="A307" s="15"/>
      <c r="B307" s="15"/>
      <c r="C307" s="15"/>
      <c r="D307" s="15"/>
      <c r="E307" s="120"/>
      <c r="F307" s="15"/>
      <c r="G307" s="15"/>
      <c r="H307" s="15"/>
      <c r="I307" s="15"/>
      <c r="J307" s="15"/>
    </row>
    <row r="308" spans="1:10">
      <c r="A308" s="15"/>
      <c r="B308" s="15"/>
      <c r="C308" s="15"/>
      <c r="D308" s="15"/>
      <c r="E308" s="120"/>
      <c r="F308" s="15"/>
      <c r="G308" s="15"/>
      <c r="H308" s="15"/>
      <c r="I308" s="15"/>
      <c r="J308" s="15"/>
    </row>
    <row r="309" spans="1:10">
      <c r="A309" s="15"/>
      <c r="B309" s="15"/>
      <c r="C309" s="15"/>
      <c r="D309" s="15"/>
      <c r="E309" s="120"/>
      <c r="F309" s="15"/>
      <c r="G309" s="15"/>
      <c r="H309" s="15"/>
      <c r="I309" s="15"/>
      <c r="J309" s="15"/>
    </row>
    <row r="310" spans="1:10">
      <c r="A310" s="15"/>
      <c r="B310" s="15"/>
      <c r="C310" s="15"/>
      <c r="D310" s="15"/>
      <c r="E310" s="120"/>
      <c r="F310" s="15"/>
      <c r="G310" s="15"/>
      <c r="H310" s="15"/>
      <c r="I310" s="15"/>
      <c r="J310" s="15"/>
    </row>
    <row r="311" spans="1:10">
      <c r="A311" s="15"/>
      <c r="B311" s="15"/>
      <c r="C311" s="15"/>
      <c r="D311" s="15"/>
      <c r="E311" s="120"/>
      <c r="F311" s="15"/>
      <c r="G311" s="15"/>
      <c r="H311" s="15"/>
      <c r="I311" s="15"/>
      <c r="J311" s="15"/>
    </row>
    <row r="312" spans="1:10">
      <c r="A312" s="15"/>
      <c r="B312" s="15"/>
      <c r="C312" s="15"/>
      <c r="D312" s="15"/>
      <c r="E312" s="120"/>
      <c r="F312" s="15"/>
      <c r="G312" s="15"/>
      <c r="H312" s="15"/>
      <c r="I312" s="15"/>
      <c r="J312" s="15"/>
    </row>
    <row r="313" spans="1:10">
      <c r="E313" s="19"/>
    </row>
    <row r="314" spans="1:10">
      <c r="E314" s="19"/>
    </row>
    <row r="315" spans="1:10">
      <c r="E315" s="19"/>
    </row>
    <row r="316" spans="1:10">
      <c r="E316" s="19"/>
    </row>
    <row r="317" spans="1:10">
      <c r="E317" s="19"/>
    </row>
    <row r="318" spans="1:10">
      <c r="E318" s="19"/>
    </row>
    <row r="319" spans="1:10">
      <c r="E319" s="19"/>
    </row>
    <row r="320" spans="1:10">
      <c r="E320" s="19"/>
    </row>
    <row r="321" spans="5:5">
      <c r="E321" s="19"/>
    </row>
    <row r="322" spans="5:5">
      <c r="E322" s="19"/>
    </row>
    <row r="323" spans="5:5">
      <c r="E323" s="19"/>
    </row>
    <row r="324" spans="5:5">
      <c r="E324" s="19"/>
    </row>
    <row r="325" spans="5:5">
      <c r="E325" s="19"/>
    </row>
    <row r="326" spans="5:5">
      <c r="E326" s="19"/>
    </row>
    <row r="327" spans="5:5">
      <c r="E327" s="19"/>
    </row>
    <row r="328" spans="5:5">
      <c r="E328" s="19"/>
    </row>
    <row r="329" spans="5:5">
      <c r="E329" s="19"/>
    </row>
    <row r="330" spans="5:5">
      <c r="E330" s="19"/>
    </row>
    <row r="331" spans="5:5">
      <c r="E331" s="19"/>
    </row>
    <row r="332" spans="5:5">
      <c r="E332" s="19"/>
    </row>
    <row r="333" spans="5:5">
      <c r="E333" s="19"/>
    </row>
    <row r="334" spans="5:5">
      <c r="E334" s="19"/>
    </row>
    <row r="335" spans="5:5">
      <c r="E335" s="19"/>
    </row>
    <row r="336" spans="5:5">
      <c r="E336" s="19"/>
    </row>
    <row r="337" spans="5:5">
      <c r="E337" s="19"/>
    </row>
    <row r="338" spans="5:5">
      <c r="E338" s="19"/>
    </row>
    <row r="339" spans="5:5">
      <c r="E339" s="19"/>
    </row>
    <row r="340" spans="5:5">
      <c r="E340" s="19"/>
    </row>
    <row r="341" spans="5:5">
      <c r="E341" s="19"/>
    </row>
    <row r="342" spans="5:5">
      <c r="E342" s="19"/>
    </row>
    <row r="343" spans="5:5">
      <c r="E343" s="19"/>
    </row>
    <row r="344" spans="5:5">
      <c r="E344" s="19"/>
    </row>
    <row r="345" spans="5:5">
      <c r="E345" s="19"/>
    </row>
    <row r="346" spans="5:5">
      <c r="E346" s="19"/>
    </row>
    <row r="347" spans="5:5">
      <c r="E347" s="19"/>
    </row>
    <row r="348" spans="5:5">
      <c r="E348" s="19"/>
    </row>
    <row r="349" spans="5:5">
      <c r="E349" s="19"/>
    </row>
    <row r="350" spans="5:5">
      <c r="E350" s="19"/>
    </row>
    <row r="351" spans="5:5">
      <c r="E351" s="19"/>
    </row>
    <row r="352" spans="5:5">
      <c r="E352" s="19"/>
    </row>
    <row r="353" spans="5:5">
      <c r="E353" s="19"/>
    </row>
    <row r="354" spans="5:5">
      <c r="E354" s="19"/>
    </row>
    <row r="355" spans="5:5">
      <c r="E355" s="19"/>
    </row>
    <row r="356" spans="5:5">
      <c r="E356" s="19"/>
    </row>
    <row r="357" spans="5:5">
      <c r="E357" s="19"/>
    </row>
    <row r="358" spans="5:5">
      <c r="E358" s="19"/>
    </row>
    <row r="359" spans="5:5">
      <c r="E359" s="19"/>
    </row>
    <row r="360" spans="5:5">
      <c r="E360" s="19"/>
    </row>
    <row r="361" spans="5:5">
      <c r="E361" s="19"/>
    </row>
    <row r="362" spans="5:5">
      <c r="E362" s="19"/>
    </row>
    <row r="363" spans="5:5">
      <c r="E363" s="19"/>
    </row>
    <row r="364" spans="5:5">
      <c r="E364" s="19"/>
    </row>
    <row r="365" spans="5:5">
      <c r="E365" s="19"/>
    </row>
    <row r="366" spans="5:5">
      <c r="E366" s="19"/>
    </row>
    <row r="367" spans="5:5">
      <c r="E367" s="19"/>
    </row>
    <row r="368" spans="5:5">
      <c r="E368" s="19"/>
    </row>
    <row r="369" spans="5:5">
      <c r="E369" s="19"/>
    </row>
    <row r="370" spans="5:5">
      <c r="E370" s="19"/>
    </row>
    <row r="371" spans="5:5">
      <c r="E371" s="19"/>
    </row>
    <row r="372" spans="5:5">
      <c r="E372" s="19"/>
    </row>
    <row r="373" spans="5:5">
      <c r="E373" s="19"/>
    </row>
    <row r="374" spans="5:5">
      <c r="E374" s="19"/>
    </row>
    <row r="375" spans="5:5">
      <c r="E375" s="19"/>
    </row>
    <row r="376" spans="5:5">
      <c r="E376" s="19"/>
    </row>
    <row r="377" spans="5:5">
      <c r="E377" s="19"/>
    </row>
    <row r="378" spans="5:5">
      <c r="E378" s="19"/>
    </row>
    <row r="379" spans="5:5">
      <c r="E379" s="19"/>
    </row>
    <row r="380" spans="5:5">
      <c r="E380" s="19"/>
    </row>
    <row r="381" spans="5:5">
      <c r="E381" s="19"/>
    </row>
    <row r="382" spans="5:5">
      <c r="E382" s="19"/>
    </row>
    <row r="383" spans="5:5">
      <c r="E383" s="19"/>
    </row>
    <row r="384" spans="5:5">
      <c r="E384" s="19"/>
    </row>
    <row r="385" spans="5:5">
      <c r="E385" s="19"/>
    </row>
    <row r="386" spans="5:5">
      <c r="E386" s="19"/>
    </row>
    <row r="387" spans="5:5">
      <c r="E387" s="19"/>
    </row>
    <row r="388" spans="5:5">
      <c r="E388" s="19"/>
    </row>
    <row r="389" spans="5:5">
      <c r="E389" s="19"/>
    </row>
    <row r="390" spans="5:5">
      <c r="E390" s="19"/>
    </row>
    <row r="391" spans="5:5">
      <c r="E391" s="19"/>
    </row>
    <row r="392" spans="5:5">
      <c r="E392" s="19"/>
    </row>
    <row r="393" spans="5:5">
      <c r="E393" s="19"/>
    </row>
    <row r="394" spans="5:5">
      <c r="E394" s="19"/>
    </row>
    <row r="395" spans="5:5">
      <c r="E395" s="19"/>
    </row>
    <row r="396" spans="5:5">
      <c r="E396" s="19"/>
    </row>
    <row r="397" spans="5:5">
      <c r="E397" s="19"/>
    </row>
    <row r="398" spans="5:5">
      <c r="E398" s="19"/>
    </row>
    <row r="399" spans="5:5">
      <c r="E399" s="19"/>
    </row>
    <row r="400" spans="5:5">
      <c r="E400" s="19"/>
    </row>
    <row r="401" spans="5:5">
      <c r="E401" s="19"/>
    </row>
    <row r="402" spans="5:5">
      <c r="E402" s="19"/>
    </row>
    <row r="403" spans="5:5">
      <c r="E403" s="19"/>
    </row>
    <row r="404" spans="5:5">
      <c r="E404" s="19"/>
    </row>
    <row r="405" spans="5:5">
      <c r="E405" s="19"/>
    </row>
    <row r="406" spans="5:5">
      <c r="E406" s="19"/>
    </row>
    <row r="407" spans="5:5">
      <c r="E407" s="19"/>
    </row>
    <row r="408" spans="5:5">
      <c r="E408" s="19"/>
    </row>
    <row r="409" spans="5:5">
      <c r="E409" s="19"/>
    </row>
    <row r="410" spans="5:5">
      <c r="E410" s="19"/>
    </row>
    <row r="411" spans="5:5">
      <c r="E411" s="19"/>
    </row>
    <row r="412" spans="5:5">
      <c r="E412" s="19"/>
    </row>
    <row r="413" spans="5:5">
      <c r="E413" s="19"/>
    </row>
    <row r="414" spans="5:5">
      <c r="E414" s="19"/>
    </row>
    <row r="415" spans="5:5">
      <c r="E415" s="19"/>
    </row>
    <row r="416" spans="5:5">
      <c r="E416" s="19"/>
    </row>
    <row r="417" spans="5:5">
      <c r="E417" s="19"/>
    </row>
    <row r="418" spans="5:5">
      <c r="E418" s="19"/>
    </row>
    <row r="419" spans="5:5">
      <c r="E419" s="19"/>
    </row>
    <row r="420" spans="5:5">
      <c r="E420" s="19"/>
    </row>
    <row r="421" spans="5:5">
      <c r="E421" s="19"/>
    </row>
    <row r="422" spans="5:5">
      <c r="E422" s="19"/>
    </row>
    <row r="423" spans="5:5">
      <c r="E423" s="19"/>
    </row>
    <row r="424" spans="5:5">
      <c r="E424" s="19"/>
    </row>
    <row r="425" spans="5:5">
      <c r="E425" s="19"/>
    </row>
    <row r="426" spans="5:5">
      <c r="E426" s="19"/>
    </row>
    <row r="427" spans="5:5">
      <c r="E427" s="19"/>
    </row>
    <row r="428" spans="5:5">
      <c r="E428" s="19"/>
    </row>
    <row r="429" spans="5:5">
      <c r="E429" s="19"/>
    </row>
    <row r="430" spans="5:5">
      <c r="E430" s="19"/>
    </row>
    <row r="431" spans="5:5">
      <c r="E431" s="19"/>
    </row>
    <row r="432" spans="5:5">
      <c r="E432" s="19"/>
    </row>
    <row r="433" spans="5:5">
      <c r="E433" s="19"/>
    </row>
    <row r="434" spans="5:5">
      <c r="E434" s="19"/>
    </row>
    <row r="435" spans="5:5">
      <c r="E435" s="19"/>
    </row>
    <row r="436" spans="5:5">
      <c r="E436" s="19"/>
    </row>
    <row r="437" spans="5:5">
      <c r="E437" s="19"/>
    </row>
    <row r="438" spans="5:5">
      <c r="E438" s="19"/>
    </row>
    <row r="439" spans="5:5">
      <c r="E439" s="19"/>
    </row>
    <row r="440" spans="5:5">
      <c r="E440" s="19"/>
    </row>
    <row r="441" spans="5:5">
      <c r="E441" s="19"/>
    </row>
    <row r="442" spans="5:5">
      <c r="E442" s="19"/>
    </row>
    <row r="443" spans="5:5">
      <c r="E443" s="19"/>
    </row>
    <row r="444" spans="5:5">
      <c r="E444" s="19"/>
    </row>
    <row r="445" spans="5:5">
      <c r="E445" s="19"/>
    </row>
    <row r="446" spans="5:5">
      <c r="E446" s="19"/>
    </row>
    <row r="447" spans="5:5">
      <c r="E447" s="19"/>
    </row>
    <row r="448" spans="5:5">
      <c r="E448" s="19"/>
    </row>
    <row r="449" spans="5:5">
      <c r="E449" s="19"/>
    </row>
    <row r="450" spans="5:5">
      <c r="E450" s="19"/>
    </row>
    <row r="451" spans="5:5">
      <c r="E451" s="19"/>
    </row>
    <row r="452" spans="5:5">
      <c r="E452" s="19"/>
    </row>
    <row r="453" spans="5:5">
      <c r="E453" s="19"/>
    </row>
    <row r="454" spans="5:5">
      <c r="E454" s="19"/>
    </row>
    <row r="455" spans="5:5">
      <c r="E455" s="19"/>
    </row>
    <row r="456" spans="5:5">
      <c r="E456" s="19"/>
    </row>
    <row r="457" spans="5:5">
      <c r="E457" s="19"/>
    </row>
    <row r="458" spans="5:5">
      <c r="E458" s="19"/>
    </row>
    <row r="459" spans="5:5">
      <c r="E459" s="19"/>
    </row>
    <row r="460" spans="5:5">
      <c r="E460" s="19"/>
    </row>
    <row r="461" spans="5:5">
      <c r="E461" s="19"/>
    </row>
    <row r="462" spans="5:5">
      <c r="E462" s="19"/>
    </row>
    <row r="463" spans="5:5">
      <c r="E463" s="19"/>
    </row>
    <row r="464" spans="5:5">
      <c r="E464" s="19"/>
    </row>
    <row r="465" spans="5:5">
      <c r="E465" s="19"/>
    </row>
    <row r="466" spans="5:5">
      <c r="E466" s="19"/>
    </row>
    <row r="467" spans="5:5">
      <c r="E467" s="19"/>
    </row>
    <row r="468" spans="5:5">
      <c r="E468" s="19"/>
    </row>
    <row r="469" spans="5:5">
      <c r="E469" s="19"/>
    </row>
    <row r="470" spans="5:5">
      <c r="E470" s="19"/>
    </row>
    <row r="471" spans="5:5">
      <c r="E471" s="19"/>
    </row>
    <row r="472" spans="5:5">
      <c r="E472" s="19"/>
    </row>
    <row r="473" spans="5:5">
      <c r="E473" s="19"/>
    </row>
    <row r="474" spans="5:5">
      <c r="E474" s="19"/>
    </row>
    <row r="475" spans="5:5">
      <c r="E475" s="19"/>
    </row>
    <row r="476" spans="5:5">
      <c r="E476" s="19"/>
    </row>
    <row r="477" spans="5:5">
      <c r="E477" s="19"/>
    </row>
    <row r="478" spans="5:5">
      <c r="E478" s="19"/>
    </row>
    <row r="479" spans="5:5">
      <c r="E479" s="19"/>
    </row>
    <row r="480" spans="5:5">
      <c r="E480" s="19"/>
    </row>
    <row r="481" spans="5:5">
      <c r="E481" s="19"/>
    </row>
    <row r="482" spans="5:5">
      <c r="E482" s="19"/>
    </row>
    <row r="483" spans="5:5">
      <c r="E483" s="19"/>
    </row>
    <row r="484" spans="5:5">
      <c r="E484" s="19"/>
    </row>
    <row r="485" spans="5:5">
      <c r="E485" s="19"/>
    </row>
    <row r="486" spans="5:5">
      <c r="E486" s="19"/>
    </row>
    <row r="487" spans="5:5">
      <c r="E487" s="19"/>
    </row>
    <row r="488" spans="5:5">
      <c r="E488" s="19"/>
    </row>
    <row r="489" spans="5:5">
      <c r="E489" s="19"/>
    </row>
    <row r="490" spans="5:5">
      <c r="E490" s="19"/>
    </row>
    <row r="491" spans="5:5">
      <c r="E491" s="19"/>
    </row>
    <row r="492" spans="5:5">
      <c r="E492" s="19"/>
    </row>
    <row r="493" spans="5:5">
      <c r="E493" s="19"/>
    </row>
    <row r="494" spans="5:5">
      <c r="E494" s="19"/>
    </row>
    <row r="495" spans="5:5">
      <c r="E495" s="19"/>
    </row>
    <row r="496" spans="5:5">
      <c r="E496" s="19"/>
    </row>
    <row r="497" spans="5:5">
      <c r="E497" s="19"/>
    </row>
    <row r="498" spans="5:5">
      <c r="E498" s="19"/>
    </row>
    <row r="499" spans="5:5">
      <c r="E499" s="19"/>
    </row>
    <row r="500" spans="5:5">
      <c r="E500" s="19"/>
    </row>
    <row r="501" spans="5:5">
      <c r="E501" s="19"/>
    </row>
    <row r="502" spans="5:5">
      <c r="E502" s="19"/>
    </row>
    <row r="503" spans="5:5">
      <c r="E503" s="19"/>
    </row>
    <row r="504" spans="5:5">
      <c r="E504" s="19"/>
    </row>
    <row r="505" spans="5:5">
      <c r="E505" s="19"/>
    </row>
    <row r="506" spans="5:5">
      <c r="E506" s="19"/>
    </row>
    <row r="507" spans="5:5">
      <c r="E507" s="19"/>
    </row>
    <row r="508" spans="5:5">
      <c r="E508" s="19"/>
    </row>
    <row r="509" spans="5:5">
      <c r="E509" s="19"/>
    </row>
    <row r="510" spans="5:5">
      <c r="E510" s="19"/>
    </row>
    <row r="511" spans="5:5">
      <c r="E511" s="19"/>
    </row>
    <row r="512" spans="5:5">
      <c r="E512" s="19"/>
    </row>
    <row r="513" spans="5:5">
      <c r="E513" s="19"/>
    </row>
    <row r="514" spans="5:5">
      <c r="E514" s="19"/>
    </row>
    <row r="515" spans="5:5">
      <c r="E515" s="19"/>
    </row>
    <row r="516" spans="5:5">
      <c r="E516" s="19"/>
    </row>
    <row r="517" spans="5:5">
      <c r="E517" s="19"/>
    </row>
    <row r="518" spans="5:5">
      <c r="E518" s="19"/>
    </row>
    <row r="519" spans="5:5">
      <c r="E519" s="19"/>
    </row>
    <row r="520" spans="5:5">
      <c r="E520" s="19"/>
    </row>
    <row r="521" spans="5:5">
      <c r="E521" s="19"/>
    </row>
    <row r="522" spans="5:5">
      <c r="E522" s="19"/>
    </row>
    <row r="523" spans="5:5">
      <c r="E523" s="19"/>
    </row>
    <row r="524" spans="5:5">
      <c r="E524" s="19"/>
    </row>
    <row r="525" spans="5:5">
      <c r="E525" s="19"/>
    </row>
    <row r="526" spans="5:5">
      <c r="E526" s="19"/>
    </row>
    <row r="527" spans="5:5">
      <c r="E527" s="19"/>
    </row>
    <row r="528" spans="5:5">
      <c r="E528" s="19"/>
    </row>
    <row r="529" spans="5:5">
      <c r="E529" s="19"/>
    </row>
    <row r="530" spans="5:5">
      <c r="E530" s="19"/>
    </row>
    <row r="531" spans="5:5">
      <c r="E531" s="19"/>
    </row>
    <row r="532" spans="5:5">
      <c r="E532" s="19"/>
    </row>
    <row r="533" spans="5:5">
      <c r="E533" s="19"/>
    </row>
    <row r="534" spans="5:5">
      <c r="E534" s="19"/>
    </row>
    <row r="535" spans="5:5">
      <c r="E535" s="19"/>
    </row>
    <row r="536" spans="5:5">
      <c r="E536" s="19"/>
    </row>
    <row r="537" spans="5:5">
      <c r="E537" s="19"/>
    </row>
    <row r="538" spans="5:5">
      <c r="E538" s="19"/>
    </row>
    <row r="539" spans="5:5">
      <c r="E539" s="19"/>
    </row>
    <row r="540" spans="5:5">
      <c r="E540" s="19"/>
    </row>
    <row r="541" spans="5:5">
      <c r="E541" s="19"/>
    </row>
    <row r="542" spans="5:5">
      <c r="E542" s="19"/>
    </row>
    <row r="543" spans="5:5">
      <c r="E543" s="19"/>
    </row>
    <row r="544" spans="5:5">
      <c r="E544" s="19"/>
    </row>
    <row r="545" spans="5:5">
      <c r="E545" s="19"/>
    </row>
    <row r="546" spans="5:5">
      <c r="E546" s="19"/>
    </row>
    <row r="547" spans="5:5">
      <c r="E547" s="19"/>
    </row>
    <row r="548" spans="5:5">
      <c r="E548" s="19"/>
    </row>
    <row r="549" spans="5:5">
      <c r="E549" s="19"/>
    </row>
    <row r="550" spans="5:5">
      <c r="E550" s="19"/>
    </row>
    <row r="551" spans="5:5">
      <c r="E551" s="19"/>
    </row>
    <row r="552" spans="5:5">
      <c r="E552" s="19"/>
    </row>
    <row r="553" spans="5:5">
      <c r="E553" s="19"/>
    </row>
    <row r="554" spans="5:5">
      <c r="E554" s="19"/>
    </row>
    <row r="555" spans="5:5">
      <c r="E555" s="19"/>
    </row>
    <row r="556" spans="5:5">
      <c r="E556" s="19"/>
    </row>
    <row r="557" spans="5:5">
      <c r="E557" s="19"/>
    </row>
    <row r="558" spans="5:5">
      <c r="E558" s="19"/>
    </row>
    <row r="559" spans="5:5">
      <c r="E559" s="19"/>
    </row>
    <row r="560" spans="5:5">
      <c r="E560" s="19"/>
    </row>
    <row r="561" spans="5:5">
      <c r="E561" s="19"/>
    </row>
    <row r="562" spans="5:5">
      <c r="E562" s="19"/>
    </row>
    <row r="563" spans="5:5">
      <c r="E563" s="19"/>
    </row>
    <row r="564" spans="5:5">
      <c r="E564" s="19"/>
    </row>
    <row r="565" spans="5:5">
      <c r="E565" s="19"/>
    </row>
    <row r="566" spans="5:5">
      <c r="E566" s="19"/>
    </row>
    <row r="567" spans="5:5">
      <c r="E567" s="19"/>
    </row>
    <row r="568" spans="5:5">
      <c r="E568" s="19"/>
    </row>
    <row r="569" spans="5:5">
      <c r="E569" s="19"/>
    </row>
    <row r="570" spans="5:5">
      <c r="E570" s="19"/>
    </row>
    <row r="571" spans="5:5">
      <c r="E571" s="19"/>
    </row>
    <row r="572" spans="5:5">
      <c r="E572" s="19"/>
    </row>
    <row r="573" spans="5:5">
      <c r="E573" s="19"/>
    </row>
    <row r="574" spans="5:5">
      <c r="E574" s="19"/>
    </row>
    <row r="575" spans="5:5">
      <c r="E575" s="19"/>
    </row>
    <row r="576" spans="5:5">
      <c r="E576" s="19"/>
    </row>
    <row r="577" spans="5:5">
      <c r="E577" s="19"/>
    </row>
    <row r="578" spans="5:5">
      <c r="E578" s="19"/>
    </row>
    <row r="579" spans="5:5">
      <c r="E579" s="19"/>
    </row>
    <row r="580" spans="5:5">
      <c r="E580" s="19"/>
    </row>
    <row r="581" spans="5:5">
      <c r="E581" s="19"/>
    </row>
    <row r="582" spans="5:5">
      <c r="E582" s="19"/>
    </row>
    <row r="583" spans="5:5">
      <c r="E583" s="19"/>
    </row>
    <row r="584" spans="5:5">
      <c r="E584" s="19"/>
    </row>
    <row r="585" spans="5:5">
      <c r="E585" s="19"/>
    </row>
    <row r="586" spans="5:5">
      <c r="E586" s="19"/>
    </row>
    <row r="587" spans="5:5">
      <c r="E587" s="19"/>
    </row>
    <row r="588" spans="5:5">
      <c r="E588" s="19"/>
    </row>
    <row r="589" spans="5:5">
      <c r="E589" s="19"/>
    </row>
    <row r="590" spans="5:5">
      <c r="E590" s="19"/>
    </row>
    <row r="591" spans="5:5">
      <c r="E591" s="19"/>
    </row>
    <row r="592" spans="5:5">
      <c r="E592" s="19"/>
    </row>
    <row r="593" spans="5:5">
      <c r="E593" s="19"/>
    </row>
    <row r="594" spans="5:5">
      <c r="E594" s="19"/>
    </row>
    <row r="595" spans="5:5">
      <c r="E595" s="19"/>
    </row>
    <row r="596" spans="5:5">
      <c r="E596" s="19"/>
    </row>
    <row r="597" spans="5:5">
      <c r="E597" s="19"/>
    </row>
    <row r="598" spans="5:5">
      <c r="E598" s="19"/>
    </row>
    <row r="599" spans="5:5">
      <c r="E599" s="19"/>
    </row>
    <row r="600" spans="5:5">
      <c r="E600" s="19"/>
    </row>
    <row r="601" spans="5:5">
      <c r="E601" s="19"/>
    </row>
    <row r="602" spans="5:5">
      <c r="E602" s="19"/>
    </row>
    <row r="603" spans="5:5">
      <c r="E603" s="19"/>
    </row>
    <row r="604" spans="5:5">
      <c r="E604" s="19"/>
    </row>
    <row r="605" spans="5:5">
      <c r="E605" s="19"/>
    </row>
    <row r="606" spans="5:5">
      <c r="E606" s="19"/>
    </row>
    <row r="607" spans="5:5">
      <c r="E607" s="19"/>
    </row>
    <row r="608" spans="5:5">
      <c r="E608" s="19"/>
    </row>
    <row r="609" spans="5:5">
      <c r="E609" s="19"/>
    </row>
    <row r="610" spans="5:5">
      <c r="E610" s="19"/>
    </row>
    <row r="611" spans="5:5">
      <c r="E611" s="19"/>
    </row>
    <row r="612" spans="5:5">
      <c r="E612" s="19"/>
    </row>
    <row r="613" spans="5:5">
      <c r="E613" s="19"/>
    </row>
    <row r="614" spans="5:5">
      <c r="E614" s="19"/>
    </row>
    <row r="615" spans="5:5">
      <c r="E615" s="19"/>
    </row>
    <row r="616" spans="5:5">
      <c r="E616" s="19"/>
    </row>
    <row r="617" spans="5:5">
      <c r="E617" s="19"/>
    </row>
    <row r="618" spans="5:5">
      <c r="E618" s="19"/>
    </row>
    <row r="619" spans="5:5">
      <c r="E619" s="19"/>
    </row>
    <row r="620" spans="5:5">
      <c r="E620" s="19"/>
    </row>
    <row r="621" spans="5:5">
      <c r="E621" s="19"/>
    </row>
    <row r="622" spans="5:5">
      <c r="E622" s="19"/>
    </row>
    <row r="623" spans="5:5">
      <c r="E623" s="19"/>
    </row>
    <row r="624" spans="5:5">
      <c r="E624" s="19"/>
    </row>
    <row r="625" spans="5:5">
      <c r="E625" s="19"/>
    </row>
    <row r="626" spans="5:5">
      <c r="E626" s="19"/>
    </row>
    <row r="627" spans="5:5">
      <c r="E627" s="19"/>
    </row>
    <row r="628" spans="5:5">
      <c r="E628" s="19"/>
    </row>
    <row r="629" spans="5:5">
      <c r="E629" s="19"/>
    </row>
    <row r="630" spans="5:5">
      <c r="E630" s="19"/>
    </row>
    <row r="631" spans="5:5">
      <c r="E631" s="19"/>
    </row>
    <row r="632" spans="5:5">
      <c r="E632" s="19"/>
    </row>
    <row r="633" spans="5:5">
      <c r="E633" s="19"/>
    </row>
    <row r="634" spans="5:5">
      <c r="E634" s="19"/>
    </row>
    <row r="635" spans="5:5">
      <c r="E635" s="19"/>
    </row>
    <row r="636" spans="5:5">
      <c r="E636" s="19"/>
    </row>
    <row r="637" spans="5:5">
      <c r="E637" s="19"/>
    </row>
    <row r="638" spans="5:5">
      <c r="E638" s="19"/>
    </row>
    <row r="639" spans="5:5">
      <c r="E639" s="19"/>
    </row>
    <row r="640" spans="5:5">
      <c r="E640" s="19"/>
    </row>
    <row r="641" spans="5:5">
      <c r="E641" s="19"/>
    </row>
    <row r="642" spans="5:5">
      <c r="E642" s="19"/>
    </row>
    <row r="643" spans="5:5">
      <c r="E643" s="19"/>
    </row>
    <row r="644" spans="5:5">
      <c r="E644" s="19"/>
    </row>
    <row r="645" spans="5:5">
      <c r="E645" s="19"/>
    </row>
    <row r="646" spans="5:5">
      <c r="E646" s="19"/>
    </row>
    <row r="647" spans="5:5">
      <c r="E647" s="19"/>
    </row>
    <row r="648" spans="5:5">
      <c r="E648" s="19"/>
    </row>
    <row r="649" spans="5:5">
      <c r="E649" s="19"/>
    </row>
    <row r="650" spans="5:5">
      <c r="E650" s="19"/>
    </row>
    <row r="651" spans="5:5">
      <c r="E651" s="19"/>
    </row>
    <row r="652" spans="5:5">
      <c r="E652" s="19"/>
    </row>
    <row r="653" spans="5:5">
      <c r="E653" s="19"/>
    </row>
    <row r="654" spans="5:5">
      <c r="E654" s="19"/>
    </row>
    <row r="655" spans="5:5">
      <c r="E655" s="19"/>
    </row>
    <row r="656" spans="5:5">
      <c r="E656" s="19"/>
    </row>
    <row r="657" spans="5:5">
      <c r="E657" s="19"/>
    </row>
    <row r="658" spans="5:5">
      <c r="E658" s="19"/>
    </row>
    <row r="659" spans="5:5">
      <c r="E659" s="19"/>
    </row>
    <row r="660" spans="5:5">
      <c r="E660" s="19"/>
    </row>
    <row r="661" spans="5:5">
      <c r="E661" s="19"/>
    </row>
    <row r="662" spans="5:5">
      <c r="E662" s="19"/>
    </row>
    <row r="663" spans="5:5">
      <c r="E663" s="19"/>
    </row>
    <row r="664" spans="5:5">
      <c r="E664" s="19"/>
    </row>
    <row r="665" spans="5:5">
      <c r="E665" s="19"/>
    </row>
    <row r="666" spans="5:5">
      <c r="E666" s="19"/>
    </row>
    <row r="667" spans="5:5">
      <c r="E667" s="19"/>
    </row>
    <row r="668" spans="5:5">
      <c r="E668" s="19"/>
    </row>
    <row r="669" spans="5:5">
      <c r="E669" s="19"/>
    </row>
    <row r="670" spans="5:5">
      <c r="E670" s="19"/>
    </row>
    <row r="671" spans="5:5">
      <c r="E671" s="19"/>
    </row>
    <row r="672" spans="5:5">
      <c r="E672" s="19"/>
    </row>
    <row r="673" spans="5:5">
      <c r="E673" s="19"/>
    </row>
    <row r="674" spans="5:5">
      <c r="E674" s="19"/>
    </row>
    <row r="675" spans="5:5">
      <c r="E675" s="19"/>
    </row>
    <row r="676" spans="5:5">
      <c r="E676" s="19"/>
    </row>
    <row r="677" spans="5:5">
      <c r="E677" s="19"/>
    </row>
    <row r="678" spans="5:5">
      <c r="E678" s="19"/>
    </row>
    <row r="679" spans="5:5">
      <c r="E679" s="19"/>
    </row>
    <row r="680" spans="5:5">
      <c r="E680" s="19"/>
    </row>
    <row r="681" spans="5:5">
      <c r="E681" s="19"/>
    </row>
    <row r="682" spans="5:5">
      <c r="E682" s="19"/>
    </row>
    <row r="683" spans="5:5">
      <c r="E683" s="19"/>
    </row>
    <row r="684" spans="5:5">
      <c r="E684" s="19"/>
    </row>
    <row r="685" spans="5:5">
      <c r="E685" s="19"/>
    </row>
    <row r="686" spans="5:5">
      <c r="E686" s="19"/>
    </row>
    <row r="687" spans="5:5">
      <c r="E687" s="19"/>
    </row>
    <row r="688" spans="5:5">
      <c r="E688" s="19"/>
    </row>
    <row r="689" spans="5:5">
      <c r="E689" s="19"/>
    </row>
    <row r="690" spans="5:5">
      <c r="E690" s="19"/>
    </row>
    <row r="691" spans="5:5">
      <c r="E691" s="19"/>
    </row>
    <row r="692" spans="5:5">
      <c r="E692" s="19"/>
    </row>
    <row r="693" spans="5:5">
      <c r="E693" s="19"/>
    </row>
    <row r="694" spans="5:5">
      <c r="E694" s="19"/>
    </row>
    <row r="695" spans="5:5">
      <c r="E695" s="19"/>
    </row>
    <row r="696" spans="5:5">
      <c r="E696" s="19"/>
    </row>
    <row r="697" spans="5:5">
      <c r="E697" s="19"/>
    </row>
    <row r="698" spans="5:5">
      <c r="E698" s="19"/>
    </row>
    <row r="699" spans="5:5">
      <c r="E699" s="19"/>
    </row>
    <row r="700" spans="5:5">
      <c r="E700" s="19"/>
    </row>
    <row r="701" spans="5:5">
      <c r="E701" s="19"/>
    </row>
    <row r="702" spans="5:5">
      <c r="E702" s="19"/>
    </row>
    <row r="703" spans="5:5">
      <c r="E703" s="19"/>
    </row>
    <row r="704" spans="5:5">
      <c r="E704" s="19"/>
    </row>
    <row r="705" spans="5:5">
      <c r="E705" s="19"/>
    </row>
    <row r="706" spans="5:5">
      <c r="E706" s="19"/>
    </row>
    <row r="707" spans="5:5">
      <c r="E707" s="19"/>
    </row>
    <row r="708" spans="5:5">
      <c r="E708" s="19"/>
    </row>
    <row r="709" spans="5:5">
      <c r="E709" s="19"/>
    </row>
    <row r="710" spans="5:5">
      <c r="E710" s="19"/>
    </row>
    <row r="711" spans="5:5">
      <c r="E711" s="19"/>
    </row>
    <row r="712" spans="5:5">
      <c r="E712" s="19"/>
    </row>
    <row r="713" spans="5:5">
      <c r="E713" s="19"/>
    </row>
    <row r="714" spans="5:5">
      <c r="E714" s="19"/>
    </row>
    <row r="715" spans="5:5">
      <c r="E715" s="19"/>
    </row>
    <row r="716" spans="5:5">
      <c r="E716" s="19"/>
    </row>
    <row r="717" spans="5:5">
      <c r="E717" s="19"/>
    </row>
    <row r="718" spans="5:5">
      <c r="E718" s="19"/>
    </row>
    <row r="719" spans="5:5">
      <c r="E719" s="19"/>
    </row>
    <row r="720" spans="5:5">
      <c r="E720" s="19"/>
    </row>
    <row r="721" spans="5:5">
      <c r="E721" s="19"/>
    </row>
    <row r="722" spans="5:5">
      <c r="E722" s="19"/>
    </row>
    <row r="723" spans="5:5">
      <c r="E723" s="19"/>
    </row>
    <row r="724" spans="5:5">
      <c r="E724" s="19"/>
    </row>
    <row r="725" spans="5:5">
      <c r="E725" s="19"/>
    </row>
    <row r="726" spans="5:5">
      <c r="E726" s="19"/>
    </row>
    <row r="727" spans="5:5">
      <c r="E727" s="19"/>
    </row>
    <row r="728" spans="5:5">
      <c r="E728" s="19"/>
    </row>
    <row r="729" spans="5:5">
      <c r="E729" s="19"/>
    </row>
    <row r="730" spans="5:5">
      <c r="E730" s="19"/>
    </row>
    <row r="731" spans="5:5">
      <c r="E731" s="19"/>
    </row>
    <row r="732" spans="5:5">
      <c r="E732" s="19"/>
    </row>
    <row r="733" spans="5:5">
      <c r="E733" s="19"/>
    </row>
    <row r="734" spans="5:5">
      <c r="E734" s="19"/>
    </row>
    <row r="735" spans="5:5">
      <c r="E735" s="19"/>
    </row>
    <row r="736" spans="5:5">
      <c r="E736" s="19"/>
    </row>
    <row r="737" spans="5:5">
      <c r="E737" s="19"/>
    </row>
    <row r="738" spans="5:5">
      <c r="E738" s="19"/>
    </row>
    <row r="739" spans="5:5">
      <c r="E739" s="19"/>
    </row>
    <row r="740" spans="5:5">
      <c r="E740" s="19"/>
    </row>
    <row r="741" spans="5:5">
      <c r="E741" s="19"/>
    </row>
    <row r="742" spans="5:5">
      <c r="E742" s="19"/>
    </row>
    <row r="743" spans="5:5">
      <c r="E743" s="19"/>
    </row>
    <row r="744" spans="5:5">
      <c r="E744" s="19"/>
    </row>
    <row r="745" spans="5:5">
      <c r="E745" s="19"/>
    </row>
    <row r="746" spans="5:5">
      <c r="E746" s="19"/>
    </row>
    <row r="747" spans="5:5">
      <c r="E747" s="19"/>
    </row>
    <row r="748" spans="5:5">
      <c r="E748" s="19"/>
    </row>
    <row r="749" spans="5:5">
      <c r="E749" s="19"/>
    </row>
    <row r="750" spans="5:5">
      <c r="E750" s="19"/>
    </row>
    <row r="751" spans="5:5">
      <c r="E751" s="19"/>
    </row>
    <row r="752" spans="5:5">
      <c r="E752" s="19"/>
    </row>
    <row r="753" spans="5:5">
      <c r="E753" s="19"/>
    </row>
    <row r="754" spans="5:5">
      <c r="E754" s="19"/>
    </row>
    <row r="755" spans="5:5">
      <c r="E755" s="19"/>
    </row>
    <row r="756" spans="5:5">
      <c r="E756" s="19"/>
    </row>
    <row r="757" spans="5:5">
      <c r="E757" s="19"/>
    </row>
    <row r="758" spans="5:5">
      <c r="E758" s="19"/>
    </row>
    <row r="759" spans="5:5">
      <c r="E759" s="19"/>
    </row>
    <row r="760" spans="5:5">
      <c r="E760" s="19"/>
    </row>
    <row r="761" spans="5:5">
      <c r="E761" s="19"/>
    </row>
    <row r="762" spans="5:5">
      <c r="E762" s="19"/>
    </row>
    <row r="763" spans="5:5">
      <c r="E763" s="19"/>
    </row>
    <row r="764" spans="5:5">
      <c r="E764" s="19"/>
    </row>
    <row r="765" spans="5:5">
      <c r="E765" s="19"/>
    </row>
    <row r="766" spans="5:5">
      <c r="E766" s="19"/>
    </row>
    <row r="767" spans="5:5">
      <c r="E767" s="19"/>
    </row>
    <row r="768" spans="5:5">
      <c r="E768" s="19"/>
    </row>
    <row r="769" spans="5:5">
      <c r="E769" s="19"/>
    </row>
    <row r="770" spans="5:5">
      <c r="E770" s="19"/>
    </row>
    <row r="771" spans="5:5">
      <c r="E771" s="19"/>
    </row>
    <row r="772" spans="5:5">
      <c r="E772" s="19"/>
    </row>
    <row r="773" spans="5:5">
      <c r="E773" s="19"/>
    </row>
    <row r="774" spans="5:5">
      <c r="E774" s="19"/>
    </row>
    <row r="775" spans="5:5">
      <c r="E775" s="19"/>
    </row>
    <row r="776" spans="5:5">
      <c r="E776" s="19"/>
    </row>
    <row r="777" spans="5:5">
      <c r="E777" s="19"/>
    </row>
    <row r="778" spans="5:5">
      <c r="E778" s="19"/>
    </row>
    <row r="779" spans="5:5">
      <c r="E779" s="19"/>
    </row>
    <row r="780" spans="5:5">
      <c r="E780" s="19"/>
    </row>
    <row r="781" spans="5:5">
      <c r="E781" s="19"/>
    </row>
    <row r="782" spans="5:5">
      <c r="E782" s="19"/>
    </row>
    <row r="783" spans="5:5">
      <c r="E783" s="19"/>
    </row>
    <row r="784" spans="5:5">
      <c r="E784" s="19"/>
    </row>
    <row r="785" spans="5:5">
      <c r="E785" s="19"/>
    </row>
    <row r="786" spans="5:5">
      <c r="E786" s="19"/>
    </row>
    <row r="787" spans="5:5">
      <c r="E787" s="19"/>
    </row>
    <row r="788" spans="5:5">
      <c r="E788" s="19"/>
    </row>
    <row r="789" spans="5:5">
      <c r="E789" s="19"/>
    </row>
    <row r="790" spans="5:5">
      <c r="E790" s="19"/>
    </row>
    <row r="791" spans="5:5">
      <c r="E791" s="19"/>
    </row>
    <row r="792" spans="5:5">
      <c r="E792" s="19"/>
    </row>
    <row r="793" spans="5:5">
      <c r="E793" s="19"/>
    </row>
    <row r="794" spans="5:5">
      <c r="E794" s="19"/>
    </row>
    <row r="795" spans="5:5">
      <c r="E795" s="19"/>
    </row>
    <row r="796" spans="5:5">
      <c r="E796" s="19"/>
    </row>
    <row r="797" spans="5:5">
      <c r="E797" s="19"/>
    </row>
    <row r="798" spans="5:5">
      <c r="E798" s="19"/>
    </row>
    <row r="799" spans="5:5">
      <c r="E799" s="19"/>
    </row>
    <row r="800" spans="5:5">
      <c r="E800" s="19"/>
    </row>
    <row r="801" spans="5:5">
      <c r="E801" s="19"/>
    </row>
    <row r="802" spans="5:5">
      <c r="E802" s="19"/>
    </row>
    <row r="803" spans="5:5">
      <c r="E803" s="19"/>
    </row>
    <row r="804" spans="5:5">
      <c r="E804" s="19"/>
    </row>
    <row r="805" spans="5:5">
      <c r="E805" s="19"/>
    </row>
    <row r="806" spans="5:5">
      <c r="E806" s="19"/>
    </row>
    <row r="807" spans="5:5">
      <c r="E807" s="19"/>
    </row>
    <row r="808" spans="5:5">
      <c r="E808" s="19"/>
    </row>
    <row r="809" spans="5:5">
      <c r="E809" s="19"/>
    </row>
    <row r="810" spans="5:5">
      <c r="E810" s="19"/>
    </row>
    <row r="811" spans="5:5">
      <c r="E811" s="19"/>
    </row>
    <row r="812" spans="5:5">
      <c r="E812" s="19"/>
    </row>
    <row r="813" spans="5:5">
      <c r="E813" s="19"/>
    </row>
    <row r="814" spans="5:5">
      <c r="E814" s="19"/>
    </row>
    <row r="815" spans="5:5">
      <c r="E815" s="19"/>
    </row>
    <row r="816" spans="5:5">
      <c r="E816" s="19"/>
    </row>
    <row r="817" spans="5:5">
      <c r="E817" s="19"/>
    </row>
    <row r="818" spans="5:5">
      <c r="E818" s="19"/>
    </row>
    <row r="819" spans="5:5">
      <c r="E819" s="19"/>
    </row>
    <row r="820" spans="5:5">
      <c r="E820" s="19"/>
    </row>
    <row r="821" spans="5:5">
      <c r="E821" s="19"/>
    </row>
    <row r="822" spans="5:5">
      <c r="E822" s="19"/>
    </row>
    <row r="823" spans="5:5">
      <c r="E823" s="19"/>
    </row>
    <row r="824" spans="5:5">
      <c r="E824" s="19"/>
    </row>
    <row r="825" spans="5:5">
      <c r="E825" s="19"/>
    </row>
    <row r="826" spans="5:5">
      <c r="E826" s="19"/>
    </row>
    <row r="827" spans="5:5">
      <c r="E827" s="19"/>
    </row>
    <row r="828" spans="5:5">
      <c r="E828" s="19"/>
    </row>
    <row r="829" spans="5:5">
      <c r="E829" s="19"/>
    </row>
    <row r="830" spans="5:5">
      <c r="E830" s="19"/>
    </row>
    <row r="831" spans="5:5">
      <c r="E831" s="19"/>
    </row>
    <row r="832" spans="5:5">
      <c r="E832" s="19"/>
    </row>
    <row r="833" spans="5:5">
      <c r="E833" s="19"/>
    </row>
    <row r="834" spans="5:5">
      <c r="E834" s="19"/>
    </row>
    <row r="835" spans="5:5">
      <c r="E835" s="19"/>
    </row>
    <row r="836" spans="5:5">
      <c r="E836" s="19"/>
    </row>
    <row r="837" spans="5:5">
      <c r="E837" s="19"/>
    </row>
    <row r="838" spans="5:5">
      <c r="E838" s="19"/>
    </row>
    <row r="839" spans="5:5">
      <c r="E839" s="19"/>
    </row>
    <row r="840" spans="5:5">
      <c r="E840" s="19"/>
    </row>
    <row r="841" spans="5:5">
      <c r="E841" s="19"/>
    </row>
    <row r="842" spans="5:5">
      <c r="E842" s="19"/>
    </row>
    <row r="843" spans="5:5">
      <c r="E843" s="19"/>
    </row>
    <row r="844" spans="5:5">
      <c r="E844" s="19"/>
    </row>
    <row r="845" spans="5:5">
      <c r="E845" s="19"/>
    </row>
    <row r="846" spans="5:5">
      <c r="E846" s="19"/>
    </row>
    <row r="847" spans="5:5">
      <c r="E847" s="19"/>
    </row>
    <row r="848" spans="5:5">
      <c r="E848" s="19"/>
    </row>
    <row r="849" spans="5:5">
      <c r="E849" s="19"/>
    </row>
    <row r="850" spans="5:5">
      <c r="E850" s="19"/>
    </row>
    <row r="851" spans="5:5">
      <c r="E851" s="19"/>
    </row>
    <row r="852" spans="5:5">
      <c r="E852" s="19"/>
    </row>
    <row r="853" spans="5:5">
      <c r="E853" s="19"/>
    </row>
    <row r="854" spans="5:5">
      <c r="E854" s="19"/>
    </row>
    <row r="855" spans="5:5">
      <c r="E855" s="19"/>
    </row>
    <row r="856" spans="5:5">
      <c r="E856" s="19"/>
    </row>
    <row r="857" spans="5:5">
      <c r="E857" s="19"/>
    </row>
    <row r="858" spans="5:5">
      <c r="E858" s="19"/>
    </row>
  </sheetData>
  <conditionalFormatting sqref="G229:G237 F229:F234 F236:F237 F227:J227 H237:K237 H229:H231 E238:J238 H233:H236 I229:J236 F212:J220">
    <cfRule type="expression" dxfId="10" priority="1">
      <formula>#REF!=0</formula>
    </cfRule>
  </conditionalFormatting>
  <printOptions headings="1"/>
  <pageMargins left="0.23622047244094491" right="0.27559055118110237" top="0.74803149606299213" bottom="0.74803149606299213" header="0.31496062992125984" footer="0.31496062992125984"/>
  <pageSetup paperSize="8" scale="53" fitToHeight="0" orientation="portrait" r:id="rId1"/>
  <drawing r:id="rId2"/>
  <legacyDrawing r:id="rId3"/>
</worksheet>
</file>

<file path=xl/worksheets/sheet11.xml><?xml version="1.0" encoding="utf-8"?>
<worksheet xmlns="http://schemas.openxmlformats.org/spreadsheetml/2006/main" xmlns:r="http://schemas.openxmlformats.org/officeDocument/2006/relationships">
  <sheetPr codeName="Sheet39">
    <tabColor theme="9" tint="0.79998168889431442"/>
    <pageSetUpPr fitToPage="1"/>
  </sheetPr>
  <dimension ref="A1:Z858"/>
  <sheetViews>
    <sheetView zoomScaleNormal="100" workbookViewId="0"/>
  </sheetViews>
  <sheetFormatPr defaultRowHeight="15"/>
  <cols>
    <col min="1" max="2" width="4.140625" style="22" customWidth="1"/>
    <col min="3" max="3" width="47.5703125" style="22" customWidth="1"/>
    <col min="4" max="4" width="13.5703125" style="22" customWidth="1"/>
    <col min="5" max="5" width="10.5703125" style="22" customWidth="1"/>
    <col min="6" max="6" width="13.42578125" style="22" customWidth="1"/>
    <col min="7" max="7" width="10.42578125" style="22" customWidth="1"/>
    <col min="8" max="8" width="11.5703125" style="22" customWidth="1"/>
    <col min="9" max="9" width="10.28515625" style="22" customWidth="1"/>
    <col min="10" max="10" width="13.7109375" style="22" customWidth="1"/>
    <col min="11" max="11" width="11.28515625" style="22" customWidth="1"/>
    <col min="12" max="12" width="19.5703125" style="22" bestFit="1" customWidth="1"/>
    <col min="13" max="13" width="11.5703125" style="22" bestFit="1" customWidth="1"/>
    <col min="14" max="16384" width="9.140625" style="22"/>
  </cols>
  <sheetData>
    <row r="1" spans="1:16" ht="23.25">
      <c r="A1" s="27"/>
      <c r="C1" s="1" t="str">
        <f ca="1">OFFSET(Inputs_Anchor,0,G1+1)</f>
        <v xml:space="preserve">Horizon Energy </v>
      </c>
      <c r="D1" s="1"/>
      <c r="E1" s="1"/>
      <c r="F1" s="4" t="s">
        <v>109</v>
      </c>
      <c r="G1" s="5">
        <v>7</v>
      </c>
      <c r="H1" s="1"/>
      <c r="I1" s="1"/>
      <c r="J1" s="1"/>
      <c r="K1" s="1"/>
      <c r="L1" s="1"/>
      <c r="M1" s="1"/>
      <c r="N1" s="1"/>
      <c r="O1" s="1"/>
      <c r="P1" s="1"/>
    </row>
    <row r="2" spans="1:16">
      <c r="A2" s="27"/>
      <c r="L2" s="26"/>
    </row>
    <row r="3" spans="1:16" ht="23.25">
      <c r="C3" s="1" t="s">
        <v>3</v>
      </c>
      <c r="D3" s="1"/>
      <c r="E3" s="1"/>
      <c r="F3" s="1"/>
      <c r="G3" s="1"/>
      <c r="H3" s="1"/>
      <c r="I3" s="1"/>
      <c r="J3" s="1"/>
      <c r="K3" s="1"/>
      <c r="L3" s="1"/>
      <c r="M3" s="1"/>
      <c r="N3" s="1"/>
      <c r="O3" s="1"/>
      <c r="P3" s="1"/>
    </row>
    <row r="4" spans="1:16">
      <c r="A4" s="27"/>
      <c r="B4" s="27"/>
      <c r="C4" s="27"/>
      <c r="D4" s="147" t="s">
        <v>57</v>
      </c>
      <c r="E4" s="147" t="s">
        <v>58</v>
      </c>
      <c r="F4" s="27"/>
      <c r="G4" s="27"/>
      <c r="H4" s="148" t="s">
        <v>5</v>
      </c>
      <c r="I4" s="27"/>
      <c r="J4" s="27"/>
      <c r="K4" s="27"/>
      <c r="L4" s="27"/>
    </row>
    <row r="5" spans="1:16">
      <c r="A5" s="30"/>
      <c r="B5" s="27"/>
      <c r="C5" s="27"/>
      <c r="D5" s="147" t="s">
        <v>56</v>
      </c>
      <c r="E5" s="147"/>
      <c r="F5" s="27"/>
      <c r="G5" s="27"/>
      <c r="H5" s="27"/>
      <c r="I5" s="27"/>
      <c r="J5" s="27"/>
      <c r="K5" s="27"/>
      <c r="L5" s="27"/>
    </row>
    <row r="6" spans="1:16">
      <c r="A6" s="119"/>
      <c r="B6" s="50"/>
      <c r="C6" s="99" t="s">
        <v>1</v>
      </c>
      <c r="D6" s="50"/>
      <c r="E6" s="99" t="str">
        <f>Inputs!D11</f>
        <v>2009/10</v>
      </c>
      <c r="F6" s="99" t="str">
        <f>Inputs!E11</f>
        <v>2010/11</v>
      </c>
      <c r="G6" s="99" t="str">
        <f>Inputs!F11</f>
        <v>2011/12</v>
      </c>
      <c r="H6" s="99" t="str">
        <f>Inputs!G11</f>
        <v>2012/13</v>
      </c>
      <c r="I6" s="99" t="str">
        <f>Inputs!H11</f>
        <v>2013/14</v>
      </c>
      <c r="J6" s="99" t="str">
        <f>Inputs!I11</f>
        <v>2014/15</v>
      </c>
      <c r="K6" s="99"/>
      <c r="L6" s="67"/>
    </row>
    <row r="7" spans="1:16">
      <c r="A7" s="119"/>
      <c r="B7" s="50"/>
      <c r="C7" s="50" t="s">
        <v>59</v>
      </c>
      <c r="D7" s="50"/>
      <c r="E7" s="125">
        <v>1</v>
      </c>
      <c r="F7" s="125">
        <v>2</v>
      </c>
      <c r="G7" s="125">
        <v>3</v>
      </c>
      <c r="H7" s="125">
        <v>4</v>
      </c>
      <c r="I7" s="125">
        <v>5</v>
      </c>
      <c r="J7" s="125">
        <v>6</v>
      </c>
      <c r="K7" s="125"/>
      <c r="L7" s="67"/>
    </row>
    <row r="8" spans="1:16">
      <c r="A8" s="119">
        <v>1</v>
      </c>
      <c r="B8" s="149"/>
      <c r="C8" s="50" t="str">
        <f>Inputs!B20</f>
        <v>Line Revenue through Prices</v>
      </c>
      <c r="D8" s="50"/>
      <c r="E8" s="47">
        <f t="shared" ref="E8:E27" si="0">INDEX(InputsBlock,A8+1,$G$1+2)</f>
        <v>26990.754619999992</v>
      </c>
      <c r="F8" s="50"/>
      <c r="G8" s="50"/>
      <c r="H8" s="50"/>
      <c r="I8" s="50"/>
      <c r="J8" s="50"/>
      <c r="K8" s="50"/>
      <c r="L8" s="27"/>
    </row>
    <row r="9" spans="1:16">
      <c r="A9" s="119">
        <f t="shared" ref="A9:A27" si="1">A8+1</f>
        <v>2</v>
      </c>
      <c r="B9" s="149"/>
      <c r="C9" s="50" t="str">
        <f>Inputs!B21</f>
        <v>Pass-through costs</v>
      </c>
      <c r="D9" s="50"/>
      <c r="E9" s="47">
        <f t="shared" si="0"/>
        <v>236.06738000000001</v>
      </c>
      <c r="F9" s="50"/>
      <c r="G9" s="50"/>
      <c r="H9" s="50"/>
      <c r="I9" s="50"/>
      <c r="J9" s="50"/>
      <c r="K9" s="50"/>
      <c r="L9" s="27"/>
    </row>
    <row r="10" spans="1:16">
      <c r="A10" s="119">
        <f t="shared" si="1"/>
        <v>3</v>
      </c>
      <c r="B10" s="149"/>
      <c r="C10" s="50" t="str">
        <f>Inputs!B22</f>
        <v>Recoverable costs</v>
      </c>
      <c r="D10" s="50"/>
      <c r="E10" s="47">
        <f t="shared" si="0"/>
        <v>7324.3069699999996</v>
      </c>
      <c r="F10" s="50"/>
      <c r="G10" s="50"/>
      <c r="H10" s="50"/>
      <c r="I10" s="50"/>
      <c r="J10" s="50"/>
      <c r="K10" s="50"/>
      <c r="L10" s="27"/>
    </row>
    <row r="11" spans="1:16">
      <c r="A11" s="119">
        <f t="shared" si="1"/>
        <v>4</v>
      </c>
      <c r="B11" s="149"/>
      <c r="C11" s="50" t="str">
        <f>Inputs!B23</f>
        <v>Opening RAB</v>
      </c>
      <c r="D11" s="50"/>
      <c r="E11" s="47">
        <f t="shared" si="0"/>
        <v>99283.174584512322</v>
      </c>
      <c r="F11" s="50"/>
      <c r="G11" s="50"/>
      <c r="H11" s="50"/>
      <c r="I11" s="50"/>
      <c r="J11" s="50"/>
      <c r="K11" s="50"/>
      <c r="L11" s="150"/>
    </row>
    <row r="12" spans="1:16">
      <c r="A12" s="119">
        <f t="shared" si="1"/>
        <v>5</v>
      </c>
      <c r="B12" s="149"/>
      <c r="C12" s="50" t="str">
        <f>Inputs!B24</f>
        <v>Lost assets</v>
      </c>
      <c r="D12" s="50"/>
      <c r="E12" s="47">
        <f t="shared" si="0"/>
        <v>0</v>
      </c>
      <c r="F12" s="50"/>
      <c r="G12" s="50"/>
      <c r="H12" s="50"/>
      <c r="I12" s="50"/>
      <c r="J12" s="50"/>
      <c r="K12" s="50"/>
      <c r="L12" s="150"/>
    </row>
    <row r="13" spans="1:16">
      <c r="A13" s="119">
        <f t="shared" si="1"/>
        <v>6</v>
      </c>
      <c r="B13" s="149"/>
      <c r="C13" s="50" t="str">
        <f>Inputs!B25</f>
        <v>Found Assets</v>
      </c>
      <c r="D13" s="50"/>
      <c r="E13" s="47">
        <f t="shared" si="0"/>
        <v>0</v>
      </c>
      <c r="F13" s="50"/>
      <c r="G13" s="50"/>
      <c r="H13" s="50"/>
      <c r="I13" s="50"/>
      <c r="J13" s="50"/>
      <c r="K13" s="50"/>
      <c r="L13" s="150"/>
    </row>
    <row r="14" spans="1:16">
      <c r="A14" s="119">
        <f t="shared" si="1"/>
        <v>7</v>
      </c>
      <c r="B14" s="149"/>
      <c r="C14" s="50" t="str">
        <f>Inputs!B26</f>
        <v>Total Depreciation</v>
      </c>
      <c r="D14" s="50"/>
      <c r="E14" s="47">
        <f t="shared" si="0"/>
        <v>3449</v>
      </c>
      <c r="F14" s="47"/>
      <c r="G14" s="191" t="s">
        <v>280</v>
      </c>
      <c r="H14" s="50"/>
      <c r="I14" s="50"/>
      <c r="J14" s="50"/>
      <c r="K14" s="50"/>
      <c r="L14" s="27"/>
    </row>
    <row r="15" spans="1:16">
      <c r="A15" s="119">
        <f t="shared" si="1"/>
        <v>8</v>
      </c>
      <c r="B15" s="149"/>
      <c r="C15" s="50" t="str">
        <f>Inputs!B27</f>
        <v>RAB of disposed assets</v>
      </c>
      <c r="D15" s="50"/>
      <c r="E15" s="47">
        <f t="shared" si="0"/>
        <v>71.185678717912296</v>
      </c>
      <c r="F15" s="50"/>
      <c r="G15" s="175" t="s">
        <v>281</v>
      </c>
      <c r="H15" s="50"/>
      <c r="I15" s="50"/>
      <c r="J15" s="50"/>
      <c r="K15" s="50"/>
      <c r="L15" s="27"/>
    </row>
    <row r="16" spans="1:16">
      <c r="A16" s="119">
        <f t="shared" si="1"/>
        <v>9</v>
      </c>
      <c r="B16" s="149"/>
      <c r="C16" s="50" t="str">
        <f>Inputs!B28</f>
        <v>Discretionary discounts &amp;  rebates</v>
      </c>
      <c r="D16" s="50"/>
      <c r="E16" s="47">
        <f t="shared" si="0"/>
        <v>0</v>
      </c>
      <c r="F16" s="50"/>
      <c r="G16" s="175" t="s">
        <v>282</v>
      </c>
      <c r="H16" s="50"/>
      <c r="I16" s="50"/>
      <c r="J16" s="50"/>
      <c r="K16" s="50"/>
      <c r="L16" s="27"/>
    </row>
    <row r="17" spans="1:22">
      <c r="A17" s="119">
        <f t="shared" si="1"/>
        <v>10</v>
      </c>
      <c r="B17" s="149"/>
      <c r="C17" s="50" t="str">
        <f>Inputs!B29</f>
        <v>Tax Depreciation</v>
      </c>
      <c r="D17" s="50"/>
      <c r="E17" s="47">
        <f t="shared" si="0"/>
        <v>2561.6080000000002</v>
      </c>
      <c r="F17" s="50"/>
      <c r="G17" s="175" t="s">
        <v>283</v>
      </c>
      <c r="H17" s="50"/>
      <c r="I17" s="50"/>
      <c r="J17" s="50"/>
      <c r="K17" s="50"/>
      <c r="L17" s="27"/>
    </row>
    <row r="18" spans="1:22">
      <c r="A18" s="119">
        <f t="shared" si="1"/>
        <v>11</v>
      </c>
      <c r="B18" s="149"/>
      <c r="C18" s="50" t="str">
        <f>Inputs!B30</f>
        <v>Opening regulatory tax asset value</v>
      </c>
      <c r="D18" s="50"/>
      <c r="E18" s="47">
        <f t="shared" si="0"/>
        <v>22714.435600000001</v>
      </c>
      <c r="F18" s="50"/>
      <c r="G18" s="50"/>
      <c r="H18" s="50"/>
      <c r="I18" s="50"/>
      <c r="J18" s="50"/>
      <c r="K18" s="50"/>
      <c r="L18" s="27"/>
    </row>
    <row r="19" spans="1:22">
      <c r="A19" s="119">
        <f t="shared" si="1"/>
        <v>12</v>
      </c>
      <c r="B19" s="149"/>
      <c r="C19" s="50" t="str">
        <f>Inputs!B31</f>
        <v>Weighted Average Remaining Life at year-end</v>
      </c>
      <c r="D19" s="50"/>
      <c r="E19" s="47">
        <f t="shared" si="0"/>
        <v>24.012771452138832</v>
      </c>
      <c r="F19" s="50"/>
      <c r="G19" s="50"/>
      <c r="H19" s="50"/>
      <c r="I19" s="50"/>
      <c r="J19" s="50"/>
      <c r="K19" s="50"/>
      <c r="L19" s="27"/>
    </row>
    <row r="20" spans="1:22">
      <c r="A20" s="119">
        <f t="shared" si="1"/>
        <v>13</v>
      </c>
      <c r="B20" s="149"/>
      <c r="C20" s="50" t="str">
        <f>Inputs!B32</f>
        <v>Term Credit Spread Differential Allowance</v>
      </c>
      <c r="D20" s="50"/>
      <c r="E20" s="47">
        <f t="shared" si="0"/>
        <v>0</v>
      </c>
      <c r="F20" s="50"/>
      <c r="G20" s="50"/>
      <c r="H20" s="50"/>
      <c r="I20" s="50"/>
      <c r="J20" s="50"/>
      <c r="K20" s="50"/>
      <c r="L20" s="27"/>
    </row>
    <row r="21" spans="1:22">
      <c r="A21" s="119">
        <f t="shared" si="1"/>
        <v>14</v>
      </c>
      <c r="B21" s="149"/>
      <c r="C21" s="50" t="s">
        <v>98</v>
      </c>
      <c r="D21" s="50"/>
      <c r="E21" s="47">
        <f t="shared" si="0"/>
        <v>2605.6147400000004</v>
      </c>
      <c r="F21" s="50"/>
      <c r="G21" s="50"/>
      <c r="H21" s="50"/>
      <c r="I21" s="50"/>
      <c r="J21" s="50"/>
      <c r="K21" s="50"/>
      <c r="L21" s="27"/>
    </row>
    <row r="22" spans="1:22">
      <c r="A22" s="119">
        <f t="shared" si="1"/>
        <v>15</v>
      </c>
      <c r="B22" s="149"/>
      <c r="C22" s="50" t="str">
        <f>Inputs!B34</f>
        <v>Operating expenditure 2009/10</v>
      </c>
      <c r="D22" s="50"/>
      <c r="E22" s="47">
        <f t="shared" si="0"/>
        <v>6609.8113000000012</v>
      </c>
      <c r="F22" s="50"/>
      <c r="G22" s="50"/>
      <c r="H22" s="50"/>
      <c r="I22" s="50"/>
      <c r="J22" s="50"/>
      <c r="K22" s="50"/>
      <c r="L22" s="27"/>
    </row>
    <row r="23" spans="1:22">
      <c r="A23" s="119">
        <f t="shared" si="1"/>
        <v>16</v>
      </c>
      <c r="B23" s="149"/>
      <c r="C23" s="50" t="str">
        <f>Inputs!B35</f>
        <v>Other reg income (avg of 2008 to 11, in 2009/10 $)</v>
      </c>
      <c r="D23" s="50"/>
      <c r="E23" s="47">
        <f t="shared" si="0"/>
        <v>103.27388907865001</v>
      </c>
      <c r="F23" s="50"/>
      <c r="G23" s="50"/>
      <c r="H23" s="50"/>
      <c r="I23" s="50"/>
      <c r="J23" s="50"/>
      <c r="K23" s="49"/>
      <c r="L23" s="27"/>
    </row>
    <row r="24" spans="1:22">
      <c r="A24" s="119">
        <f t="shared" si="1"/>
        <v>17</v>
      </c>
      <c r="B24" s="149"/>
      <c r="C24" s="119" t="str">
        <f>Inputs!B36</f>
        <v>Allowable notional revenue 2012/13</v>
      </c>
      <c r="D24" s="50"/>
      <c r="E24" s="47">
        <f t="shared" si="0"/>
        <v>21311.812885037489</v>
      </c>
      <c r="F24" s="50"/>
      <c r="G24" s="50"/>
      <c r="H24" s="50"/>
      <c r="I24" s="50"/>
      <c r="J24" s="50"/>
      <c r="K24" s="49"/>
      <c r="L24" s="27"/>
    </row>
    <row r="25" spans="1:22">
      <c r="A25" s="119">
        <f t="shared" si="1"/>
        <v>18</v>
      </c>
      <c r="B25" s="149"/>
      <c r="C25" s="119" t="str">
        <f>Inputs!B37</f>
        <v>Pass-through costs 2012/13</v>
      </c>
      <c r="D25" s="50"/>
      <c r="E25" s="47">
        <f t="shared" si="0"/>
        <v>8560.40790304656</v>
      </c>
      <c r="F25" s="50"/>
      <c r="G25" s="50"/>
      <c r="H25" s="50"/>
      <c r="I25" s="50"/>
      <c r="J25" s="50"/>
      <c r="K25" s="49"/>
      <c r="L25" s="27"/>
    </row>
    <row r="26" spans="1:22">
      <c r="A26" s="119">
        <f t="shared" si="1"/>
        <v>19</v>
      </c>
      <c r="B26" s="50"/>
      <c r="C26" s="50" t="str">
        <f>Inputs!B38</f>
        <v>Alternate X value to 2014/15</v>
      </c>
      <c r="D26" s="49"/>
      <c r="E26" s="151" t="str">
        <f t="shared" si="0"/>
        <v>IWX</v>
      </c>
      <c r="F26" s="50"/>
      <c r="G26" s="50"/>
      <c r="H26" s="50"/>
      <c r="I26" s="50"/>
      <c r="J26" s="50"/>
      <c r="K26" s="49"/>
      <c r="L26" s="27"/>
    </row>
    <row r="27" spans="1:22">
      <c r="A27" s="119">
        <f t="shared" si="1"/>
        <v>20</v>
      </c>
      <c r="B27" s="50"/>
      <c r="C27" s="50" t="str">
        <f>Inputs!B39</f>
        <v>Cap on growth of maximum allowable revenue</v>
      </c>
      <c r="D27" s="50"/>
      <c r="E27" s="151">
        <f t="shared" si="0"/>
        <v>0.2</v>
      </c>
      <c r="F27" s="50"/>
      <c r="G27" s="50"/>
      <c r="H27" s="50"/>
      <c r="I27" s="50"/>
      <c r="J27" s="50"/>
      <c r="K27" s="49"/>
      <c r="L27" s="27"/>
    </row>
    <row r="28" spans="1:22">
      <c r="A28" s="119"/>
      <c r="B28" s="149"/>
      <c r="C28" s="50" t="s">
        <v>30</v>
      </c>
      <c r="D28" s="50"/>
      <c r="E28" s="130">
        <f>E22</f>
        <v>6609.8113000000012</v>
      </c>
      <c r="F28" s="47">
        <f>INDEX(OpexBlock,F7-1,$G$1)</f>
        <v>6783.5902802359678</v>
      </c>
      <c r="G28" s="47">
        <f>INDEX(OpexBlock,G7-1,$G$1)</f>
        <v>7006.3823264072134</v>
      </c>
      <c r="H28" s="47">
        <f>INDEX(OpexBlock,H7-1,$G$1)</f>
        <v>7146.6784158777782</v>
      </c>
      <c r="I28" s="47">
        <f>INDEX(OpexBlock,I7-1,$G$1)</f>
        <v>7305.8687503434257</v>
      </c>
      <c r="J28" s="47">
        <f>INDEX(OpexBlock,J7-1,$G$1)</f>
        <v>7485.1735837006108</v>
      </c>
      <c r="K28" s="49"/>
      <c r="L28" s="50"/>
      <c r="M28" s="15"/>
    </row>
    <row r="29" spans="1:22">
      <c r="A29" s="119"/>
      <c r="B29" s="149"/>
      <c r="C29" s="50" t="s">
        <v>158</v>
      </c>
      <c r="D29" s="47"/>
      <c r="E29" s="130">
        <f>E21</f>
        <v>2605.6147400000004</v>
      </c>
      <c r="F29" s="47">
        <f>INDEX(CommAssetsBlock,F7-1,$G$1)</f>
        <v>5968.5635313681105</v>
      </c>
      <c r="G29" s="47">
        <f>INDEX(CommAssetsBlock,G7-1,$G$1)</f>
        <v>6120.5089735613219</v>
      </c>
      <c r="H29" s="47">
        <f>INDEX(CommAssetsBlock,H7-1,$G$1)</f>
        <v>5697.1859676173417</v>
      </c>
      <c r="I29" s="47">
        <f>INDEX(CommAssetsBlock,I7-1,$G$1)</f>
        <v>4435.3833643667494</v>
      </c>
      <c r="J29" s="47">
        <f>INDEX(CommAssetsBlock,J7-1,$G$1)</f>
        <v>4705.4786175702502</v>
      </c>
      <c r="K29" s="49"/>
      <c r="L29" s="50"/>
      <c r="M29" s="15"/>
    </row>
    <row r="30" spans="1:22">
      <c r="A30" s="119"/>
      <c r="B30" s="149"/>
      <c r="C30" s="50" t="s">
        <v>200</v>
      </c>
      <c r="D30" s="47"/>
      <c r="E30" s="49"/>
      <c r="F30" s="110">
        <f>INDEX(ConstPriceRevGrwth,F$7-1,$G$1)</f>
        <v>-6.3921843140435754E-4</v>
      </c>
      <c r="G30" s="110">
        <f>INDEX(ConstPriceRevGrwth,G$7-1,$G$1)</f>
        <v>-6.3921843140435754E-4</v>
      </c>
      <c r="H30" s="110">
        <f>INDEX(ConstPriceRevGrwth,H$7-1,$G$1)</f>
        <v>-6.3921843140435754E-4</v>
      </c>
      <c r="I30" s="110">
        <f>INDEX(ConstPriceRevGrwth,I$7-1,$G$1)</f>
        <v>-6.3921843140435754E-4</v>
      </c>
      <c r="J30" s="110">
        <f>INDEX(ConstPriceRevGrwth,J$7-1,$G$1)</f>
        <v>-6.3921843140435754E-4</v>
      </c>
      <c r="K30" s="49"/>
      <c r="L30" s="50"/>
      <c r="M30" s="15"/>
      <c r="U30" s="15"/>
      <c r="V30" s="15"/>
    </row>
    <row r="31" spans="1:22" ht="15.75" thickBot="1">
      <c r="A31" s="119"/>
      <c r="B31" s="149"/>
      <c r="C31" s="50"/>
      <c r="D31" s="47"/>
      <c r="E31" s="49"/>
      <c r="F31" s="50"/>
      <c r="G31" s="49"/>
      <c r="H31" s="49"/>
      <c r="I31" s="49"/>
      <c r="J31" s="49"/>
      <c r="K31" s="49"/>
      <c r="L31" s="27"/>
      <c r="M31" s="15"/>
      <c r="U31" s="15"/>
      <c r="V31" s="15"/>
    </row>
    <row r="32" spans="1:22" ht="16.5" thickBot="1">
      <c r="A32" s="119"/>
      <c r="B32" s="149"/>
      <c r="C32" s="121" t="s">
        <v>182</v>
      </c>
      <c r="D32" s="47"/>
      <c r="E32" s="49"/>
      <c r="F32" s="50"/>
      <c r="G32" s="49"/>
      <c r="H32" s="49"/>
      <c r="I32" s="49"/>
      <c r="J32" s="49"/>
      <c r="K32" s="49"/>
      <c r="L32" s="195" t="s">
        <v>322</v>
      </c>
      <c r="M32" s="111"/>
      <c r="N32" s="34"/>
      <c r="O32" s="34"/>
      <c r="P32" s="34"/>
      <c r="Q32" s="34"/>
      <c r="R32" s="34"/>
      <c r="S32" s="34"/>
      <c r="T32" s="34"/>
      <c r="U32" s="34"/>
      <c r="V32" s="35"/>
    </row>
    <row r="33" spans="1:26">
      <c r="A33" s="119"/>
      <c r="B33" s="149"/>
      <c r="C33" s="122" t="str">
        <f>Inputs!B13</f>
        <v>2009 ΔCPI, 2 index, no lag, no GST adjustment</v>
      </c>
      <c r="D33" s="47"/>
      <c r="E33" s="49">
        <f>Inputs!D13</f>
        <v>1.7233850022212005E-2</v>
      </c>
      <c r="F33" s="49">
        <f>Inputs!E13</f>
        <v>1.9812209526758329E-2</v>
      </c>
      <c r="G33" s="49">
        <f>Inputs!F13</f>
        <v>2.4339880629970168E-2</v>
      </c>
      <c r="H33" s="49">
        <f>Inputs!G13</f>
        <v>2.2893253753313525E-2</v>
      </c>
      <c r="I33" s="49">
        <f>Inputs!H13</f>
        <v>2.144662687665666E-2</v>
      </c>
      <c r="J33" s="49">
        <f>Inputs!I13</f>
        <v>2.0000000000000018E-2</v>
      </c>
      <c r="K33" s="50"/>
      <c r="L33" s="196" t="s">
        <v>194</v>
      </c>
      <c r="M33" s="50"/>
      <c r="N33" s="15"/>
      <c r="O33" s="15"/>
      <c r="P33" s="15"/>
      <c r="Q33" s="15"/>
      <c r="R33" s="15"/>
      <c r="S33" s="15"/>
      <c r="T33" s="15"/>
      <c r="U33" s="15"/>
      <c r="V33" s="29"/>
    </row>
    <row r="34" spans="1:26">
      <c r="A34" s="119"/>
      <c r="B34" s="149"/>
      <c r="C34" s="122" t="str">
        <f>Inputs!B14</f>
        <v>2012 ΔCPI, 2 index, no lag, no GST adjustment</v>
      </c>
      <c r="D34" s="47"/>
      <c r="E34" s="49"/>
      <c r="F34" s="49">
        <f>Inputs!E14</f>
        <v>4.4667274384685429E-2</v>
      </c>
      <c r="G34" s="49">
        <f>Inputs!F14</f>
        <v>1.5706806282722585E-2</v>
      </c>
      <c r="H34" s="49">
        <f>Inputs!G14</f>
        <v>1.8041237113401998E-2</v>
      </c>
      <c r="I34" s="49">
        <f>Inputs!H14</f>
        <v>1.7721518987341867E-2</v>
      </c>
      <c r="J34" s="49">
        <f>Inputs!I14</f>
        <v>2.3217247097844007E-2</v>
      </c>
      <c r="K34" s="50"/>
      <c r="L34" s="196" t="s">
        <v>320</v>
      </c>
      <c r="M34" s="50"/>
      <c r="N34" s="15"/>
      <c r="O34" s="15"/>
      <c r="P34" s="15"/>
      <c r="Q34" s="15"/>
      <c r="R34" s="15"/>
      <c r="S34" s="15"/>
      <c r="T34" s="15"/>
      <c r="U34" s="15"/>
      <c r="V34" s="29"/>
    </row>
    <row r="35" spans="1:26">
      <c r="A35" s="119"/>
      <c r="B35" s="149"/>
      <c r="C35" s="122" t="str">
        <f>Inputs!B15</f>
        <v>2009 ΔCPI, 8 index, lagged, no GST adjustment</v>
      </c>
      <c r="D35" s="47"/>
      <c r="E35" s="49"/>
      <c r="F35" s="49"/>
      <c r="G35" s="49">
        <f>Inputs!F15</f>
        <v>1.6991832174541255E-2</v>
      </c>
      <c r="H35" s="49">
        <f>Inputs!G15</f>
        <v>2.0741514169093644E-2</v>
      </c>
      <c r="I35" s="49">
        <f>Inputs!H15</f>
        <v>2.3759818812291389E-2</v>
      </c>
      <c r="J35" s="49">
        <f>Inputs!I15</f>
        <v>2.2164443909808984E-2</v>
      </c>
      <c r="K35" s="50"/>
      <c r="L35" s="196" t="s">
        <v>321</v>
      </c>
      <c r="M35" s="50"/>
      <c r="N35" s="15"/>
      <c r="O35" s="15"/>
      <c r="P35" s="15"/>
      <c r="Q35" s="15"/>
      <c r="R35" s="15"/>
      <c r="S35" s="15"/>
      <c r="T35" s="15"/>
      <c r="U35" s="15"/>
      <c r="V35" s="29"/>
    </row>
    <row r="36" spans="1:26">
      <c r="A36" s="149"/>
      <c r="B36" s="149"/>
      <c r="C36" s="122" t="str">
        <f>Inputs!B16</f>
        <v>2012 ΔCPI, 8 index, lagged, no GST adjustment</v>
      </c>
      <c r="D36" s="50"/>
      <c r="E36" s="49"/>
      <c r="F36" s="49">
        <f>Inputs!E16</f>
        <v>2.465039108793543E-2</v>
      </c>
      <c r="G36" s="49">
        <f>Inputs!F16</f>
        <v>1.7811704834605591E-2</v>
      </c>
      <c r="H36" s="49">
        <f>Inputs!G16</f>
        <v>4.5909090909090899E-2</v>
      </c>
      <c r="I36" s="49">
        <f>Inputs!H16</f>
        <v>1.2820512820512775E-2</v>
      </c>
      <c r="J36" s="49">
        <f>Inputs!I16</f>
        <v>1.9725095732576747E-2</v>
      </c>
      <c r="K36" s="50"/>
      <c r="L36" s="196" t="s">
        <v>365</v>
      </c>
      <c r="M36" s="50"/>
      <c r="N36" s="15"/>
      <c r="O36" s="15"/>
      <c r="P36" s="15"/>
      <c r="Q36" s="15"/>
      <c r="R36" s="15"/>
      <c r="S36" s="15"/>
      <c r="T36" s="15"/>
      <c r="U36" s="15"/>
      <c r="V36" s="29"/>
    </row>
    <row r="37" spans="1:26" ht="15.75" thickBot="1">
      <c r="A37" s="149"/>
      <c r="B37" s="149"/>
      <c r="C37" s="122" t="str">
        <f>Inputs!B17</f>
        <v>2012 ΔCPI, 8 index, lagged, with GST adjustment</v>
      </c>
      <c r="D37" s="50"/>
      <c r="E37" s="49"/>
      <c r="F37" s="112">
        <f>Inputs!E17</f>
        <v>2.4650391087935652E-2</v>
      </c>
      <c r="G37" s="112">
        <f>Inputs!F17</f>
        <v>1.7811704834605369E-2</v>
      </c>
      <c r="H37" s="112">
        <f>Inputs!G17</f>
        <v>2.5401069518716568E-2</v>
      </c>
      <c r="I37" s="49">
        <f>Inputs!H17</f>
        <v>1.2820512820512775E-2</v>
      </c>
      <c r="J37" s="49">
        <f>Inputs!I17</f>
        <v>1.9725095732576747E-2</v>
      </c>
      <c r="K37" s="50"/>
      <c r="L37" s="219" t="s">
        <v>409</v>
      </c>
      <c r="M37" s="220"/>
      <c r="N37" s="220"/>
      <c r="O37" s="220"/>
      <c r="P37" s="220"/>
      <c r="Q37" s="220"/>
      <c r="R37" s="220"/>
      <c r="S37" s="220"/>
      <c r="T37" s="220"/>
      <c r="U37" s="220"/>
      <c r="V37" s="221"/>
    </row>
    <row r="38" spans="1:26">
      <c r="A38" s="149"/>
      <c r="B38" s="149"/>
      <c r="C38" s="122"/>
      <c r="D38" s="50"/>
      <c r="E38" s="49"/>
      <c r="F38" s="112"/>
      <c r="G38" s="112"/>
      <c r="H38" s="112"/>
      <c r="I38" s="49"/>
      <c r="J38" s="49"/>
      <c r="K38" s="49"/>
      <c r="L38" s="49"/>
      <c r="M38" s="49"/>
      <c r="N38" s="49"/>
      <c r="O38" s="49"/>
      <c r="P38" s="49"/>
      <c r="Q38" s="49"/>
      <c r="R38" s="49"/>
      <c r="S38" s="49"/>
      <c r="T38" s="49"/>
      <c r="U38" s="49"/>
      <c r="V38" s="49"/>
      <c r="W38" s="49"/>
      <c r="X38" s="49"/>
      <c r="Y38" s="49"/>
      <c r="Z38" s="49"/>
    </row>
    <row r="39" spans="1:26" ht="23.25">
      <c r="A39" s="50"/>
      <c r="B39" s="50"/>
      <c r="C39" s="1" t="s">
        <v>4</v>
      </c>
      <c r="D39" s="153" t="s">
        <v>36</v>
      </c>
      <c r="E39" s="153" t="s">
        <v>35</v>
      </c>
      <c r="F39" s="152"/>
      <c r="G39" s="152"/>
      <c r="H39" s="152"/>
      <c r="I39" s="152"/>
      <c r="J39" s="152"/>
      <c r="K39" s="152"/>
      <c r="L39" s="152"/>
      <c r="M39" s="152"/>
      <c r="N39" s="194"/>
      <c r="O39" s="194"/>
      <c r="P39" s="194"/>
    </row>
    <row r="40" spans="1:26">
      <c r="A40" s="50"/>
      <c r="B40" s="50"/>
      <c r="C40" s="50"/>
      <c r="D40" s="50"/>
      <c r="E40" s="154" t="s">
        <v>183</v>
      </c>
      <c r="F40" s="154" t="s">
        <v>184</v>
      </c>
      <c r="G40" s="154" t="s">
        <v>185</v>
      </c>
      <c r="H40" s="154" t="s">
        <v>186</v>
      </c>
      <c r="I40" s="154" t="s">
        <v>187</v>
      </c>
      <c r="J40" s="154" t="s">
        <v>188</v>
      </c>
      <c r="K40" s="154"/>
      <c r="L40" s="154"/>
      <c r="M40" s="48"/>
    </row>
    <row r="41" spans="1:26">
      <c r="A41" s="50"/>
      <c r="B41" s="50"/>
      <c r="C41" s="50" t="s">
        <v>129</v>
      </c>
      <c r="D41" s="50"/>
      <c r="E41" s="49">
        <f t="shared" ref="E41:J41" si="2">E33</f>
        <v>1.7233850022212005E-2</v>
      </c>
      <c r="F41" s="49">
        <f t="shared" si="2"/>
        <v>1.9812209526758329E-2</v>
      </c>
      <c r="G41" s="49">
        <f t="shared" si="2"/>
        <v>2.4339880629970168E-2</v>
      </c>
      <c r="H41" s="49">
        <f t="shared" si="2"/>
        <v>2.2893253753313525E-2</v>
      </c>
      <c r="I41" s="49">
        <f t="shared" si="2"/>
        <v>2.144662687665666E-2</v>
      </c>
      <c r="J41" s="49">
        <f t="shared" si="2"/>
        <v>2.0000000000000018E-2</v>
      </c>
      <c r="K41" s="51"/>
      <c r="L41" s="47"/>
      <c r="M41" s="15"/>
    </row>
    <row r="42" spans="1:26">
      <c r="A42" s="50"/>
      <c r="B42" s="50"/>
      <c r="C42" s="50" t="s">
        <v>163</v>
      </c>
      <c r="D42" s="50"/>
      <c r="E42" s="49"/>
      <c r="F42" s="49">
        <f>F34</f>
        <v>4.4667274384685429E-2</v>
      </c>
      <c r="G42" s="49">
        <f>G34</f>
        <v>1.5706806282722585E-2</v>
      </c>
      <c r="H42" s="49">
        <f>H34</f>
        <v>1.8041237113401998E-2</v>
      </c>
      <c r="I42" s="49">
        <f>I34</f>
        <v>1.7721518987341867E-2</v>
      </c>
      <c r="J42" s="49">
        <f>J34</f>
        <v>2.3217247097844007E-2</v>
      </c>
      <c r="K42" s="51"/>
      <c r="L42" s="47"/>
      <c r="M42" s="15"/>
    </row>
    <row r="43" spans="1:26">
      <c r="A43" s="50"/>
      <c r="B43" s="50"/>
      <c r="C43" s="50" t="s">
        <v>122</v>
      </c>
      <c r="D43" s="50"/>
      <c r="E43" s="130">
        <f>E23</f>
        <v>103.27388907865001</v>
      </c>
      <c r="F43" s="47">
        <f>E43*(1+F42)</f>
        <v>107.88685221889965</v>
      </c>
      <c r="G43" s="47">
        <f>F43*(1+G42)</f>
        <v>109.58141010715462</v>
      </c>
      <c r="H43" s="47">
        <f>G43*(1+H42)</f>
        <v>111.55839431011874</v>
      </c>
      <c r="I43" s="47">
        <f>H43*(1+I42)</f>
        <v>113.53537851308289</v>
      </c>
      <c r="J43" s="47">
        <f>I43*(1+J42)</f>
        <v>116.17135745036839</v>
      </c>
      <c r="K43" s="50"/>
      <c r="L43" s="47"/>
      <c r="M43" s="15"/>
    </row>
    <row r="44" spans="1:26">
      <c r="A44" s="50"/>
      <c r="B44" s="50"/>
      <c r="C44" s="50"/>
      <c r="D44" s="50"/>
      <c r="E44" s="51"/>
      <c r="F44" s="51"/>
      <c r="G44" s="51"/>
      <c r="H44" s="51"/>
      <c r="I44" s="51"/>
      <c r="J44" s="51"/>
      <c r="K44" s="51"/>
      <c r="L44" s="27"/>
      <c r="M44" s="15"/>
    </row>
    <row r="45" spans="1:26" ht="21">
      <c r="A45" s="50"/>
      <c r="B45" s="50"/>
      <c r="C45" s="155" t="s">
        <v>69</v>
      </c>
      <c r="D45" s="50"/>
      <c r="E45" s="50"/>
      <c r="F45" s="51"/>
      <c r="G45" s="51"/>
      <c r="H45" s="51"/>
      <c r="I45" s="51"/>
      <c r="J45" s="51"/>
      <c r="K45" s="51"/>
      <c r="L45" s="27"/>
      <c r="M45" s="15"/>
    </row>
    <row r="46" spans="1:26" ht="18">
      <c r="A46" s="50"/>
      <c r="B46" s="50"/>
      <c r="C46" s="50" t="s">
        <v>70</v>
      </c>
      <c r="D46" s="156">
        <f>'Timing Assumptions'!C23</f>
        <v>1.0428084742793051</v>
      </c>
      <c r="E46" s="50"/>
      <c r="F46" s="51"/>
      <c r="G46" s="51"/>
      <c r="H46" s="51"/>
      <c r="I46" s="51"/>
      <c r="J46" s="51"/>
      <c r="K46" s="51"/>
      <c r="L46" s="51"/>
      <c r="M46" s="15"/>
    </row>
    <row r="47" spans="1:26" ht="18">
      <c r="A47" s="50"/>
      <c r="B47" s="50"/>
      <c r="C47" s="50" t="s">
        <v>71</v>
      </c>
      <c r="D47" s="156">
        <f>'Timing Assumptions'!C24</f>
        <v>1.0428084742793051</v>
      </c>
      <c r="E47" s="50"/>
      <c r="F47" s="51"/>
      <c r="G47" s="51"/>
      <c r="H47" s="51"/>
      <c r="I47" s="51"/>
      <c r="J47" s="51"/>
      <c r="K47" s="51"/>
      <c r="L47" s="51"/>
      <c r="M47" s="15"/>
    </row>
    <row r="48" spans="1:26" ht="18">
      <c r="A48" s="50"/>
      <c r="B48" s="50"/>
      <c r="C48" s="50" t="s">
        <v>125</v>
      </c>
      <c r="D48" s="156">
        <f>'Timing Assumptions'!C25</f>
        <v>1.0428084742793051</v>
      </c>
      <c r="E48" s="50"/>
      <c r="F48" s="50"/>
      <c r="G48" s="51"/>
      <c r="H48" s="51"/>
      <c r="I48" s="51"/>
      <c r="J48" s="51"/>
      <c r="K48" s="95"/>
      <c r="L48" s="51"/>
      <c r="M48" s="15"/>
    </row>
    <row r="49" spans="1:16" ht="18">
      <c r="A49" s="50"/>
      <c r="B49" s="50"/>
      <c r="C49" s="50" t="s">
        <v>123</v>
      </c>
      <c r="D49" s="156">
        <f>'Timing Assumptions'!C26</f>
        <v>1.0428084742793051</v>
      </c>
      <c r="E49" s="50"/>
      <c r="F49" s="50"/>
      <c r="G49" s="51"/>
      <c r="H49" s="51"/>
      <c r="I49" s="51"/>
      <c r="J49" s="51"/>
      <c r="K49" s="95"/>
      <c r="L49" s="51"/>
      <c r="M49" s="15"/>
    </row>
    <row r="50" spans="1:16" ht="18">
      <c r="A50" s="50"/>
      <c r="B50" s="50"/>
      <c r="C50" s="50" t="s">
        <v>72</v>
      </c>
      <c r="D50" s="156">
        <f>'Timing Assumptions'!C27</f>
        <v>1.0346743941931567</v>
      </c>
      <c r="E50" s="51"/>
      <c r="F50" s="51"/>
      <c r="G50" s="51"/>
      <c r="H50" s="51"/>
      <c r="I50" s="50"/>
      <c r="J50" s="50"/>
      <c r="K50" s="95"/>
      <c r="L50" s="51"/>
      <c r="M50" s="15"/>
    </row>
    <row r="51" spans="1:16">
      <c r="A51" s="50"/>
      <c r="B51" s="50"/>
      <c r="C51" s="50"/>
      <c r="D51" s="50"/>
      <c r="E51" s="50"/>
      <c r="F51" s="50"/>
      <c r="G51" s="50"/>
      <c r="H51" s="50"/>
      <c r="I51" s="50"/>
      <c r="J51" s="50"/>
      <c r="K51" s="95"/>
      <c r="L51" s="27"/>
      <c r="M51" s="15"/>
    </row>
    <row r="52" spans="1:16" ht="21">
      <c r="A52" s="50"/>
      <c r="B52" s="50"/>
      <c r="C52" s="155" t="s">
        <v>105</v>
      </c>
      <c r="D52" s="155"/>
      <c r="E52" s="155"/>
      <c r="F52" s="155"/>
      <c r="G52" s="155"/>
      <c r="H52" s="155"/>
      <c r="I52" s="155"/>
      <c r="J52" s="155"/>
      <c r="K52" s="155"/>
      <c r="L52" s="157"/>
      <c r="M52" s="52"/>
      <c r="N52" s="2"/>
      <c r="O52" s="2"/>
      <c r="P52" s="2"/>
    </row>
    <row r="53" spans="1:16" ht="15.75">
      <c r="A53" s="50"/>
      <c r="B53" s="50"/>
      <c r="C53" s="158" t="s">
        <v>37</v>
      </c>
      <c r="D53" s="50"/>
      <c r="E53" s="159">
        <f>Inputs!D12</f>
        <v>0.3</v>
      </c>
      <c r="F53" s="159">
        <f>Inputs!E12</f>
        <v>0.3</v>
      </c>
      <c r="G53" s="159">
        <f>Inputs!F12</f>
        <v>0.28000000000000003</v>
      </c>
      <c r="H53" s="159">
        <f>Inputs!G12</f>
        <v>0.28000000000000003</v>
      </c>
      <c r="I53" s="159">
        <f>Inputs!H12</f>
        <v>0.28000000000000003</v>
      </c>
      <c r="J53" s="159">
        <f>Inputs!I12</f>
        <v>0.28000000000000003</v>
      </c>
      <c r="K53" s="95"/>
      <c r="L53" s="50"/>
      <c r="M53" s="15"/>
    </row>
    <row r="54" spans="1:16">
      <c r="A54" s="50"/>
      <c r="B54" s="50"/>
      <c r="C54" s="50" t="s">
        <v>38</v>
      </c>
      <c r="D54" s="50"/>
      <c r="E54" s="160">
        <f>E11/E14</f>
        <v>28.786075553642309</v>
      </c>
      <c r="F54" s="161">
        <f>E54-1</f>
        <v>27.786075553642309</v>
      </c>
      <c r="G54" s="161">
        <f>F54-1</f>
        <v>26.786075553642309</v>
      </c>
      <c r="H54" s="161">
        <f>G54-1</f>
        <v>25.786075553642309</v>
      </c>
      <c r="I54" s="161">
        <f>H54-1</f>
        <v>24.786075553642309</v>
      </c>
      <c r="J54" s="161">
        <f>I54-1</f>
        <v>23.786075553642309</v>
      </c>
      <c r="K54" s="95"/>
      <c r="L54" s="50"/>
      <c r="M54" s="15"/>
    </row>
    <row r="55" spans="1:16">
      <c r="A55" s="50"/>
      <c r="B55" s="50"/>
      <c r="C55" s="50" t="s">
        <v>159</v>
      </c>
      <c r="D55" s="50"/>
      <c r="E55" s="156"/>
      <c r="F55" s="49">
        <f>F34</f>
        <v>4.4667274384685429E-2</v>
      </c>
      <c r="G55" s="49">
        <f>G34</f>
        <v>1.5706806282722585E-2</v>
      </c>
      <c r="H55" s="49">
        <f>H34</f>
        <v>1.8041237113401998E-2</v>
      </c>
      <c r="I55" s="49">
        <f>I34</f>
        <v>1.7721518987341867E-2</v>
      </c>
      <c r="J55" s="49">
        <f>J34</f>
        <v>2.3217247097844007E-2</v>
      </c>
      <c r="K55" s="95"/>
      <c r="L55" s="50"/>
      <c r="M55" s="15"/>
    </row>
    <row r="56" spans="1:16">
      <c r="A56" s="50"/>
      <c r="B56" s="50"/>
      <c r="C56" s="50" t="s">
        <v>40</v>
      </c>
      <c r="D56" s="50"/>
      <c r="E56" s="129">
        <f>E15</f>
        <v>71.185678717912296</v>
      </c>
      <c r="F56" s="32">
        <f>E56*(1+F55)</f>
        <v>74.365348961465344</v>
      </c>
      <c r="G56" s="32">
        <f>F56*(1+G55)</f>
        <v>75.533391091750147</v>
      </c>
      <c r="H56" s="32">
        <f>G56*(1+H55)</f>
        <v>76.896106910415739</v>
      </c>
      <c r="I56" s="32">
        <f>H56*(1+I55)</f>
        <v>78.258822729081345</v>
      </c>
      <c r="J56" s="32">
        <f>I56*(1+J55)</f>
        <v>80.075777153968801</v>
      </c>
      <c r="K56" s="95"/>
      <c r="L56" s="50"/>
      <c r="M56" s="15"/>
    </row>
    <row r="57" spans="1:16">
      <c r="A57" s="50"/>
      <c r="B57" s="50"/>
      <c r="C57" s="50"/>
      <c r="D57" s="122"/>
      <c r="E57" s="50"/>
      <c r="F57" s="50"/>
      <c r="G57" s="50"/>
      <c r="H57" s="50"/>
      <c r="I57" s="50"/>
      <c r="J57" s="50"/>
      <c r="K57" s="95"/>
      <c r="L57" s="27"/>
      <c r="M57" s="15"/>
    </row>
    <row r="58" spans="1:16" ht="15.75">
      <c r="A58" s="50"/>
      <c r="B58" s="50"/>
      <c r="C58" s="162" t="s">
        <v>89</v>
      </c>
      <c r="D58" s="32"/>
      <c r="E58" s="163" t="str">
        <f>Inputs!D11</f>
        <v>2009/10</v>
      </c>
      <c r="F58" s="163" t="str">
        <f>Inputs!E11</f>
        <v>2010/11</v>
      </c>
      <c r="G58" s="163" t="str">
        <f>Inputs!F11</f>
        <v>2011/12</v>
      </c>
      <c r="H58" s="163" t="str">
        <f>Inputs!G11</f>
        <v>2012/13</v>
      </c>
      <c r="I58" s="163" t="str">
        <f>Inputs!H11</f>
        <v>2013/14</v>
      </c>
      <c r="J58" s="163" t="str">
        <f>Inputs!I11</f>
        <v>2014/15</v>
      </c>
      <c r="K58" s="95"/>
      <c r="L58" s="27"/>
      <c r="M58" s="15"/>
    </row>
    <row r="59" spans="1:16">
      <c r="A59" s="50"/>
      <c r="B59" s="50"/>
      <c r="C59" s="50" t="s">
        <v>110</v>
      </c>
      <c r="D59" s="50"/>
      <c r="E59" s="129">
        <f>E11</f>
        <v>99283.174584512322</v>
      </c>
      <c r="F59" s="32">
        <f>E65</f>
        <v>97471.082411661715</v>
      </c>
      <c r="G59" s="32">
        <f>F65</f>
        <v>95816.519026994865</v>
      </c>
      <c r="H59" s="32">
        <f>G65</f>
        <v>94491.875836940497</v>
      </c>
      <c r="I59" s="32">
        <f>H65</f>
        <v>92909.829052934772</v>
      </c>
      <c r="J59" s="32">
        <f>I65</f>
        <v>91072.032950876906</v>
      </c>
      <c r="K59" s="95"/>
      <c r="L59" s="50"/>
      <c r="M59" s="15"/>
    </row>
    <row r="60" spans="1:16">
      <c r="A60" s="50"/>
      <c r="B60" s="50"/>
      <c r="C60" s="50" t="s">
        <v>40</v>
      </c>
      <c r="D60" s="32"/>
      <c r="E60" s="32">
        <f t="shared" ref="E60:J60" si="3">E56</f>
        <v>71.185678717912296</v>
      </c>
      <c r="F60" s="32">
        <f t="shared" si="3"/>
        <v>74.365348961465344</v>
      </c>
      <c r="G60" s="32">
        <f t="shared" si="3"/>
        <v>75.533391091750147</v>
      </c>
      <c r="H60" s="32">
        <f t="shared" si="3"/>
        <v>76.896106910415739</v>
      </c>
      <c r="I60" s="32">
        <f t="shared" si="3"/>
        <v>78.258822729081345</v>
      </c>
      <c r="J60" s="32">
        <f t="shared" si="3"/>
        <v>80.075777153968801</v>
      </c>
      <c r="K60" s="95"/>
      <c r="L60" s="50"/>
      <c r="M60" s="15"/>
    </row>
    <row r="61" spans="1:16">
      <c r="A61" s="50"/>
      <c r="B61" s="50"/>
      <c r="C61" s="50" t="s">
        <v>312</v>
      </c>
      <c r="D61" s="32"/>
      <c r="E61" s="32">
        <f>Hoz!E12</f>
        <v>0</v>
      </c>
      <c r="F61" s="95"/>
      <c r="G61" s="95"/>
      <c r="H61" s="95"/>
      <c r="I61" s="95"/>
      <c r="J61" s="95"/>
      <c r="K61" s="95"/>
      <c r="L61" s="50"/>
      <c r="M61" s="15"/>
    </row>
    <row r="62" spans="1:16">
      <c r="A62" s="50"/>
      <c r="B62" s="50"/>
      <c r="C62" s="50" t="s">
        <v>313</v>
      </c>
      <c r="D62" s="32"/>
      <c r="E62" s="32">
        <f>Hoz!E13</f>
        <v>0</v>
      </c>
      <c r="F62" s="95"/>
      <c r="G62" s="95"/>
      <c r="H62" s="95"/>
      <c r="I62" s="95"/>
      <c r="J62" s="95"/>
      <c r="K62" s="95"/>
      <c r="L62" s="50"/>
      <c r="M62" s="15"/>
    </row>
    <row r="63" spans="1:16">
      <c r="A63" s="50"/>
      <c r="B63" s="50"/>
      <c r="C63" s="50" t="s">
        <v>41</v>
      </c>
      <c r="D63" s="50"/>
      <c r="E63" s="32">
        <f t="shared" ref="E63:J63" si="4">(E59*0.999-E60)*E41</f>
        <v>1708.0935058673035</v>
      </c>
      <c r="F63" s="32">
        <f t="shared" si="4"/>
        <v>1927.7130481570755</v>
      </c>
      <c r="G63" s="32">
        <f t="shared" si="4"/>
        <v>2327.9919991380739</v>
      </c>
      <c r="H63" s="32">
        <f t="shared" si="4"/>
        <v>2159.3028625823699</v>
      </c>
      <c r="I63" s="32">
        <f t="shared" si="4"/>
        <v>1988.9314466644973</v>
      </c>
      <c r="J63" s="32">
        <f t="shared" si="4"/>
        <v>1818.0177028154428</v>
      </c>
      <c r="K63" s="95"/>
      <c r="L63" s="50"/>
      <c r="M63" s="15"/>
    </row>
    <row r="64" spans="1:16">
      <c r="A64" s="50"/>
      <c r="B64" s="50"/>
      <c r="C64" s="50" t="s">
        <v>42</v>
      </c>
      <c r="D64" s="50"/>
      <c r="E64" s="129">
        <f>E14</f>
        <v>3449</v>
      </c>
      <c r="F64" s="32">
        <f>F59/F54</f>
        <v>3507.9110838624642</v>
      </c>
      <c r="G64" s="32">
        <f>G59/G54</f>
        <v>3577.1017981006908</v>
      </c>
      <c r="H64" s="32">
        <f>H59/H54</f>
        <v>3664.4535396776741</v>
      </c>
      <c r="I64" s="32">
        <f>I59/I54</f>
        <v>3748.4687259932803</v>
      </c>
      <c r="J64" s="32">
        <f>J59/J54</f>
        <v>3828.7960847299692</v>
      </c>
      <c r="K64" s="95"/>
      <c r="L64" s="50"/>
      <c r="M64" s="15"/>
    </row>
    <row r="65" spans="1:13">
      <c r="A65" s="50"/>
      <c r="B65" s="50"/>
      <c r="C65" s="50" t="s">
        <v>43</v>
      </c>
      <c r="D65" s="50"/>
      <c r="E65" s="129">
        <f>E59-E60-E61+E62+E63-E64</f>
        <v>97471.082411661715</v>
      </c>
      <c r="F65" s="32">
        <f>F59-F60+F63-F64</f>
        <v>95816.519026994865</v>
      </c>
      <c r="G65" s="32">
        <f>G59-G60+G63-G64</f>
        <v>94491.875836940497</v>
      </c>
      <c r="H65" s="32">
        <f>H59-H60+H63-H64</f>
        <v>92909.829052934772</v>
      </c>
      <c r="I65" s="32">
        <f>I59-I60+I63-I64</f>
        <v>91072.032950876906</v>
      </c>
      <c r="J65" s="32">
        <f>J59-J60+J63-J64</f>
        <v>88981.178791808416</v>
      </c>
      <c r="K65" s="95"/>
      <c r="L65" s="50"/>
      <c r="M65" s="15"/>
    </row>
    <row r="66" spans="1:13">
      <c r="A66" s="50"/>
      <c r="B66" s="50"/>
      <c r="C66" s="50"/>
      <c r="D66" s="50"/>
      <c r="E66" s="50"/>
      <c r="F66" s="50"/>
      <c r="G66" s="50"/>
      <c r="H66" s="50"/>
      <c r="I66" s="50"/>
      <c r="J66" s="50"/>
      <c r="K66" s="95"/>
      <c r="L66" s="27"/>
      <c r="M66" s="15"/>
    </row>
    <row r="67" spans="1:13" ht="15.75">
      <c r="A67" s="50"/>
      <c r="B67" s="50"/>
      <c r="C67" s="162" t="s">
        <v>67</v>
      </c>
      <c r="D67" s="50"/>
      <c r="E67" s="162" t="str">
        <f>Inputs!D$11</f>
        <v>2009/10</v>
      </c>
      <c r="F67" s="162" t="str">
        <f>Inputs!E$11</f>
        <v>2010/11</v>
      </c>
      <c r="G67" s="162" t="str">
        <f>Inputs!F$11</f>
        <v>2011/12</v>
      </c>
      <c r="H67" s="162" t="str">
        <f>Inputs!G$11</f>
        <v>2012/13</v>
      </c>
      <c r="I67" s="162" t="str">
        <f>Inputs!H$11</f>
        <v>2013/14</v>
      </c>
      <c r="J67" s="162" t="str">
        <f>Inputs!I$11</f>
        <v>2014/15</v>
      </c>
      <c r="K67" s="95"/>
      <c r="L67" s="27"/>
      <c r="M67" s="15"/>
    </row>
    <row r="68" spans="1:13">
      <c r="A68" s="50"/>
      <c r="B68" s="50"/>
      <c r="C68" s="164" t="s">
        <v>60</v>
      </c>
      <c r="D68" s="50"/>
      <c r="E68" s="192">
        <v>1</v>
      </c>
      <c r="F68" s="164">
        <f>E68+1</f>
        <v>2</v>
      </c>
      <c r="G68" s="164">
        <f>F68+1</f>
        <v>3</v>
      </c>
      <c r="H68" s="164">
        <f>G68+1</f>
        <v>4</v>
      </c>
      <c r="I68" s="164">
        <f>H68+1</f>
        <v>5</v>
      </c>
      <c r="J68" s="164">
        <f>I68+1</f>
        <v>6</v>
      </c>
      <c r="K68" s="95"/>
      <c r="L68" s="27"/>
      <c r="M68" s="15"/>
    </row>
    <row r="69" spans="1:13">
      <c r="A69" s="50"/>
      <c r="B69" s="50"/>
      <c r="C69" s="50" t="s">
        <v>39</v>
      </c>
      <c r="D69" s="32"/>
      <c r="E69" s="32">
        <f t="shared" ref="E69:J69" si="5">E$29</f>
        <v>2605.6147400000004</v>
      </c>
      <c r="F69" s="32">
        <f t="shared" si="5"/>
        <v>5968.5635313681105</v>
      </c>
      <c r="G69" s="32">
        <f t="shared" si="5"/>
        <v>6120.5089735613219</v>
      </c>
      <c r="H69" s="32">
        <f t="shared" si="5"/>
        <v>5697.1859676173417</v>
      </c>
      <c r="I69" s="32">
        <f t="shared" si="5"/>
        <v>4435.3833643667494</v>
      </c>
      <c r="J69" s="32">
        <f t="shared" si="5"/>
        <v>4705.4786175702502</v>
      </c>
      <c r="K69" s="95"/>
      <c r="L69" s="50"/>
      <c r="M69" s="15"/>
    </row>
    <row r="70" spans="1:13">
      <c r="A70" s="50">
        <v>1</v>
      </c>
      <c r="B70" s="50"/>
      <c r="C70" s="50" t="s">
        <v>254</v>
      </c>
      <c r="D70" s="50"/>
      <c r="E70" s="129">
        <v>0</v>
      </c>
      <c r="F70" s="32">
        <f t="shared" ref="F70:J75" si="6">E94</f>
        <v>2605.6147400000004</v>
      </c>
      <c r="G70" s="32">
        <f t="shared" si="6"/>
        <v>2599.3351753971124</v>
      </c>
      <c r="H70" s="32">
        <f t="shared" si="6"/>
        <v>2603.5268838427169</v>
      </c>
      <c r="I70" s="32">
        <f t="shared" si="6"/>
        <v>2602.5829486145503</v>
      </c>
      <c r="J70" s="32">
        <f t="shared" si="6"/>
        <v>2596.4333133477367</v>
      </c>
      <c r="K70" s="95"/>
      <c r="L70" s="50"/>
      <c r="M70" s="15"/>
    </row>
    <row r="71" spans="1:13">
      <c r="A71" s="50">
        <v>2</v>
      </c>
      <c r="B71" s="50"/>
      <c r="C71" s="50" t="s">
        <v>255</v>
      </c>
      <c r="D71" s="50"/>
      <c r="E71" s="129">
        <v>0</v>
      </c>
      <c r="F71" s="32">
        <f t="shared" si="6"/>
        <v>0</v>
      </c>
      <c r="G71" s="32">
        <f t="shared" si="6"/>
        <v>5968.5635313681105</v>
      </c>
      <c r="H71" s="32">
        <f t="shared" si="6"/>
        <v>5981.2029101124899</v>
      </c>
      <c r="I71" s="32">
        <f t="shared" si="6"/>
        <v>5982.195676308469</v>
      </c>
      <c r="J71" s="32">
        <f t="shared" si="6"/>
        <v>5971.3727651998133</v>
      </c>
      <c r="K71" s="95"/>
      <c r="L71" s="50"/>
      <c r="M71" s="15"/>
    </row>
    <row r="72" spans="1:13">
      <c r="A72" s="50">
        <v>3</v>
      </c>
      <c r="B72" s="50"/>
      <c r="C72" s="50" t="s">
        <v>256</v>
      </c>
      <c r="D72" s="50"/>
      <c r="E72" s="129">
        <v>0</v>
      </c>
      <c r="F72" s="32">
        <f t="shared" si="6"/>
        <v>0</v>
      </c>
      <c r="G72" s="32">
        <f t="shared" si="6"/>
        <v>0</v>
      </c>
      <c r="H72" s="32">
        <f t="shared" si="6"/>
        <v>6120.5089735613219</v>
      </c>
      <c r="I72" s="32">
        <f t="shared" si="6"/>
        <v>6124.6160280689091</v>
      </c>
      <c r="J72" s="32">
        <f t="shared" si="6"/>
        <v>6116.7725639659466</v>
      </c>
      <c r="K72" s="95"/>
      <c r="L72" s="50"/>
      <c r="M72" s="15"/>
    </row>
    <row r="73" spans="1:13">
      <c r="A73" s="50">
        <v>4</v>
      </c>
      <c r="B73" s="50"/>
      <c r="C73" s="50" t="s">
        <v>257</v>
      </c>
      <c r="D73" s="50"/>
      <c r="E73" s="129">
        <v>0</v>
      </c>
      <c r="F73" s="32">
        <f t="shared" si="6"/>
        <v>0</v>
      </c>
      <c r="G73" s="32">
        <f t="shared" si="6"/>
        <v>0</v>
      </c>
      <c r="H73" s="32">
        <f t="shared" si="6"/>
        <v>0</v>
      </c>
      <c r="I73" s="32">
        <f t="shared" si="6"/>
        <v>5697.1859676173417</v>
      </c>
      <c r="J73" s="32">
        <f t="shared" si="6"/>
        <v>5692.7672566980364</v>
      </c>
      <c r="K73" s="95"/>
      <c r="L73" s="50"/>
      <c r="M73" s="15"/>
    </row>
    <row r="74" spans="1:13">
      <c r="A74" s="50">
        <v>5</v>
      </c>
      <c r="B74" s="50"/>
      <c r="C74" s="50" t="s">
        <v>258</v>
      </c>
      <c r="D74" s="50"/>
      <c r="E74" s="129">
        <v>0</v>
      </c>
      <c r="F74" s="32">
        <f t="shared" si="6"/>
        <v>0</v>
      </c>
      <c r="G74" s="32">
        <f t="shared" si="6"/>
        <v>0</v>
      </c>
      <c r="H74" s="32">
        <f t="shared" si="6"/>
        <v>0</v>
      </c>
      <c r="I74" s="32">
        <f t="shared" si="6"/>
        <v>0</v>
      </c>
      <c r="J74" s="32">
        <f t="shared" si="6"/>
        <v>4435.3833643667494</v>
      </c>
      <c r="K74" s="95"/>
      <c r="L74" s="50"/>
      <c r="M74" s="15"/>
    </row>
    <row r="75" spans="1:13">
      <c r="A75" s="50">
        <v>6</v>
      </c>
      <c r="B75" s="50"/>
      <c r="C75" s="50" t="s">
        <v>259</v>
      </c>
      <c r="D75" s="50"/>
      <c r="E75" s="129">
        <v>0</v>
      </c>
      <c r="F75" s="32">
        <f t="shared" si="6"/>
        <v>0</v>
      </c>
      <c r="G75" s="32">
        <f t="shared" si="6"/>
        <v>0</v>
      </c>
      <c r="H75" s="32">
        <f t="shared" si="6"/>
        <v>0</v>
      </c>
      <c r="I75" s="32">
        <f t="shared" si="6"/>
        <v>0</v>
      </c>
      <c r="J75" s="32">
        <f t="shared" si="6"/>
        <v>0</v>
      </c>
      <c r="K75" s="95"/>
      <c r="L75" s="50"/>
      <c r="M75" s="15"/>
    </row>
    <row r="76" spans="1:13">
      <c r="A76" s="50">
        <v>1</v>
      </c>
      <c r="B76" s="50"/>
      <c r="C76" s="50" t="s">
        <v>236</v>
      </c>
      <c r="D76" s="50"/>
      <c r="E76" s="129">
        <f>Inputs!$C$7+$A76</f>
        <v>46</v>
      </c>
      <c r="F76" s="32">
        <f t="shared" ref="F76:J81" si="7">E76-1</f>
        <v>45</v>
      </c>
      <c r="G76" s="32">
        <f t="shared" si="7"/>
        <v>44</v>
      </c>
      <c r="H76" s="32">
        <f t="shared" si="7"/>
        <v>43</v>
      </c>
      <c r="I76" s="32">
        <f t="shared" si="7"/>
        <v>42</v>
      </c>
      <c r="J76" s="32">
        <f t="shared" si="7"/>
        <v>41</v>
      </c>
      <c r="K76" s="95"/>
      <c r="L76" s="50"/>
      <c r="M76" s="15"/>
    </row>
    <row r="77" spans="1:13">
      <c r="A77" s="50">
        <v>2</v>
      </c>
      <c r="B77" s="50"/>
      <c r="C77" s="50" t="s">
        <v>237</v>
      </c>
      <c r="D77" s="50"/>
      <c r="E77" s="129">
        <f>Inputs!$C$7+$A77</f>
        <v>47</v>
      </c>
      <c r="F77" s="32">
        <f t="shared" si="7"/>
        <v>46</v>
      </c>
      <c r="G77" s="32">
        <f t="shared" si="7"/>
        <v>45</v>
      </c>
      <c r="H77" s="32">
        <f t="shared" si="7"/>
        <v>44</v>
      </c>
      <c r="I77" s="32">
        <f t="shared" si="7"/>
        <v>43</v>
      </c>
      <c r="J77" s="32">
        <f t="shared" si="7"/>
        <v>42</v>
      </c>
      <c r="K77" s="95"/>
      <c r="L77" s="50"/>
      <c r="M77" s="15"/>
    </row>
    <row r="78" spans="1:13">
      <c r="A78" s="50">
        <v>3</v>
      </c>
      <c r="B78" s="50"/>
      <c r="C78" s="50" t="s">
        <v>238</v>
      </c>
      <c r="D78" s="50"/>
      <c r="E78" s="129">
        <f>Inputs!$C$7+$A78</f>
        <v>48</v>
      </c>
      <c r="F78" s="32">
        <f t="shared" si="7"/>
        <v>47</v>
      </c>
      <c r="G78" s="32">
        <f t="shared" si="7"/>
        <v>46</v>
      </c>
      <c r="H78" s="32">
        <f t="shared" si="7"/>
        <v>45</v>
      </c>
      <c r="I78" s="32">
        <f t="shared" si="7"/>
        <v>44</v>
      </c>
      <c r="J78" s="32">
        <f t="shared" si="7"/>
        <v>43</v>
      </c>
      <c r="K78" s="95"/>
      <c r="L78" s="50"/>
      <c r="M78" s="15"/>
    </row>
    <row r="79" spans="1:13">
      <c r="A79" s="50">
        <v>4</v>
      </c>
      <c r="B79" s="50"/>
      <c r="C79" s="50" t="s">
        <v>239</v>
      </c>
      <c r="D79" s="50"/>
      <c r="E79" s="129">
        <f>Inputs!$C$7+$A79</f>
        <v>49</v>
      </c>
      <c r="F79" s="32">
        <f t="shared" si="7"/>
        <v>48</v>
      </c>
      <c r="G79" s="32">
        <f t="shared" si="7"/>
        <v>47</v>
      </c>
      <c r="H79" s="32">
        <f t="shared" si="7"/>
        <v>46</v>
      </c>
      <c r="I79" s="32">
        <f t="shared" si="7"/>
        <v>45</v>
      </c>
      <c r="J79" s="32">
        <f t="shared" si="7"/>
        <v>44</v>
      </c>
      <c r="K79" s="95"/>
      <c r="L79" s="50"/>
      <c r="M79" s="15"/>
    </row>
    <row r="80" spans="1:13">
      <c r="A80" s="50">
        <v>5</v>
      </c>
      <c r="B80" s="50"/>
      <c r="C80" s="50" t="s">
        <v>240</v>
      </c>
      <c r="D80" s="50"/>
      <c r="E80" s="129">
        <f>Inputs!$C$7+$A80</f>
        <v>50</v>
      </c>
      <c r="F80" s="32">
        <f t="shared" si="7"/>
        <v>49</v>
      </c>
      <c r="G80" s="32">
        <f t="shared" si="7"/>
        <v>48</v>
      </c>
      <c r="H80" s="32">
        <f t="shared" si="7"/>
        <v>47</v>
      </c>
      <c r="I80" s="32">
        <f t="shared" si="7"/>
        <v>46</v>
      </c>
      <c r="J80" s="32">
        <f t="shared" si="7"/>
        <v>45</v>
      </c>
      <c r="K80" s="95"/>
      <c r="L80" s="50"/>
      <c r="M80" s="15"/>
    </row>
    <row r="81" spans="1:13">
      <c r="A81" s="50">
        <v>6</v>
      </c>
      <c r="B81" s="50"/>
      <c r="C81" s="50" t="s">
        <v>241</v>
      </c>
      <c r="D81" s="50"/>
      <c r="E81" s="129">
        <f>Inputs!$C$7+$A81</f>
        <v>51</v>
      </c>
      <c r="F81" s="32">
        <f t="shared" si="7"/>
        <v>50</v>
      </c>
      <c r="G81" s="32">
        <f t="shared" si="7"/>
        <v>49</v>
      </c>
      <c r="H81" s="32">
        <f t="shared" si="7"/>
        <v>48</v>
      </c>
      <c r="I81" s="32">
        <f t="shared" si="7"/>
        <v>47</v>
      </c>
      <c r="J81" s="32">
        <f t="shared" si="7"/>
        <v>46</v>
      </c>
      <c r="K81" s="95"/>
      <c r="L81" s="50"/>
      <c r="M81" s="15"/>
    </row>
    <row r="82" spans="1:13">
      <c r="A82" s="50">
        <v>1</v>
      </c>
      <c r="B82" s="50"/>
      <c r="C82" s="50" t="s">
        <v>260</v>
      </c>
      <c r="D82" s="50"/>
      <c r="E82" s="32">
        <f t="shared" ref="E82:J87" si="8">E70*E$41</f>
        <v>0</v>
      </c>
      <c r="F82" s="32">
        <f t="shared" si="8"/>
        <v>51.622985174889934</v>
      </c>
      <c r="G82" s="32">
        <f t="shared" si="8"/>
        <v>63.267507886448286</v>
      </c>
      <c r="H82" s="32">
        <f t="shared" si="8"/>
        <v>59.603201605384946</v>
      </c>
      <c r="I82" s="32">
        <f t="shared" si="8"/>
        <v>55.816625414485152</v>
      </c>
      <c r="J82" s="32">
        <f t="shared" si="8"/>
        <v>51.928666266954778</v>
      </c>
      <c r="K82" s="95"/>
      <c r="L82" s="50"/>
      <c r="M82" s="15"/>
    </row>
    <row r="83" spans="1:13">
      <c r="A83" s="50">
        <v>2</v>
      </c>
      <c r="B83" s="50"/>
      <c r="C83" s="50" t="s">
        <v>261</v>
      </c>
      <c r="D83" s="50"/>
      <c r="E83" s="32">
        <f t="shared" si="8"/>
        <v>0</v>
      </c>
      <c r="F83" s="32">
        <f t="shared" si="8"/>
        <v>0</v>
      </c>
      <c r="G83" s="32">
        <f t="shared" si="8"/>
        <v>145.274123885893</v>
      </c>
      <c r="H83" s="32">
        <f t="shared" si="8"/>
        <v>136.92919597126254</v>
      </c>
      <c r="I83" s="32">
        <f t="shared" si="8"/>
        <v>128.29791857293648</v>
      </c>
      <c r="J83" s="32">
        <f t="shared" si="8"/>
        <v>119.42745530399637</v>
      </c>
      <c r="K83" s="95"/>
      <c r="L83" s="50"/>
      <c r="M83" s="15"/>
    </row>
    <row r="84" spans="1:13">
      <c r="A84" s="50">
        <v>3</v>
      </c>
      <c r="B84" s="50"/>
      <c r="C84" s="50" t="s">
        <v>262</v>
      </c>
      <c r="D84" s="50"/>
      <c r="E84" s="32">
        <f t="shared" si="8"/>
        <v>0</v>
      </c>
      <c r="F84" s="32">
        <f t="shared" si="8"/>
        <v>0</v>
      </c>
      <c r="G84" s="32">
        <f t="shared" si="8"/>
        <v>0</v>
      </c>
      <c r="H84" s="32">
        <f t="shared" si="8"/>
        <v>140.11836503117183</v>
      </c>
      <c r="I84" s="32">
        <f t="shared" si="8"/>
        <v>131.35235471678482</v>
      </c>
      <c r="J84" s="32">
        <f t="shared" si="8"/>
        <v>122.33545127931905</v>
      </c>
      <c r="K84" s="95"/>
      <c r="L84" s="50"/>
      <c r="M84" s="15"/>
    </row>
    <row r="85" spans="1:13">
      <c r="A85" s="50">
        <v>4</v>
      </c>
      <c r="B85" s="50"/>
      <c r="C85" s="50" t="s">
        <v>263</v>
      </c>
      <c r="D85" s="50"/>
      <c r="E85" s="32">
        <f t="shared" si="8"/>
        <v>0</v>
      </c>
      <c r="F85" s="32">
        <f t="shared" si="8"/>
        <v>0</v>
      </c>
      <c r="G85" s="32">
        <f t="shared" si="8"/>
        <v>0</v>
      </c>
      <c r="H85" s="32">
        <f t="shared" si="8"/>
        <v>0</v>
      </c>
      <c r="I85" s="32">
        <f t="shared" si="8"/>
        <v>122.18542169441326</v>
      </c>
      <c r="J85" s="32">
        <f t="shared" si="8"/>
        <v>113.85534513396082</v>
      </c>
      <c r="K85" s="95"/>
      <c r="L85" s="50"/>
      <c r="M85" s="15"/>
    </row>
    <row r="86" spans="1:13">
      <c r="A86" s="50">
        <v>5</v>
      </c>
      <c r="B86" s="50"/>
      <c r="C86" s="50" t="s">
        <v>264</v>
      </c>
      <c r="D86" s="50"/>
      <c r="E86" s="32">
        <f t="shared" si="8"/>
        <v>0</v>
      </c>
      <c r="F86" s="32">
        <f t="shared" si="8"/>
        <v>0</v>
      </c>
      <c r="G86" s="32">
        <f t="shared" si="8"/>
        <v>0</v>
      </c>
      <c r="H86" s="32">
        <f t="shared" si="8"/>
        <v>0</v>
      </c>
      <c r="I86" s="32">
        <f t="shared" si="8"/>
        <v>0</v>
      </c>
      <c r="J86" s="32">
        <f t="shared" si="8"/>
        <v>88.70766728733507</v>
      </c>
      <c r="K86" s="95"/>
      <c r="L86" s="50"/>
      <c r="M86" s="15"/>
    </row>
    <row r="87" spans="1:13">
      <c r="A87" s="50">
        <v>6</v>
      </c>
      <c r="B87" s="50"/>
      <c r="C87" s="50" t="s">
        <v>265</v>
      </c>
      <c r="D87" s="50"/>
      <c r="E87" s="32">
        <f t="shared" si="8"/>
        <v>0</v>
      </c>
      <c r="F87" s="32">
        <f t="shared" si="8"/>
        <v>0</v>
      </c>
      <c r="G87" s="32">
        <f t="shared" si="8"/>
        <v>0</v>
      </c>
      <c r="H87" s="32">
        <f t="shared" si="8"/>
        <v>0</v>
      </c>
      <c r="I87" s="32">
        <f t="shared" si="8"/>
        <v>0</v>
      </c>
      <c r="J87" s="32">
        <f t="shared" si="8"/>
        <v>0</v>
      </c>
      <c r="K87" s="95"/>
      <c r="L87" s="50"/>
      <c r="M87" s="15"/>
    </row>
    <row r="88" spans="1:13">
      <c r="A88" s="50">
        <v>1</v>
      </c>
      <c r="B88" s="50"/>
      <c r="C88" s="50" t="s">
        <v>266</v>
      </c>
      <c r="D88" s="50"/>
      <c r="E88" s="32">
        <f t="shared" ref="E88:J93" si="9">E70/E76</f>
        <v>0</v>
      </c>
      <c r="F88" s="32">
        <f t="shared" si="9"/>
        <v>57.902549777777786</v>
      </c>
      <c r="G88" s="32">
        <f t="shared" si="9"/>
        <v>59.075799440843461</v>
      </c>
      <c r="H88" s="32">
        <f t="shared" si="9"/>
        <v>60.547136833551555</v>
      </c>
      <c r="I88" s="32">
        <f t="shared" si="9"/>
        <v>61.96626068129882</v>
      </c>
      <c r="J88" s="32">
        <f t="shared" si="9"/>
        <v>63.327641788969188</v>
      </c>
      <c r="K88" s="95"/>
      <c r="L88" s="50"/>
      <c r="M88" s="15"/>
    </row>
    <row r="89" spans="1:13">
      <c r="A89" s="50">
        <v>2</v>
      </c>
      <c r="B89" s="50"/>
      <c r="C89" s="50" t="s">
        <v>267</v>
      </c>
      <c r="D89" s="50"/>
      <c r="E89" s="32">
        <f t="shared" si="9"/>
        <v>0</v>
      </c>
      <c r="F89" s="32">
        <f t="shared" si="9"/>
        <v>0</v>
      </c>
      <c r="G89" s="32">
        <f t="shared" si="9"/>
        <v>132.63474514151358</v>
      </c>
      <c r="H89" s="32">
        <f t="shared" si="9"/>
        <v>135.93642977528387</v>
      </c>
      <c r="I89" s="32">
        <f t="shared" si="9"/>
        <v>139.12082968159231</v>
      </c>
      <c r="J89" s="32">
        <f t="shared" si="9"/>
        <v>142.17554202856698</v>
      </c>
      <c r="K89" s="95"/>
      <c r="L89" s="50"/>
      <c r="M89" s="15"/>
    </row>
    <row r="90" spans="1:13">
      <c r="A90" s="50">
        <v>3</v>
      </c>
      <c r="B90" s="50"/>
      <c r="C90" s="50" t="s">
        <v>268</v>
      </c>
      <c r="D90" s="50"/>
      <c r="E90" s="32">
        <f t="shared" si="9"/>
        <v>0</v>
      </c>
      <c r="F90" s="32">
        <f t="shared" si="9"/>
        <v>0</v>
      </c>
      <c r="G90" s="32">
        <f t="shared" si="9"/>
        <v>0</v>
      </c>
      <c r="H90" s="32">
        <f t="shared" si="9"/>
        <v>136.01131052358494</v>
      </c>
      <c r="I90" s="32">
        <f t="shared" si="9"/>
        <v>139.19581881974793</v>
      </c>
      <c r="J90" s="32">
        <f t="shared" si="9"/>
        <v>142.2505247433941</v>
      </c>
      <c r="K90" s="95"/>
      <c r="L90" s="50"/>
      <c r="M90" s="15"/>
    </row>
    <row r="91" spans="1:13">
      <c r="A91" s="50">
        <v>4</v>
      </c>
      <c r="B91" s="50"/>
      <c r="C91" s="50" t="s">
        <v>269</v>
      </c>
      <c r="D91" s="50"/>
      <c r="E91" s="32">
        <f t="shared" si="9"/>
        <v>0</v>
      </c>
      <c r="F91" s="32">
        <f t="shared" si="9"/>
        <v>0</v>
      </c>
      <c r="G91" s="32">
        <f t="shared" si="9"/>
        <v>0</v>
      </c>
      <c r="H91" s="32">
        <f t="shared" si="9"/>
        <v>0</v>
      </c>
      <c r="I91" s="32">
        <f t="shared" si="9"/>
        <v>126.6041326137187</v>
      </c>
      <c r="J91" s="32">
        <f t="shared" si="9"/>
        <v>129.38107401586447</v>
      </c>
      <c r="K91" s="95"/>
      <c r="L91" s="50"/>
      <c r="M91" s="15"/>
    </row>
    <row r="92" spans="1:13">
      <c r="A92" s="50">
        <v>5</v>
      </c>
      <c r="B92" s="50"/>
      <c r="C92" s="50" t="s">
        <v>270</v>
      </c>
      <c r="D92" s="50"/>
      <c r="E92" s="32">
        <f t="shared" si="9"/>
        <v>0</v>
      </c>
      <c r="F92" s="32">
        <f t="shared" si="9"/>
        <v>0</v>
      </c>
      <c r="G92" s="32">
        <f t="shared" si="9"/>
        <v>0</v>
      </c>
      <c r="H92" s="32">
        <f t="shared" si="9"/>
        <v>0</v>
      </c>
      <c r="I92" s="32">
        <f t="shared" si="9"/>
        <v>0</v>
      </c>
      <c r="J92" s="32">
        <f t="shared" si="9"/>
        <v>98.564074763705548</v>
      </c>
      <c r="K92" s="95"/>
      <c r="L92" s="50"/>
      <c r="M92" s="15"/>
    </row>
    <row r="93" spans="1:13">
      <c r="A93" s="50">
        <v>6</v>
      </c>
      <c r="B93" s="50"/>
      <c r="C93" s="50" t="s">
        <v>271</v>
      </c>
      <c r="D93" s="50"/>
      <c r="E93" s="32">
        <f t="shared" si="9"/>
        <v>0</v>
      </c>
      <c r="F93" s="32">
        <f t="shared" si="9"/>
        <v>0</v>
      </c>
      <c r="G93" s="32">
        <f t="shared" si="9"/>
        <v>0</v>
      </c>
      <c r="H93" s="32">
        <f t="shared" si="9"/>
        <v>0</v>
      </c>
      <c r="I93" s="32">
        <f t="shared" si="9"/>
        <v>0</v>
      </c>
      <c r="J93" s="32">
        <f t="shared" si="9"/>
        <v>0</v>
      </c>
      <c r="K93" s="95"/>
      <c r="L93" s="50"/>
      <c r="M93" s="15"/>
    </row>
    <row r="94" spans="1:13">
      <c r="A94" s="50">
        <v>1</v>
      </c>
      <c r="B94" s="50"/>
      <c r="C94" s="50" t="s">
        <v>272</v>
      </c>
      <c r="D94" s="50"/>
      <c r="E94" s="32">
        <f t="shared" ref="E94:J99" si="10">E70+E82-E88+IF($A94=E$68,E$69,0)</f>
        <v>2605.6147400000004</v>
      </c>
      <c r="F94" s="32">
        <f t="shared" si="10"/>
        <v>2599.3351753971124</v>
      </c>
      <c r="G94" s="32">
        <f t="shared" si="10"/>
        <v>2603.5268838427169</v>
      </c>
      <c r="H94" s="32">
        <f t="shared" si="10"/>
        <v>2602.5829486145503</v>
      </c>
      <c r="I94" s="32">
        <f t="shared" si="10"/>
        <v>2596.4333133477367</v>
      </c>
      <c r="J94" s="32">
        <f t="shared" si="10"/>
        <v>2585.0343378257221</v>
      </c>
      <c r="K94" s="95"/>
      <c r="L94" s="50"/>
      <c r="M94" s="15"/>
    </row>
    <row r="95" spans="1:13">
      <c r="A95" s="50">
        <v>2</v>
      </c>
      <c r="B95" s="50"/>
      <c r="C95" s="50" t="s">
        <v>273</v>
      </c>
      <c r="D95" s="50"/>
      <c r="E95" s="32">
        <f t="shared" si="10"/>
        <v>0</v>
      </c>
      <c r="F95" s="32">
        <f t="shared" si="10"/>
        <v>5968.5635313681105</v>
      </c>
      <c r="G95" s="32">
        <f t="shared" si="10"/>
        <v>5981.2029101124899</v>
      </c>
      <c r="H95" s="32">
        <f t="shared" si="10"/>
        <v>5982.195676308469</v>
      </c>
      <c r="I95" s="32">
        <f t="shared" si="10"/>
        <v>5971.3727651998133</v>
      </c>
      <c r="J95" s="32">
        <f t="shared" si="10"/>
        <v>5948.6246784752429</v>
      </c>
      <c r="K95" s="95"/>
      <c r="L95" s="50"/>
      <c r="M95" s="15"/>
    </row>
    <row r="96" spans="1:13">
      <c r="A96" s="50">
        <v>3</v>
      </c>
      <c r="B96" s="50"/>
      <c r="C96" s="50" t="s">
        <v>274</v>
      </c>
      <c r="D96" s="50"/>
      <c r="E96" s="32">
        <f t="shared" si="10"/>
        <v>0</v>
      </c>
      <c r="F96" s="32">
        <f t="shared" si="10"/>
        <v>0</v>
      </c>
      <c r="G96" s="32">
        <f t="shared" si="10"/>
        <v>6120.5089735613219</v>
      </c>
      <c r="H96" s="32">
        <f t="shared" si="10"/>
        <v>6124.6160280689091</v>
      </c>
      <c r="I96" s="32">
        <f t="shared" si="10"/>
        <v>6116.7725639659466</v>
      </c>
      <c r="J96" s="32">
        <f t="shared" si="10"/>
        <v>6096.8574905018722</v>
      </c>
      <c r="K96" s="95"/>
      <c r="L96" s="50"/>
      <c r="M96" s="15"/>
    </row>
    <row r="97" spans="1:13">
      <c r="A97" s="50">
        <v>4</v>
      </c>
      <c r="B97" s="50"/>
      <c r="C97" s="50" t="s">
        <v>275</v>
      </c>
      <c r="D97" s="50"/>
      <c r="E97" s="32">
        <f t="shared" si="10"/>
        <v>0</v>
      </c>
      <c r="F97" s="32">
        <f t="shared" si="10"/>
        <v>0</v>
      </c>
      <c r="G97" s="32">
        <f t="shared" si="10"/>
        <v>0</v>
      </c>
      <c r="H97" s="32">
        <f t="shared" si="10"/>
        <v>5697.1859676173417</v>
      </c>
      <c r="I97" s="32">
        <f t="shared" si="10"/>
        <v>5692.7672566980364</v>
      </c>
      <c r="J97" s="32">
        <f t="shared" si="10"/>
        <v>5677.2415278161334</v>
      </c>
      <c r="K97" s="95"/>
      <c r="L97" s="50"/>
      <c r="M97" s="15"/>
    </row>
    <row r="98" spans="1:13">
      <c r="A98" s="50">
        <v>5</v>
      </c>
      <c r="B98" s="50"/>
      <c r="C98" s="50" t="s">
        <v>276</v>
      </c>
      <c r="D98" s="50"/>
      <c r="E98" s="32">
        <f t="shared" si="10"/>
        <v>0</v>
      </c>
      <c r="F98" s="32">
        <f t="shared" si="10"/>
        <v>0</v>
      </c>
      <c r="G98" s="32">
        <f t="shared" si="10"/>
        <v>0</v>
      </c>
      <c r="H98" s="32">
        <f t="shared" si="10"/>
        <v>0</v>
      </c>
      <c r="I98" s="32">
        <f t="shared" si="10"/>
        <v>4435.3833643667494</v>
      </c>
      <c r="J98" s="32">
        <f t="shared" si="10"/>
        <v>4425.5269568903796</v>
      </c>
      <c r="K98" s="95"/>
      <c r="L98" s="50"/>
      <c r="M98" s="15"/>
    </row>
    <row r="99" spans="1:13">
      <c r="A99" s="50">
        <v>6</v>
      </c>
      <c r="B99" s="50"/>
      <c r="C99" s="50" t="s">
        <v>277</v>
      </c>
      <c r="D99" s="50"/>
      <c r="E99" s="32">
        <f t="shared" si="10"/>
        <v>0</v>
      </c>
      <c r="F99" s="32">
        <f t="shared" si="10"/>
        <v>0</v>
      </c>
      <c r="G99" s="32">
        <f t="shared" si="10"/>
        <v>0</v>
      </c>
      <c r="H99" s="32">
        <f t="shared" si="10"/>
        <v>0</v>
      </c>
      <c r="I99" s="32">
        <f t="shared" si="10"/>
        <v>0</v>
      </c>
      <c r="J99" s="32">
        <f t="shared" si="10"/>
        <v>4705.4786175702502</v>
      </c>
      <c r="K99" s="95"/>
      <c r="L99" s="50"/>
      <c r="M99" s="15"/>
    </row>
    <row r="100" spans="1:13">
      <c r="A100" s="50"/>
      <c r="B100" s="50"/>
      <c r="C100" s="50" t="s">
        <v>146</v>
      </c>
      <c r="D100" s="50"/>
      <c r="E100" s="32">
        <f t="shared" ref="E100:J100" si="11">SUM(E70:E75)</f>
        <v>0</v>
      </c>
      <c r="F100" s="32">
        <f t="shared" si="11"/>
        <v>2605.6147400000004</v>
      </c>
      <c r="G100" s="32">
        <f t="shared" si="11"/>
        <v>8567.8987067652233</v>
      </c>
      <c r="H100" s="32">
        <f t="shared" si="11"/>
        <v>14705.238767516528</v>
      </c>
      <c r="I100" s="32">
        <f t="shared" si="11"/>
        <v>20406.580620609271</v>
      </c>
      <c r="J100" s="32">
        <f t="shared" si="11"/>
        <v>24812.729263578283</v>
      </c>
      <c r="K100" s="95"/>
      <c r="L100" s="27"/>
      <c r="M100" s="15"/>
    </row>
    <row r="101" spans="1:13">
      <c r="A101" s="50"/>
      <c r="B101" s="50"/>
      <c r="C101" s="50" t="s">
        <v>147</v>
      </c>
      <c r="D101" s="50"/>
      <c r="E101" s="32">
        <f t="shared" ref="E101:J101" si="12">SUM(E82:E87)</f>
        <v>0</v>
      </c>
      <c r="F101" s="32">
        <f t="shared" si="12"/>
        <v>51.622985174889934</v>
      </c>
      <c r="G101" s="32">
        <f t="shared" si="12"/>
        <v>208.5416317723413</v>
      </c>
      <c r="H101" s="32">
        <f t="shared" si="12"/>
        <v>336.65076260781933</v>
      </c>
      <c r="I101" s="32">
        <f t="shared" si="12"/>
        <v>437.65232039861968</v>
      </c>
      <c r="J101" s="32">
        <f t="shared" si="12"/>
        <v>496.2545852715661</v>
      </c>
      <c r="K101" s="95"/>
      <c r="L101" s="27"/>
      <c r="M101" s="15"/>
    </row>
    <row r="102" spans="1:13">
      <c r="A102" s="50"/>
      <c r="B102" s="50"/>
      <c r="C102" s="50" t="s">
        <v>68</v>
      </c>
      <c r="D102" s="50"/>
      <c r="E102" s="32">
        <f t="shared" ref="E102:J102" si="13">SUM(E88:E93)</f>
        <v>0</v>
      </c>
      <c r="F102" s="32">
        <f t="shared" si="13"/>
        <v>57.902549777777786</v>
      </c>
      <c r="G102" s="32">
        <f t="shared" si="13"/>
        <v>191.71054458235704</v>
      </c>
      <c r="H102" s="32">
        <f t="shared" si="13"/>
        <v>332.49487713242036</v>
      </c>
      <c r="I102" s="32">
        <f t="shared" si="13"/>
        <v>466.88704179635778</v>
      </c>
      <c r="J102" s="32">
        <f t="shared" si="13"/>
        <v>575.69885734050024</v>
      </c>
      <c r="K102" s="95"/>
      <c r="L102" s="27"/>
      <c r="M102" s="15"/>
    </row>
    <row r="103" spans="1:13">
      <c r="A103" s="50"/>
      <c r="B103" s="50"/>
      <c r="C103" s="50" t="s">
        <v>148</v>
      </c>
      <c r="D103" s="50"/>
      <c r="E103" s="32">
        <f t="shared" ref="E103:J103" si="14">SUM(E94:E99)</f>
        <v>2605.6147400000004</v>
      </c>
      <c r="F103" s="32">
        <f t="shared" si="14"/>
        <v>8567.8987067652233</v>
      </c>
      <c r="G103" s="32">
        <f t="shared" si="14"/>
        <v>14705.238767516528</v>
      </c>
      <c r="H103" s="32">
        <f t="shared" si="14"/>
        <v>20406.580620609271</v>
      </c>
      <c r="I103" s="32">
        <f t="shared" si="14"/>
        <v>24812.729263578283</v>
      </c>
      <c r="J103" s="32">
        <f t="shared" si="14"/>
        <v>29438.7636090796</v>
      </c>
      <c r="K103" s="95"/>
      <c r="L103" s="50"/>
      <c r="M103" s="15"/>
    </row>
    <row r="104" spans="1:13">
      <c r="A104" s="50"/>
      <c r="B104" s="50"/>
      <c r="C104" s="50"/>
      <c r="D104" s="50"/>
      <c r="E104" s="32"/>
      <c r="F104" s="32"/>
      <c r="G104" s="32"/>
      <c r="H104" s="32"/>
      <c r="I104" s="32"/>
      <c r="J104" s="32"/>
      <c r="K104" s="95"/>
      <c r="L104" s="50"/>
      <c r="M104" s="15"/>
    </row>
    <row r="105" spans="1:13" ht="15.75">
      <c r="A105" s="50"/>
      <c r="B105" s="50"/>
      <c r="C105" s="162" t="s">
        <v>121</v>
      </c>
      <c r="D105" s="50"/>
      <c r="E105" s="162" t="str">
        <f>Inputs!D$11</f>
        <v>2009/10</v>
      </c>
      <c r="F105" s="162" t="str">
        <f>Inputs!E$11</f>
        <v>2010/11</v>
      </c>
      <c r="G105" s="162" t="str">
        <f>Inputs!F$11</f>
        <v>2011/12</v>
      </c>
      <c r="H105" s="162" t="str">
        <f>Inputs!G$11</f>
        <v>2012/13</v>
      </c>
      <c r="I105" s="162" t="str">
        <f>Inputs!H$11</f>
        <v>2013/14</v>
      </c>
      <c r="J105" s="162" t="str">
        <f>Inputs!I$11</f>
        <v>2014/15</v>
      </c>
      <c r="K105" s="95"/>
      <c r="L105" s="50"/>
      <c r="M105" s="15"/>
    </row>
    <row r="106" spans="1:13">
      <c r="A106" s="50"/>
      <c r="B106" s="50"/>
      <c r="C106" s="164" t="s">
        <v>60</v>
      </c>
      <c r="D106" s="50"/>
      <c r="E106" s="164">
        <v>1</v>
      </c>
      <c r="F106" s="164">
        <v>2</v>
      </c>
      <c r="G106" s="164">
        <v>3</v>
      </c>
      <c r="H106" s="164">
        <v>4</v>
      </c>
      <c r="I106" s="164">
        <v>5</v>
      </c>
      <c r="J106" s="164">
        <v>6</v>
      </c>
      <c r="K106" s="95"/>
      <c r="L106" s="50"/>
      <c r="M106" s="15"/>
    </row>
    <row r="107" spans="1:13">
      <c r="A107" s="50"/>
      <c r="B107" s="50"/>
      <c r="C107" s="50" t="s">
        <v>39</v>
      </c>
      <c r="D107" s="32"/>
      <c r="E107" s="32">
        <f t="shared" ref="E107:J107" si="15">E$29</f>
        <v>2605.6147400000004</v>
      </c>
      <c r="F107" s="32">
        <f t="shared" si="15"/>
        <v>5968.5635313681105</v>
      </c>
      <c r="G107" s="32">
        <f t="shared" si="15"/>
        <v>6120.5089735613219</v>
      </c>
      <c r="H107" s="32">
        <f t="shared" si="15"/>
        <v>5697.1859676173417</v>
      </c>
      <c r="I107" s="32">
        <f t="shared" si="15"/>
        <v>4435.3833643667494</v>
      </c>
      <c r="J107" s="32">
        <f t="shared" si="15"/>
        <v>4705.4786175702502</v>
      </c>
      <c r="K107" s="95"/>
      <c r="L107" s="50"/>
      <c r="M107" s="15"/>
    </row>
    <row r="108" spans="1:13">
      <c r="A108" s="50">
        <v>1</v>
      </c>
      <c r="B108" s="50"/>
      <c r="C108" s="50" t="s">
        <v>230</v>
      </c>
      <c r="D108" s="50"/>
      <c r="E108" s="129">
        <v>0</v>
      </c>
      <c r="F108" s="32">
        <f t="shared" ref="F108:J113" si="16">E126</f>
        <v>2605.6147400000004</v>
      </c>
      <c r="G108" s="32">
        <f t="shared" si="16"/>
        <v>2547.7121902222225</v>
      </c>
      <c r="H108" s="32">
        <f t="shared" si="16"/>
        <v>2489.8096404444445</v>
      </c>
      <c r="I108" s="32">
        <f t="shared" si="16"/>
        <v>2431.9070906666666</v>
      </c>
      <c r="J108" s="32">
        <f t="shared" si="16"/>
        <v>2374.0045408888886</v>
      </c>
      <c r="K108" s="95"/>
      <c r="L108" s="50"/>
      <c r="M108" s="15"/>
    </row>
    <row r="109" spans="1:13">
      <c r="A109" s="50">
        <v>2</v>
      </c>
      <c r="B109" s="50"/>
      <c r="C109" s="50" t="s">
        <v>231</v>
      </c>
      <c r="D109" s="50"/>
      <c r="E109" s="129">
        <v>0</v>
      </c>
      <c r="F109" s="32">
        <f t="shared" si="16"/>
        <v>0</v>
      </c>
      <c r="G109" s="32">
        <f t="shared" si="16"/>
        <v>5968.5635313681105</v>
      </c>
      <c r="H109" s="32">
        <f t="shared" si="16"/>
        <v>5835.9287862265974</v>
      </c>
      <c r="I109" s="32">
        <f t="shared" si="16"/>
        <v>5703.2940410850842</v>
      </c>
      <c r="J109" s="32">
        <f t="shared" si="16"/>
        <v>5570.6592959435711</v>
      </c>
      <c r="K109" s="95"/>
      <c r="L109" s="50"/>
      <c r="M109" s="15"/>
    </row>
    <row r="110" spans="1:13">
      <c r="A110" s="50">
        <v>3</v>
      </c>
      <c r="B110" s="50"/>
      <c r="C110" s="50" t="s">
        <v>232</v>
      </c>
      <c r="D110" s="50"/>
      <c r="E110" s="129">
        <v>0</v>
      </c>
      <c r="F110" s="32">
        <f t="shared" si="16"/>
        <v>0</v>
      </c>
      <c r="G110" s="32">
        <f t="shared" si="16"/>
        <v>0</v>
      </c>
      <c r="H110" s="32">
        <f t="shared" si="16"/>
        <v>6120.5089735613219</v>
      </c>
      <c r="I110" s="32">
        <f t="shared" si="16"/>
        <v>5984.4976630377369</v>
      </c>
      <c r="J110" s="32">
        <f t="shared" si="16"/>
        <v>5848.4863525141518</v>
      </c>
      <c r="K110" s="95"/>
      <c r="L110" s="50"/>
      <c r="M110" s="15"/>
    </row>
    <row r="111" spans="1:13">
      <c r="A111" s="50">
        <v>4</v>
      </c>
      <c r="B111" s="50"/>
      <c r="C111" s="50" t="s">
        <v>233</v>
      </c>
      <c r="D111" s="50"/>
      <c r="E111" s="129">
        <v>0</v>
      </c>
      <c r="F111" s="32">
        <f t="shared" si="16"/>
        <v>0</v>
      </c>
      <c r="G111" s="32">
        <f t="shared" si="16"/>
        <v>0</v>
      </c>
      <c r="H111" s="32">
        <f t="shared" si="16"/>
        <v>0</v>
      </c>
      <c r="I111" s="32">
        <f t="shared" si="16"/>
        <v>5697.1859676173417</v>
      </c>
      <c r="J111" s="32">
        <f t="shared" si="16"/>
        <v>5570.5818350036234</v>
      </c>
      <c r="K111" s="95"/>
      <c r="L111" s="50"/>
      <c r="M111" s="15"/>
    </row>
    <row r="112" spans="1:13">
      <c r="A112" s="50">
        <v>5</v>
      </c>
      <c r="B112" s="50"/>
      <c r="C112" s="50" t="s">
        <v>234</v>
      </c>
      <c r="D112" s="50"/>
      <c r="E112" s="129">
        <v>0</v>
      </c>
      <c r="F112" s="32">
        <f t="shared" si="16"/>
        <v>0</v>
      </c>
      <c r="G112" s="32">
        <f t="shared" si="16"/>
        <v>0</v>
      </c>
      <c r="H112" s="32">
        <f t="shared" si="16"/>
        <v>0</v>
      </c>
      <c r="I112" s="32">
        <f t="shared" si="16"/>
        <v>0</v>
      </c>
      <c r="J112" s="32">
        <f t="shared" si="16"/>
        <v>4435.3833643667494</v>
      </c>
      <c r="K112" s="95"/>
      <c r="L112" s="50"/>
      <c r="M112" s="15"/>
    </row>
    <row r="113" spans="1:13">
      <c r="A113" s="50">
        <v>6</v>
      </c>
      <c r="B113" s="50"/>
      <c r="C113" s="50" t="s">
        <v>235</v>
      </c>
      <c r="D113" s="50"/>
      <c r="E113" s="129">
        <v>0</v>
      </c>
      <c r="F113" s="32">
        <f t="shared" si="16"/>
        <v>0</v>
      </c>
      <c r="G113" s="32">
        <f t="shared" si="16"/>
        <v>0</v>
      </c>
      <c r="H113" s="32">
        <f t="shared" si="16"/>
        <v>0</v>
      </c>
      <c r="I113" s="32">
        <f t="shared" si="16"/>
        <v>0</v>
      </c>
      <c r="J113" s="32">
        <f t="shared" si="16"/>
        <v>0</v>
      </c>
      <c r="K113" s="95"/>
      <c r="L113" s="50"/>
      <c r="M113" s="15"/>
    </row>
    <row r="114" spans="1:13">
      <c r="A114" s="50">
        <v>1</v>
      </c>
      <c r="B114" s="50"/>
      <c r="C114" s="50" t="s">
        <v>236</v>
      </c>
      <c r="D114" s="50"/>
      <c r="E114" s="129">
        <f>Inputs!$C$7+$A114</f>
        <v>46</v>
      </c>
      <c r="F114" s="32">
        <f t="shared" ref="F114:J119" si="17">E114-1</f>
        <v>45</v>
      </c>
      <c r="G114" s="32">
        <f t="shared" si="17"/>
        <v>44</v>
      </c>
      <c r="H114" s="32">
        <f t="shared" si="17"/>
        <v>43</v>
      </c>
      <c r="I114" s="32">
        <f t="shared" si="17"/>
        <v>42</v>
      </c>
      <c r="J114" s="32">
        <f t="shared" si="17"/>
        <v>41</v>
      </c>
      <c r="K114" s="95"/>
      <c r="L114" s="50"/>
      <c r="M114" s="15"/>
    </row>
    <row r="115" spans="1:13">
      <c r="A115" s="50">
        <v>2</v>
      </c>
      <c r="B115" s="50"/>
      <c r="C115" s="50" t="s">
        <v>237</v>
      </c>
      <c r="D115" s="50"/>
      <c r="E115" s="129">
        <f>Inputs!$C$7+$A115</f>
        <v>47</v>
      </c>
      <c r="F115" s="32">
        <f t="shared" si="17"/>
        <v>46</v>
      </c>
      <c r="G115" s="32">
        <f t="shared" si="17"/>
        <v>45</v>
      </c>
      <c r="H115" s="32">
        <f t="shared" si="17"/>
        <v>44</v>
      </c>
      <c r="I115" s="32">
        <f t="shared" si="17"/>
        <v>43</v>
      </c>
      <c r="J115" s="32">
        <f t="shared" si="17"/>
        <v>42</v>
      </c>
      <c r="K115" s="95"/>
      <c r="L115" s="50"/>
      <c r="M115" s="15"/>
    </row>
    <row r="116" spans="1:13">
      <c r="A116" s="50">
        <v>3</v>
      </c>
      <c r="B116" s="50"/>
      <c r="C116" s="50" t="s">
        <v>238</v>
      </c>
      <c r="D116" s="50"/>
      <c r="E116" s="129">
        <f>Inputs!$C$7+$A116</f>
        <v>48</v>
      </c>
      <c r="F116" s="32">
        <f t="shared" si="17"/>
        <v>47</v>
      </c>
      <c r="G116" s="32">
        <f t="shared" si="17"/>
        <v>46</v>
      </c>
      <c r="H116" s="32">
        <f t="shared" si="17"/>
        <v>45</v>
      </c>
      <c r="I116" s="32">
        <f t="shared" si="17"/>
        <v>44</v>
      </c>
      <c r="J116" s="32">
        <f t="shared" si="17"/>
        <v>43</v>
      </c>
      <c r="K116" s="95"/>
      <c r="L116" s="50"/>
      <c r="M116" s="15"/>
    </row>
    <row r="117" spans="1:13">
      <c r="A117" s="50">
        <v>4</v>
      </c>
      <c r="B117" s="50"/>
      <c r="C117" s="50" t="s">
        <v>239</v>
      </c>
      <c r="D117" s="50"/>
      <c r="E117" s="129">
        <f>Inputs!$C$7+$A117</f>
        <v>49</v>
      </c>
      <c r="F117" s="32">
        <f t="shared" si="17"/>
        <v>48</v>
      </c>
      <c r="G117" s="32">
        <f t="shared" si="17"/>
        <v>47</v>
      </c>
      <c r="H117" s="32">
        <f t="shared" si="17"/>
        <v>46</v>
      </c>
      <c r="I117" s="32">
        <f t="shared" si="17"/>
        <v>45</v>
      </c>
      <c r="J117" s="32">
        <f t="shared" si="17"/>
        <v>44</v>
      </c>
      <c r="K117" s="95"/>
      <c r="L117" s="50"/>
      <c r="M117" s="15"/>
    </row>
    <row r="118" spans="1:13">
      <c r="A118" s="50">
        <v>5</v>
      </c>
      <c r="B118" s="50"/>
      <c r="C118" s="50" t="s">
        <v>240</v>
      </c>
      <c r="D118" s="50"/>
      <c r="E118" s="129">
        <f>Inputs!$C$7+$A118</f>
        <v>50</v>
      </c>
      <c r="F118" s="32">
        <f t="shared" si="17"/>
        <v>49</v>
      </c>
      <c r="G118" s="32">
        <f t="shared" si="17"/>
        <v>48</v>
      </c>
      <c r="H118" s="32">
        <f t="shared" si="17"/>
        <v>47</v>
      </c>
      <c r="I118" s="32">
        <f t="shared" si="17"/>
        <v>46</v>
      </c>
      <c r="J118" s="32">
        <f t="shared" si="17"/>
        <v>45</v>
      </c>
      <c r="K118" s="95"/>
      <c r="L118" s="50"/>
      <c r="M118" s="15"/>
    </row>
    <row r="119" spans="1:13">
      <c r="A119" s="50">
        <v>6</v>
      </c>
      <c r="B119" s="50"/>
      <c r="C119" s="50" t="s">
        <v>241</v>
      </c>
      <c r="D119" s="50"/>
      <c r="E119" s="129">
        <f>Inputs!$C$7+$A119</f>
        <v>51</v>
      </c>
      <c r="F119" s="32">
        <f t="shared" si="17"/>
        <v>50</v>
      </c>
      <c r="G119" s="32">
        <f t="shared" si="17"/>
        <v>49</v>
      </c>
      <c r="H119" s="32">
        <f t="shared" si="17"/>
        <v>48</v>
      </c>
      <c r="I119" s="32">
        <f t="shared" si="17"/>
        <v>47</v>
      </c>
      <c r="J119" s="32">
        <f t="shared" si="17"/>
        <v>46</v>
      </c>
      <c r="K119" s="95"/>
      <c r="L119" s="50"/>
      <c r="M119" s="15"/>
    </row>
    <row r="120" spans="1:13">
      <c r="A120" s="50">
        <v>1</v>
      </c>
      <c r="B120" s="50"/>
      <c r="C120" s="50" t="s">
        <v>242</v>
      </c>
      <c r="D120" s="50"/>
      <c r="E120" s="32">
        <f t="shared" ref="E120:J125" si="18">E108/E114</f>
        <v>0</v>
      </c>
      <c r="F120" s="32">
        <f t="shared" si="18"/>
        <v>57.902549777777786</v>
      </c>
      <c r="G120" s="32">
        <f t="shared" si="18"/>
        <v>57.902549777777786</v>
      </c>
      <c r="H120" s="32">
        <f t="shared" si="18"/>
        <v>57.902549777777779</v>
      </c>
      <c r="I120" s="32">
        <f t="shared" si="18"/>
        <v>57.902549777777779</v>
      </c>
      <c r="J120" s="32">
        <f t="shared" si="18"/>
        <v>57.902549777777772</v>
      </c>
      <c r="K120" s="95"/>
      <c r="L120" s="50"/>
      <c r="M120" s="15"/>
    </row>
    <row r="121" spans="1:13">
      <c r="A121" s="50">
        <v>2</v>
      </c>
      <c r="B121" s="50"/>
      <c r="C121" s="50" t="s">
        <v>243</v>
      </c>
      <c r="D121" s="50"/>
      <c r="E121" s="32">
        <f t="shared" si="18"/>
        <v>0</v>
      </c>
      <c r="F121" s="32">
        <f t="shared" si="18"/>
        <v>0</v>
      </c>
      <c r="G121" s="32">
        <f t="shared" si="18"/>
        <v>132.63474514151358</v>
      </c>
      <c r="H121" s="32">
        <f t="shared" si="18"/>
        <v>132.63474514151358</v>
      </c>
      <c r="I121" s="32">
        <f t="shared" si="18"/>
        <v>132.63474514151358</v>
      </c>
      <c r="J121" s="32">
        <f t="shared" si="18"/>
        <v>132.6347451415136</v>
      </c>
      <c r="K121" s="95"/>
      <c r="L121" s="50"/>
      <c r="M121" s="15"/>
    </row>
    <row r="122" spans="1:13">
      <c r="A122" s="50">
        <v>3</v>
      </c>
      <c r="B122" s="50"/>
      <c r="C122" s="50" t="s">
        <v>244</v>
      </c>
      <c r="D122" s="50"/>
      <c r="E122" s="32">
        <f t="shared" si="18"/>
        <v>0</v>
      </c>
      <c r="F122" s="32">
        <f t="shared" si="18"/>
        <v>0</v>
      </c>
      <c r="G122" s="32">
        <f t="shared" si="18"/>
        <v>0</v>
      </c>
      <c r="H122" s="32">
        <f t="shared" si="18"/>
        <v>136.01131052358494</v>
      </c>
      <c r="I122" s="32">
        <f t="shared" si="18"/>
        <v>136.01131052358494</v>
      </c>
      <c r="J122" s="32">
        <f t="shared" si="18"/>
        <v>136.01131052358494</v>
      </c>
      <c r="K122" s="95"/>
      <c r="L122" s="50"/>
      <c r="M122" s="15"/>
    </row>
    <row r="123" spans="1:13">
      <c r="A123" s="50">
        <v>4</v>
      </c>
      <c r="B123" s="50"/>
      <c r="C123" s="50" t="s">
        <v>245</v>
      </c>
      <c r="D123" s="50"/>
      <c r="E123" s="32">
        <f t="shared" si="18"/>
        <v>0</v>
      </c>
      <c r="F123" s="32">
        <f t="shared" si="18"/>
        <v>0</v>
      </c>
      <c r="G123" s="32">
        <f t="shared" si="18"/>
        <v>0</v>
      </c>
      <c r="H123" s="32">
        <f t="shared" si="18"/>
        <v>0</v>
      </c>
      <c r="I123" s="32">
        <f t="shared" si="18"/>
        <v>126.6041326137187</v>
      </c>
      <c r="J123" s="32">
        <f t="shared" si="18"/>
        <v>126.60413261371872</v>
      </c>
      <c r="K123" s="95"/>
      <c r="L123" s="50"/>
      <c r="M123" s="15"/>
    </row>
    <row r="124" spans="1:13">
      <c r="A124" s="50">
        <v>5</v>
      </c>
      <c r="B124" s="50"/>
      <c r="C124" s="50" t="s">
        <v>246</v>
      </c>
      <c r="D124" s="50"/>
      <c r="E124" s="32">
        <f t="shared" si="18"/>
        <v>0</v>
      </c>
      <c r="F124" s="32">
        <f t="shared" si="18"/>
        <v>0</v>
      </c>
      <c r="G124" s="32">
        <f t="shared" si="18"/>
        <v>0</v>
      </c>
      <c r="H124" s="32">
        <f t="shared" si="18"/>
        <v>0</v>
      </c>
      <c r="I124" s="32">
        <f t="shared" si="18"/>
        <v>0</v>
      </c>
      <c r="J124" s="32">
        <f t="shared" si="18"/>
        <v>98.564074763705548</v>
      </c>
      <c r="K124" s="95"/>
      <c r="L124" s="50"/>
      <c r="M124" s="15"/>
    </row>
    <row r="125" spans="1:13">
      <c r="A125" s="50">
        <v>6</v>
      </c>
      <c r="B125" s="50"/>
      <c r="C125" s="50" t="s">
        <v>247</v>
      </c>
      <c r="D125" s="50"/>
      <c r="E125" s="32">
        <f t="shared" si="18"/>
        <v>0</v>
      </c>
      <c r="F125" s="32">
        <f t="shared" si="18"/>
        <v>0</v>
      </c>
      <c r="G125" s="32">
        <f t="shared" si="18"/>
        <v>0</v>
      </c>
      <c r="H125" s="32">
        <f t="shared" si="18"/>
        <v>0</v>
      </c>
      <c r="I125" s="32">
        <f t="shared" si="18"/>
        <v>0</v>
      </c>
      <c r="J125" s="32">
        <f t="shared" si="18"/>
        <v>0</v>
      </c>
      <c r="K125" s="95"/>
      <c r="L125" s="50"/>
      <c r="M125" s="15"/>
    </row>
    <row r="126" spans="1:13">
      <c r="A126" s="50">
        <v>1</v>
      </c>
      <c r="B126" s="50"/>
      <c r="C126" s="50" t="s">
        <v>248</v>
      </c>
      <c r="D126" s="50"/>
      <c r="E126" s="32">
        <f t="shared" ref="E126:J131" si="19">E108-E120+IF($A126=E$106,E$107,0)</f>
        <v>2605.6147400000004</v>
      </c>
      <c r="F126" s="32">
        <f t="shared" si="19"/>
        <v>2547.7121902222225</v>
      </c>
      <c r="G126" s="32">
        <f t="shared" si="19"/>
        <v>2489.8096404444445</v>
      </c>
      <c r="H126" s="32">
        <f t="shared" si="19"/>
        <v>2431.9070906666666</v>
      </c>
      <c r="I126" s="32">
        <f t="shared" si="19"/>
        <v>2374.0045408888886</v>
      </c>
      <c r="J126" s="32">
        <f t="shared" si="19"/>
        <v>2316.1019911111107</v>
      </c>
      <c r="K126" s="95"/>
      <c r="L126" s="50"/>
      <c r="M126" s="15"/>
    </row>
    <row r="127" spans="1:13">
      <c r="A127" s="50">
        <v>2</v>
      </c>
      <c r="B127" s="50"/>
      <c r="C127" s="50" t="s">
        <v>249</v>
      </c>
      <c r="D127" s="50"/>
      <c r="E127" s="32">
        <f t="shared" si="19"/>
        <v>0</v>
      </c>
      <c r="F127" s="32">
        <f t="shared" si="19"/>
        <v>5968.5635313681105</v>
      </c>
      <c r="G127" s="32">
        <f t="shared" si="19"/>
        <v>5835.9287862265974</v>
      </c>
      <c r="H127" s="32">
        <f t="shared" si="19"/>
        <v>5703.2940410850842</v>
      </c>
      <c r="I127" s="32">
        <f t="shared" si="19"/>
        <v>5570.6592959435711</v>
      </c>
      <c r="J127" s="32">
        <f t="shared" si="19"/>
        <v>5438.0245508020571</v>
      </c>
      <c r="K127" s="95"/>
      <c r="L127" s="50"/>
      <c r="M127" s="15"/>
    </row>
    <row r="128" spans="1:13">
      <c r="A128" s="50">
        <v>3</v>
      </c>
      <c r="B128" s="50"/>
      <c r="C128" s="50" t="s">
        <v>250</v>
      </c>
      <c r="D128" s="50"/>
      <c r="E128" s="32">
        <f t="shared" si="19"/>
        <v>0</v>
      </c>
      <c r="F128" s="32">
        <f t="shared" si="19"/>
        <v>0</v>
      </c>
      <c r="G128" s="32">
        <f t="shared" si="19"/>
        <v>6120.5089735613219</v>
      </c>
      <c r="H128" s="32">
        <f t="shared" si="19"/>
        <v>5984.4976630377369</v>
      </c>
      <c r="I128" s="32">
        <f t="shared" si="19"/>
        <v>5848.4863525141518</v>
      </c>
      <c r="J128" s="32">
        <f t="shared" si="19"/>
        <v>5712.4750419905668</v>
      </c>
      <c r="K128" s="95"/>
      <c r="L128" s="50"/>
      <c r="M128" s="15"/>
    </row>
    <row r="129" spans="1:13">
      <c r="A129" s="50">
        <v>4</v>
      </c>
      <c r="B129" s="50"/>
      <c r="C129" s="50" t="s">
        <v>251</v>
      </c>
      <c r="D129" s="50"/>
      <c r="E129" s="32">
        <f t="shared" si="19"/>
        <v>0</v>
      </c>
      <c r="F129" s="32">
        <f t="shared" si="19"/>
        <v>0</v>
      </c>
      <c r="G129" s="32">
        <f t="shared" si="19"/>
        <v>0</v>
      </c>
      <c r="H129" s="32">
        <f t="shared" si="19"/>
        <v>5697.1859676173417</v>
      </c>
      <c r="I129" s="32">
        <f t="shared" si="19"/>
        <v>5570.5818350036234</v>
      </c>
      <c r="J129" s="32">
        <f t="shared" si="19"/>
        <v>5443.9777023899051</v>
      </c>
      <c r="K129" s="95"/>
      <c r="L129" s="50"/>
      <c r="M129" s="15"/>
    </row>
    <row r="130" spans="1:13">
      <c r="A130" s="50">
        <v>5</v>
      </c>
      <c r="B130" s="50"/>
      <c r="C130" s="50" t="s">
        <v>252</v>
      </c>
      <c r="D130" s="50"/>
      <c r="E130" s="32">
        <f t="shared" si="19"/>
        <v>0</v>
      </c>
      <c r="F130" s="32">
        <f t="shared" si="19"/>
        <v>0</v>
      </c>
      <c r="G130" s="32">
        <f t="shared" si="19"/>
        <v>0</v>
      </c>
      <c r="H130" s="32">
        <f t="shared" si="19"/>
        <v>0</v>
      </c>
      <c r="I130" s="32">
        <f t="shared" si="19"/>
        <v>4435.3833643667494</v>
      </c>
      <c r="J130" s="32">
        <f t="shared" si="19"/>
        <v>4336.8192896030441</v>
      </c>
      <c r="K130" s="95"/>
      <c r="L130" s="50"/>
      <c r="M130" s="15"/>
    </row>
    <row r="131" spans="1:13">
      <c r="A131" s="50">
        <v>6</v>
      </c>
      <c r="B131" s="50"/>
      <c r="C131" s="50" t="s">
        <v>253</v>
      </c>
      <c r="D131" s="50"/>
      <c r="E131" s="32">
        <f t="shared" si="19"/>
        <v>0</v>
      </c>
      <c r="F131" s="32">
        <f t="shared" si="19"/>
        <v>0</v>
      </c>
      <c r="G131" s="32">
        <f t="shared" si="19"/>
        <v>0</v>
      </c>
      <c r="H131" s="32">
        <f t="shared" si="19"/>
        <v>0</v>
      </c>
      <c r="I131" s="32">
        <f t="shared" si="19"/>
        <v>0</v>
      </c>
      <c r="J131" s="32">
        <f t="shared" si="19"/>
        <v>4705.4786175702502</v>
      </c>
      <c r="K131" s="95"/>
      <c r="L131" s="50"/>
      <c r="M131" s="15"/>
    </row>
    <row r="132" spans="1:13">
      <c r="A132" s="50"/>
      <c r="B132" s="50"/>
      <c r="C132" s="50" t="s">
        <v>62</v>
      </c>
      <c r="D132" s="50"/>
      <c r="E132" s="32">
        <f t="shared" ref="E132:J132" si="20">SUM(E120:E125)</f>
        <v>0</v>
      </c>
      <c r="F132" s="32">
        <f t="shared" si="20"/>
        <v>57.902549777777786</v>
      </c>
      <c r="G132" s="32">
        <f t="shared" si="20"/>
        <v>190.53729491929136</v>
      </c>
      <c r="H132" s="32">
        <f t="shared" si="20"/>
        <v>326.54860544287629</v>
      </c>
      <c r="I132" s="32">
        <f t="shared" si="20"/>
        <v>453.15273805659501</v>
      </c>
      <c r="J132" s="32">
        <f t="shared" si="20"/>
        <v>551.71681282030067</v>
      </c>
      <c r="K132" s="95"/>
      <c r="L132" s="27"/>
      <c r="M132" s="15"/>
    </row>
    <row r="133" spans="1:13" s="15" customFormat="1">
      <c r="A133" s="50"/>
      <c r="B133" s="50"/>
      <c r="C133" s="50"/>
      <c r="D133" s="50"/>
      <c r="E133" s="32"/>
      <c r="F133" s="32"/>
      <c r="G133" s="32"/>
      <c r="H133" s="32"/>
      <c r="I133" s="32"/>
      <c r="J133" s="32"/>
      <c r="K133" s="95"/>
      <c r="L133" s="50"/>
    </row>
    <row r="134" spans="1:13" ht="15.75">
      <c r="A134" s="50"/>
      <c r="B134" s="50"/>
      <c r="C134" s="162" t="s">
        <v>63</v>
      </c>
      <c r="D134" s="50"/>
      <c r="E134" s="50"/>
      <c r="F134" s="50"/>
      <c r="G134" s="50"/>
      <c r="H134" s="50"/>
      <c r="I134" s="50"/>
      <c r="J134" s="50"/>
      <c r="K134" s="95"/>
      <c r="L134" s="50"/>
      <c r="M134" s="15"/>
    </row>
    <row r="135" spans="1:13">
      <c r="A135" s="50"/>
      <c r="B135" s="50"/>
      <c r="C135" s="50" t="s">
        <v>65</v>
      </c>
      <c r="D135" s="50"/>
      <c r="E135" s="129">
        <f>E59</f>
        <v>99283.174584512322</v>
      </c>
      <c r="F135" s="32">
        <f>E140</f>
        <v>95762.988905794409</v>
      </c>
      <c r="G135" s="32">
        <f>F140</f>
        <v>92242.185475970473</v>
      </c>
      <c r="H135" s="32">
        <f>G140</f>
        <v>88722.990272933006</v>
      </c>
      <c r="I135" s="32">
        <f>H140</f>
        <v>85205.361585821927</v>
      </c>
      <c r="J135" s="32">
        <f>I140</f>
        <v>81689.472574262851</v>
      </c>
      <c r="K135" s="95"/>
      <c r="L135" s="50"/>
      <c r="M135" s="15"/>
    </row>
    <row r="136" spans="1:13">
      <c r="A136" s="50"/>
      <c r="B136" s="50"/>
      <c r="C136" s="50" t="s">
        <v>40</v>
      </c>
      <c r="D136" s="50"/>
      <c r="E136" s="32">
        <f t="shared" ref="E136:J136" si="21">E56</f>
        <v>71.185678717912296</v>
      </c>
      <c r="F136" s="32">
        <f t="shared" si="21"/>
        <v>74.365348961465344</v>
      </c>
      <c r="G136" s="32">
        <f t="shared" si="21"/>
        <v>75.533391091750147</v>
      </c>
      <c r="H136" s="32">
        <f t="shared" si="21"/>
        <v>76.896106910415739</v>
      </c>
      <c r="I136" s="32">
        <f t="shared" si="21"/>
        <v>78.258822729081345</v>
      </c>
      <c r="J136" s="32">
        <f t="shared" si="21"/>
        <v>80.075777153968801</v>
      </c>
      <c r="K136" s="95"/>
      <c r="L136" s="50"/>
      <c r="M136" s="15"/>
    </row>
    <row r="137" spans="1:13">
      <c r="A137" s="50"/>
      <c r="B137" s="50"/>
      <c r="C137" s="50" t="s">
        <v>312</v>
      </c>
      <c r="D137" s="50"/>
      <c r="E137" s="32">
        <f>Hoz!E12</f>
        <v>0</v>
      </c>
      <c r="F137" s="32"/>
      <c r="G137" s="32"/>
      <c r="H137" s="32"/>
      <c r="I137" s="32"/>
      <c r="J137" s="32"/>
      <c r="K137" s="95"/>
      <c r="L137" s="50"/>
      <c r="M137" s="15"/>
    </row>
    <row r="138" spans="1:13">
      <c r="A138" s="50"/>
      <c r="B138" s="50"/>
      <c r="C138" s="50" t="s">
        <v>313</v>
      </c>
      <c r="D138" s="50"/>
      <c r="E138" s="32">
        <f>Hoz!E13</f>
        <v>0</v>
      </c>
      <c r="F138" s="32"/>
      <c r="G138" s="32"/>
      <c r="H138" s="32"/>
      <c r="I138" s="32"/>
      <c r="J138" s="32"/>
      <c r="K138" s="95"/>
      <c r="L138" s="50"/>
      <c r="M138" s="15"/>
    </row>
    <row r="139" spans="1:13">
      <c r="A139" s="50"/>
      <c r="B139" s="50"/>
      <c r="C139" s="50" t="s">
        <v>64</v>
      </c>
      <c r="D139" s="50"/>
      <c r="E139" s="32">
        <f t="shared" ref="E139:J139" si="22">E135/E$54</f>
        <v>3449</v>
      </c>
      <c r="F139" s="32">
        <f t="shared" si="22"/>
        <v>3446.4380808624633</v>
      </c>
      <c r="G139" s="32">
        <f t="shared" si="22"/>
        <v>3443.6618119457066</v>
      </c>
      <c r="H139" s="32">
        <f t="shared" si="22"/>
        <v>3440.7325802006653</v>
      </c>
      <c r="I139" s="32">
        <f t="shared" si="22"/>
        <v>3437.6301888299945</v>
      </c>
      <c r="J139" s="32">
        <f t="shared" si="22"/>
        <v>3434.3400780863121</v>
      </c>
      <c r="K139" s="95"/>
      <c r="L139" s="50"/>
      <c r="M139" s="15"/>
    </row>
    <row r="140" spans="1:13">
      <c r="A140" s="50"/>
      <c r="B140" s="50"/>
      <c r="C140" s="50" t="s">
        <v>61</v>
      </c>
      <c r="D140" s="50"/>
      <c r="E140" s="129">
        <f>E135-E136-E137+E138-E139</f>
        <v>95762.988905794409</v>
      </c>
      <c r="F140" s="32">
        <f>F135-F136-F139</f>
        <v>92242.185475970473</v>
      </c>
      <c r="G140" s="32">
        <f>G135-G136-G139</f>
        <v>88722.990272933006</v>
      </c>
      <c r="H140" s="32">
        <f>H135-H136-H139</f>
        <v>85205.361585821927</v>
      </c>
      <c r="I140" s="32">
        <f>I135-I136-I139</f>
        <v>81689.472574262851</v>
      </c>
      <c r="J140" s="32">
        <f>J135-J136-J139</f>
        <v>78175.05671902257</v>
      </c>
      <c r="K140" s="95"/>
      <c r="L140" s="50"/>
      <c r="M140" s="15"/>
    </row>
    <row r="141" spans="1:13">
      <c r="A141" s="50"/>
      <c r="B141" s="50"/>
      <c r="C141" s="50"/>
      <c r="D141" s="50"/>
      <c r="E141" s="32"/>
      <c r="F141" s="32"/>
      <c r="G141" s="32"/>
      <c r="H141" s="32"/>
      <c r="I141" s="32"/>
      <c r="J141" s="32"/>
      <c r="K141" s="95"/>
      <c r="L141" s="27"/>
      <c r="M141" s="15"/>
    </row>
    <row r="142" spans="1:13" ht="15.75">
      <c r="A142" s="50"/>
      <c r="B142" s="50"/>
      <c r="C142" s="162" t="s">
        <v>66</v>
      </c>
      <c r="D142" s="50"/>
      <c r="E142" s="50"/>
      <c r="F142" s="50"/>
      <c r="G142" s="50"/>
      <c r="H142" s="50"/>
      <c r="I142" s="50"/>
      <c r="J142" s="50"/>
      <c r="K142" s="95"/>
      <c r="L142" s="27"/>
      <c r="M142" s="15"/>
    </row>
    <row r="143" spans="1:13">
      <c r="A143" s="50"/>
      <c r="B143" s="50"/>
      <c r="C143" s="50" t="s">
        <v>155</v>
      </c>
      <c r="D143" s="50"/>
      <c r="E143" s="32">
        <f t="shared" ref="E143:J143" si="23">E59+E100</f>
        <v>99283.174584512322</v>
      </c>
      <c r="F143" s="32">
        <f t="shared" si="23"/>
        <v>100076.69715166172</v>
      </c>
      <c r="G143" s="32">
        <f t="shared" si="23"/>
        <v>104384.41773376008</v>
      </c>
      <c r="H143" s="32">
        <f t="shared" si="23"/>
        <v>109197.11460445702</v>
      </c>
      <c r="I143" s="32">
        <f t="shared" si="23"/>
        <v>113316.40967354404</v>
      </c>
      <c r="J143" s="32">
        <f t="shared" si="23"/>
        <v>115884.76221445519</v>
      </c>
      <c r="K143" s="95"/>
      <c r="L143" s="27"/>
      <c r="M143" s="15"/>
    </row>
    <row r="144" spans="1:13">
      <c r="A144" s="50"/>
      <c r="B144" s="50"/>
      <c r="C144" s="50" t="s">
        <v>154</v>
      </c>
      <c r="D144" s="50"/>
      <c r="E144" s="32">
        <f t="shared" ref="E144:J146" si="24">E63+E101</f>
        <v>1708.0935058673035</v>
      </c>
      <c r="F144" s="32">
        <f t="shared" si="24"/>
        <v>1979.3360333319654</v>
      </c>
      <c r="G144" s="32">
        <f t="shared" si="24"/>
        <v>2536.533630910415</v>
      </c>
      <c r="H144" s="32">
        <f t="shared" si="24"/>
        <v>2495.9536251901891</v>
      </c>
      <c r="I144" s="32">
        <f t="shared" si="24"/>
        <v>2426.5837670631172</v>
      </c>
      <c r="J144" s="32">
        <f t="shared" si="24"/>
        <v>2314.2722880870087</v>
      </c>
      <c r="K144" s="95"/>
      <c r="L144" s="50"/>
      <c r="M144" s="15"/>
    </row>
    <row r="145" spans="1:13">
      <c r="A145" s="50"/>
      <c r="B145" s="50"/>
      <c r="C145" s="50" t="s">
        <v>153</v>
      </c>
      <c r="D145" s="50"/>
      <c r="E145" s="32">
        <f t="shared" si="24"/>
        <v>3449</v>
      </c>
      <c r="F145" s="32">
        <f t="shared" si="24"/>
        <v>3565.8136336402422</v>
      </c>
      <c r="G145" s="32">
        <f t="shared" si="24"/>
        <v>3768.812342683048</v>
      </c>
      <c r="H145" s="32">
        <f t="shared" si="24"/>
        <v>3996.9484168100944</v>
      </c>
      <c r="I145" s="32">
        <f t="shared" si="24"/>
        <v>4215.3557677896379</v>
      </c>
      <c r="J145" s="32">
        <f t="shared" si="24"/>
        <v>4404.4949420704697</v>
      </c>
      <c r="K145" s="95"/>
      <c r="L145" s="50"/>
      <c r="M145" s="15"/>
    </row>
    <row r="146" spans="1:13">
      <c r="A146" s="50"/>
      <c r="B146" s="50"/>
      <c r="C146" s="50" t="s">
        <v>156</v>
      </c>
      <c r="D146" s="50"/>
      <c r="E146" s="32">
        <f t="shared" si="24"/>
        <v>100076.69715166172</v>
      </c>
      <c r="F146" s="32">
        <f t="shared" si="24"/>
        <v>104384.41773376008</v>
      </c>
      <c r="G146" s="32">
        <f t="shared" si="24"/>
        <v>109197.11460445702</v>
      </c>
      <c r="H146" s="32">
        <f t="shared" si="24"/>
        <v>113316.40967354404</v>
      </c>
      <c r="I146" s="32">
        <f t="shared" si="24"/>
        <v>115884.76221445519</v>
      </c>
      <c r="J146" s="32">
        <f t="shared" si="24"/>
        <v>118419.94240088802</v>
      </c>
      <c r="K146" s="95"/>
      <c r="L146" s="50"/>
      <c r="M146" s="15"/>
    </row>
    <row r="147" spans="1:13">
      <c r="A147" s="50"/>
      <c r="B147" s="50"/>
      <c r="C147" s="50" t="s">
        <v>45</v>
      </c>
      <c r="D147" s="50"/>
      <c r="E147" s="32">
        <f t="shared" ref="E147:J147" si="25">E132+E139</f>
        <v>3449</v>
      </c>
      <c r="F147" s="32">
        <f t="shared" si="25"/>
        <v>3504.3406306402412</v>
      </c>
      <c r="G147" s="32">
        <f t="shared" si="25"/>
        <v>3634.1991068649982</v>
      </c>
      <c r="H147" s="32">
        <f t="shared" si="25"/>
        <v>3767.2811856435414</v>
      </c>
      <c r="I147" s="32">
        <f t="shared" si="25"/>
        <v>3890.7829268865894</v>
      </c>
      <c r="J147" s="32">
        <f t="shared" si="25"/>
        <v>3986.0568909066128</v>
      </c>
      <c r="K147" s="95"/>
      <c r="L147" s="50"/>
      <c r="M147" s="15"/>
    </row>
    <row r="148" spans="1:13">
      <c r="A148" s="50"/>
      <c r="B148" s="50"/>
      <c r="C148" s="50" t="s">
        <v>178</v>
      </c>
      <c r="D148" s="50"/>
      <c r="E148" s="128"/>
      <c r="F148" s="165">
        <f>F143+F107+F144-F145-F56-F146</f>
        <v>0</v>
      </c>
      <c r="G148" s="165">
        <f>G143+G107+G144-G145-G56-G146</f>
        <v>0</v>
      </c>
      <c r="H148" s="165">
        <f>H143+H107+H144-H145-H56-H146</f>
        <v>0</v>
      </c>
      <c r="I148" s="165">
        <f>I143+I107+I144-I145-I56-I146</f>
        <v>0</v>
      </c>
      <c r="J148" s="165">
        <f>J143+J107+J144-J145-J56-J146</f>
        <v>0</v>
      </c>
      <c r="K148" s="95"/>
      <c r="L148" s="50"/>
      <c r="M148" s="15"/>
    </row>
    <row r="149" spans="1:13">
      <c r="A149" s="50"/>
      <c r="B149" s="50"/>
      <c r="C149" s="50"/>
      <c r="D149" s="50"/>
      <c r="E149" s="50"/>
      <c r="F149" s="32"/>
      <c r="G149" s="32"/>
      <c r="H149" s="50"/>
      <c r="I149" s="50"/>
      <c r="J149" s="50"/>
      <c r="K149" s="95"/>
      <c r="L149" s="50"/>
      <c r="M149" s="15"/>
    </row>
    <row r="150" spans="1:13" ht="15.75">
      <c r="A150" s="50"/>
      <c r="B150" s="50"/>
      <c r="C150" s="162" t="s">
        <v>90</v>
      </c>
      <c r="D150" s="50"/>
      <c r="E150" s="50"/>
      <c r="F150" s="50"/>
      <c r="G150" s="50"/>
      <c r="H150" s="50"/>
      <c r="I150" s="50"/>
      <c r="J150" s="50"/>
      <c r="K150" s="95"/>
      <c r="L150" s="50"/>
      <c r="M150" s="15"/>
    </row>
    <row r="151" spans="1:13" ht="15.75">
      <c r="A151" s="50"/>
      <c r="B151" s="50"/>
      <c r="C151" s="158" t="s">
        <v>160</v>
      </c>
      <c r="D151" s="50"/>
      <c r="E151" s="129"/>
      <c r="F151" s="166">
        <f>F143/$E143</f>
        <v>1.0079925180723741</v>
      </c>
      <c r="G151" s="166">
        <f>G143/$E143</f>
        <v>1.0513807417077046</v>
      </c>
      <c r="H151" s="166">
        <f>H143/$E143</f>
        <v>1.0998551875625784</v>
      </c>
      <c r="I151" s="166">
        <f>I143/$E143</f>
        <v>1.1413455517287703</v>
      </c>
      <c r="J151" s="166">
        <f>J143/$E143</f>
        <v>1.1672145124228595</v>
      </c>
      <c r="K151" s="95"/>
      <c r="L151" s="50"/>
      <c r="M151" s="15"/>
    </row>
    <row r="152" spans="1:13">
      <c r="A152" s="50"/>
      <c r="B152" s="50"/>
      <c r="C152" s="50" t="s">
        <v>90</v>
      </c>
      <c r="D152" s="50"/>
      <c r="E152" s="129">
        <f>IF(E20&gt;0,E20,0)</f>
        <v>0</v>
      </c>
      <c r="F152" s="32">
        <f>$E152*F151</f>
        <v>0</v>
      </c>
      <c r="G152" s="32">
        <f>$E152*G151</f>
        <v>0</v>
      </c>
      <c r="H152" s="32">
        <f>$E152*H151</f>
        <v>0</v>
      </c>
      <c r="I152" s="32">
        <f>$E152*I151</f>
        <v>0</v>
      </c>
      <c r="J152" s="32">
        <f>$E152*J151</f>
        <v>0</v>
      </c>
      <c r="K152" s="95"/>
      <c r="L152" s="50"/>
      <c r="M152" s="15"/>
    </row>
    <row r="153" spans="1:13">
      <c r="A153" s="50"/>
      <c r="B153" s="50"/>
      <c r="C153" s="50"/>
      <c r="D153" s="50"/>
      <c r="E153" s="50"/>
      <c r="F153" s="50"/>
      <c r="G153" s="50"/>
      <c r="H153" s="50"/>
      <c r="I153" s="50"/>
      <c r="J153" s="50"/>
      <c r="K153" s="95"/>
      <c r="L153" s="50"/>
      <c r="M153" s="15"/>
    </row>
    <row r="154" spans="1:13" ht="15.75">
      <c r="A154" s="50"/>
      <c r="B154" s="50"/>
      <c r="C154" s="162" t="s">
        <v>46</v>
      </c>
      <c r="D154" s="50"/>
      <c r="E154" s="50"/>
      <c r="F154" s="50"/>
      <c r="G154" s="50"/>
      <c r="H154" s="50"/>
      <c r="I154" s="50"/>
      <c r="J154" s="50"/>
      <c r="K154" s="95"/>
      <c r="L154" s="27"/>
      <c r="M154" s="15"/>
    </row>
    <row r="155" spans="1:13">
      <c r="A155" s="50"/>
      <c r="B155" s="50"/>
      <c r="C155" s="50" t="s">
        <v>157</v>
      </c>
      <c r="D155" s="49">
        <f>E17/E18</f>
        <v>0.11277445079903284</v>
      </c>
      <c r="E155" s="50"/>
      <c r="F155" s="50"/>
      <c r="G155" s="50"/>
      <c r="H155" s="50"/>
      <c r="I155" s="50"/>
      <c r="J155" s="50"/>
      <c r="K155" s="95"/>
      <c r="L155" s="125"/>
      <c r="M155" s="15"/>
    </row>
    <row r="156" spans="1:13">
      <c r="A156" s="50"/>
      <c r="B156" s="50"/>
      <c r="C156" s="50" t="s">
        <v>167</v>
      </c>
      <c r="D156" s="50"/>
      <c r="E156" s="129">
        <f>E18</f>
        <v>22714.435600000001</v>
      </c>
      <c r="F156" s="32">
        <f>E159</f>
        <v>22758.442340000001</v>
      </c>
      <c r="G156" s="32">
        <f>F159</f>
        <v>26160.435035433155</v>
      </c>
      <c r="H156" s="32">
        <f>G159</f>
        <v>29330.715315209723</v>
      </c>
      <c r="I156" s="32">
        <f>H159</f>
        <v>31720.145971611506</v>
      </c>
      <c r="J156" s="32">
        <f>I159</f>
        <v>32578.307294764614</v>
      </c>
      <c r="K156" s="95"/>
      <c r="L156" s="125"/>
      <c r="M156" s="15"/>
    </row>
    <row r="157" spans="1:13">
      <c r="A157" s="50"/>
      <c r="B157" s="50"/>
      <c r="C157" s="50" t="s">
        <v>34</v>
      </c>
      <c r="D157" s="50"/>
      <c r="E157" s="129">
        <f>E17</f>
        <v>2561.6080000000002</v>
      </c>
      <c r="F157" s="32">
        <f>F156*$D155</f>
        <v>2566.570835934956</v>
      </c>
      <c r="G157" s="32">
        <f>G156*$D155</f>
        <v>2950.2286937847512</v>
      </c>
      <c r="H157" s="32">
        <f>H156*$D155</f>
        <v>3307.7553112155579</v>
      </c>
      <c r="I157" s="32">
        <f>I156*$D155</f>
        <v>3577.2220412136417</v>
      </c>
      <c r="J157" s="32">
        <f>J156*$D155</f>
        <v>3674.0007131292045</v>
      </c>
      <c r="K157" s="95"/>
      <c r="L157" s="50"/>
      <c r="M157" s="15"/>
    </row>
    <row r="158" spans="1:13">
      <c r="A158" s="50"/>
      <c r="B158" s="50"/>
      <c r="C158" s="50" t="s">
        <v>98</v>
      </c>
      <c r="D158" s="50"/>
      <c r="E158" s="32">
        <f t="shared" ref="E158:J158" si="26">E29</f>
        <v>2605.6147400000004</v>
      </c>
      <c r="F158" s="32">
        <f t="shared" si="26"/>
        <v>5968.5635313681105</v>
      </c>
      <c r="G158" s="32">
        <f t="shared" si="26"/>
        <v>6120.5089735613219</v>
      </c>
      <c r="H158" s="32">
        <f t="shared" si="26"/>
        <v>5697.1859676173417</v>
      </c>
      <c r="I158" s="32">
        <f t="shared" si="26"/>
        <v>4435.3833643667494</v>
      </c>
      <c r="J158" s="32">
        <f t="shared" si="26"/>
        <v>4705.4786175702502</v>
      </c>
      <c r="K158" s="95"/>
      <c r="L158" s="125"/>
      <c r="M158" s="15"/>
    </row>
    <row r="159" spans="1:13">
      <c r="A159" s="50"/>
      <c r="B159" s="50"/>
      <c r="C159" s="50" t="s">
        <v>127</v>
      </c>
      <c r="D159" s="50"/>
      <c r="E159" s="32">
        <f t="shared" ref="E159:J159" si="27">E156-E157+E158</f>
        <v>22758.442340000001</v>
      </c>
      <c r="F159" s="32">
        <f t="shared" si="27"/>
        <v>26160.435035433155</v>
      </c>
      <c r="G159" s="32">
        <f t="shared" si="27"/>
        <v>29330.715315209723</v>
      </c>
      <c r="H159" s="32">
        <f t="shared" si="27"/>
        <v>31720.145971611506</v>
      </c>
      <c r="I159" s="32">
        <f t="shared" si="27"/>
        <v>32578.307294764614</v>
      </c>
      <c r="J159" s="32">
        <f t="shared" si="27"/>
        <v>33609.78519920566</v>
      </c>
      <c r="K159" s="95"/>
      <c r="L159" s="125"/>
      <c r="M159" s="15"/>
    </row>
    <row r="160" spans="1:13">
      <c r="A160" s="50"/>
      <c r="B160" s="50"/>
      <c r="C160" s="50"/>
      <c r="D160" s="50"/>
      <c r="E160" s="50"/>
      <c r="F160" s="50"/>
      <c r="G160" s="50"/>
      <c r="H160" s="50"/>
      <c r="I160" s="50"/>
      <c r="J160" s="50"/>
      <c r="K160" s="95"/>
      <c r="L160" s="27"/>
      <c r="M160" s="15"/>
    </row>
    <row r="161" spans="1:13" ht="15.75">
      <c r="A161" s="50"/>
      <c r="B161" s="50"/>
      <c r="C161" s="162" t="s">
        <v>128</v>
      </c>
      <c r="D161" s="50"/>
      <c r="E161" s="50"/>
      <c r="F161" s="50"/>
      <c r="G161" s="50"/>
      <c r="H161" s="50"/>
      <c r="I161" s="50"/>
      <c r="J161" s="50"/>
      <c r="K161" s="95"/>
      <c r="L161" s="27"/>
      <c r="M161" s="15"/>
    </row>
    <row r="162" spans="1:13">
      <c r="A162" s="50"/>
      <c r="B162" s="50"/>
      <c r="C162" s="50" t="s">
        <v>126</v>
      </c>
      <c r="D162" s="50"/>
      <c r="E162" s="32">
        <f t="shared" ref="E162:J162" si="28">E147-E157</f>
        <v>887.39199999999983</v>
      </c>
      <c r="F162" s="32">
        <f t="shared" si="28"/>
        <v>937.76979470528522</v>
      </c>
      <c r="G162" s="32">
        <f t="shared" si="28"/>
        <v>683.970413080247</v>
      </c>
      <c r="H162" s="32">
        <f t="shared" si="28"/>
        <v>459.52587442798358</v>
      </c>
      <c r="I162" s="32">
        <f t="shared" si="28"/>
        <v>313.56088567294773</v>
      </c>
      <c r="J162" s="32">
        <f t="shared" si="28"/>
        <v>312.05617777740827</v>
      </c>
      <c r="K162" s="95"/>
      <c r="L162" s="50"/>
      <c r="M162" s="15"/>
    </row>
    <row r="163" spans="1:13">
      <c r="A163" s="50"/>
      <c r="B163" s="50"/>
      <c r="C163" s="50"/>
      <c r="D163" s="50"/>
      <c r="E163" s="50"/>
      <c r="F163" s="50"/>
      <c r="G163" s="50"/>
      <c r="H163" s="50"/>
      <c r="I163" s="50"/>
      <c r="J163" s="50"/>
      <c r="K163" s="95"/>
      <c r="L163" s="50"/>
      <c r="M163" s="15"/>
    </row>
    <row r="164" spans="1:13" ht="15.75">
      <c r="A164" s="50"/>
      <c r="B164" s="50"/>
      <c r="C164" s="162" t="s">
        <v>47</v>
      </c>
      <c r="D164" s="50"/>
      <c r="E164" s="50"/>
      <c r="F164" s="50"/>
      <c r="G164" s="50"/>
      <c r="H164" s="50"/>
      <c r="I164" s="50"/>
      <c r="J164" s="50"/>
      <c r="K164" s="95"/>
      <c r="L164" s="50"/>
      <c r="M164" s="15"/>
    </row>
    <row r="165" spans="1:13">
      <c r="A165" s="50"/>
      <c r="B165" s="50"/>
      <c r="C165" s="50" t="s">
        <v>151</v>
      </c>
      <c r="D165" s="50"/>
      <c r="E165" s="193">
        <v>0</v>
      </c>
      <c r="F165" s="31">
        <f>E168</f>
        <v>-690.38258840964284</v>
      </c>
      <c r="G165" s="31">
        <f>F168</f>
        <v>-1365.6518384076999</v>
      </c>
      <c r="H165" s="31">
        <f>G168</f>
        <v>-2066.9669652608973</v>
      </c>
      <c r="I165" s="31">
        <f>H168</f>
        <v>-2831.1265629367285</v>
      </c>
      <c r="J165" s="31">
        <f>I168</f>
        <v>-3636.1563574639699</v>
      </c>
      <c r="K165" s="95"/>
      <c r="L165" s="50"/>
      <c r="M165" s="15"/>
    </row>
    <row r="166" spans="1:13">
      <c r="A166" s="50"/>
      <c r="B166" s="50"/>
      <c r="C166" s="50" t="s">
        <v>126</v>
      </c>
      <c r="D166" s="50"/>
      <c r="E166" s="32">
        <f t="shared" ref="E166:J166" si="29">E162</f>
        <v>887.39199999999983</v>
      </c>
      <c r="F166" s="32">
        <f t="shared" si="29"/>
        <v>937.76979470528522</v>
      </c>
      <c r="G166" s="32">
        <f t="shared" si="29"/>
        <v>683.970413080247</v>
      </c>
      <c r="H166" s="32">
        <f t="shared" si="29"/>
        <v>459.52587442798358</v>
      </c>
      <c r="I166" s="32">
        <f t="shared" si="29"/>
        <v>313.56088567294773</v>
      </c>
      <c r="J166" s="32">
        <f t="shared" si="29"/>
        <v>312.05617777740827</v>
      </c>
      <c r="K166" s="95"/>
      <c r="L166" s="50"/>
      <c r="M166" s="15"/>
    </row>
    <row r="167" spans="1:13">
      <c r="A167" s="50"/>
      <c r="B167" s="50"/>
      <c r="C167" s="50" t="s">
        <v>48</v>
      </c>
      <c r="D167" s="50"/>
      <c r="E167" s="129">
        <f>(E11-E18)/E19</f>
        <v>3188.6672946988092</v>
      </c>
      <c r="F167" s="32">
        <f>E167</f>
        <v>3188.6672946988092</v>
      </c>
      <c r="G167" s="32">
        <f>F167</f>
        <v>3188.6672946988092</v>
      </c>
      <c r="H167" s="32">
        <f>G167</f>
        <v>3188.6672946988092</v>
      </c>
      <c r="I167" s="32">
        <f>H167</f>
        <v>3188.6672946988092</v>
      </c>
      <c r="J167" s="32">
        <f>I167</f>
        <v>3188.6672946988092</v>
      </c>
      <c r="K167" s="95"/>
      <c r="L167" s="50"/>
      <c r="M167" s="15"/>
    </row>
    <row r="168" spans="1:13">
      <c r="A168" s="50"/>
      <c r="B168" s="50"/>
      <c r="C168" s="50" t="s">
        <v>152</v>
      </c>
      <c r="D168" s="50"/>
      <c r="E168" s="31">
        <f t="shared" ref="E168:J168" si="30">E165+(E166-E167)*E53</f>
        <v>-690.38258840964284</v>
      </c>
      <c r="F168" s="31">
        <f t="shared" si="30"/>
        <v>-1365.6518384076999</v>
      </c>
      <c r="G168" s="31">
        <f t="shared" si="30"/>
        <v>-2066.9669652608973</v>
      </c>
      <c r="H168" s="31">
        <f t="shared" si="30"/>
        <v>-2831.1265629367285</v>
      </c>
      <c r="I168" s="31">
        <f t="shared" si="30"/>
        <v>-3636.1563574639699</v>
      </c>
      <c r="J168" s="31">
        <f t="shared" si="30"/>
        <v>-4441.6074702019623</v>
      </c>
      <c r="K168" s="95"/>
      <c r="L168" s="50"/>
      <c r="M168" s="15"/>
    </row>
    <row r="169" spans="1:13">
      <c r="A169" s="50"/>
      <c r="B169" s="50"/>
      <c r="C169" s="50"/>
      <c r="D169" s="50"/>
      <c r="E169" s="31"/>
      <c r="F169" s="31"/>
      <c r="G169" s="31"/>
      <c r="H169" s="31"/>
      <c r="I169" s="31"/>
      <c r="J169" s="31"/>
      <c r="K169" s="95"/>
      <c r="L169" s="27"/>
      <c r="M169" s="15"/>
    </row>
    <row r="170" spans="1:13" ht="15.75">
      <c r="A170" s="50"/>
      <c r="B170" s="50"/>
      <c r="C170" s="162" t="s">
        <v>196</v>
      </c>
      <c r="D170" s="50"/>
      <c r="E170" s="50"/>
      <c r="F170" s="50"/>
      <c r="G170" s="50"/>
      <c r="H170" s="50"/>
      <c r="I170" s="50"/>
      <c r="J170" s="50"/>
      <c r="K170" s="95"/>
      <c r="L170" s="27"/>
      <c r="M170" s="15"/>
    </row>
    <row r="171" spans="1:13">
      <c r="A171" s="50"/>
      <c r="B171" s="50"/>
      <c r="C171" s="50" t="s">
        <v>106</v>
      </c>
      <c r="D171" s="50"/>
      <c r="E171" s="32">
        <f t="shared" ref="E171:J171" si="31">E143+E165</f>
        <v>99283.174584512322</v>
      </c>
      <c r="F171" s="32">
        <f t="shared" si="31"/>
        <v>99386.314563252075</v>
      </c>
      <c r="G171" s="32">
        <f t="shared" si="31"/>
        <v>103018.76589535238</v>
      </c>
      <c r="H171" s="32">
        <f t="shared" si="31"/>
        <v>107130.14763919612</v>
      </c>
      <c r="I171" s="32">
        <f t="shared" si="31"/>
        <v>110485.28311060731</v>
      </c>
      <c r="J171" s="32">
        <f t="shared" si="31"/>
        <v>112248.60585699121</v>
      </c>
      <c r="K171" s="95"/>
      <c r="L171" s="50"/>
      <c r="M171" s="15"/>
    </row>
    <row r="172" spans="1:13">
      <c r="A172" s="50"/>
      <c r="B172" s="50"/>
      <c r="C172" s="50" t="s">
        <v>98</v>
      </c>
      <c r="D172" s="50"/>
      <c r="E172" s="32">
        <f t="shared" ref="E172:J172" si="32">E29</f>
        <v>2605.6147400000004</v>
      </c>
      <c r="F172" s="32">
        <f t="shared" si="32"/>
        <v>5968.5635313681105</v>
      </c>
      <c r="G172" s="32">
        <f t="shared" si="32"/>
        <v>6120.5089735613219</v>
      </c>
      <c r="H172" s="32">
        <f t="shared" si="32"/>
        <v>5697.1859676173417</v>
      </c>
      <c r="I172" s="32">
        <f t="shared" si="32"/>
        <v>4435.3833643667494</v>
      </c>
      <c r="J172" s="32">
        <f t="shared" si="32"/>
        <v>4705.4786175702502</v>
      </c>
      <c r="K172" s="95"/>
      <c r="L172" s="50"/>
      <c r="M172" s="15"/>
    </row>
    <row r="173" spans="1:13">
      <c r="A173" s="50"/>
      <c r="B173" s="50"/>
      <c r="C173" s="50" t="s">
        <v>111</v>
      </c>
      <c r="D173" s="50"/>
      <c r="E173" s="96">
        <f t="shared" ref="E173:J173" si="33">E152</f>
        <v>0</v>
      </c>
      <c r="F173" s="96">
        <f t="shared" si="33"/>
        <v>0</v>
      </c>
      <c r="G173" s="96">
        <f t="shared" si="33"/>
        <v>0</v>
      </c>
      <c r="H173" s="96">
        <f t="shared" si="33"/>
        <v>0</v>
      </c>
      <c r="I173" s="96">
        <f t="shared" si="33"/>
        <v>0</v>
      </c>
      <c r="J173" s="96">
        <f t="shared" si="33"/>
        <v>0</v>
      </c>
      <c r="K173" s="95"/>
      <c r="L173" s="50"/>
      <c r="M173" s="15"/>
    </row>
    <row r="174" spans="1:13">
      <c r="A174" s="50"/>
      <c r="B174" s="50"/>
      <c r="C174" s="50" t="s">
        <v>44</v>
      </c>
      <c r="D174" s="50"/>
      <c r="E174" s="96">
        <f t="shared" ref="E174:J174" si="34">E144</f>
        <v>1708.0935058673035</v>
      </c>
      <c r="F174" s="96">
        <f t="shared" si="34"/>
        <v>1979.3360333319654</v>
      </c>
      <c r="G174" s="96">
        <f t="shared" si="34"/>
        <v>2536.533630910415</v>
      </c>
      <c r="H174" s="96">
        <f t="shared" si="34"/>
        <v>2495.9536251901891</v>
      </c>
      <c r="I174" s="96">
        <f t="shared" si="34"/>
        <v>2426.5837670631172</v>
      </c>
      <c r="J174" s="96">
        <f t="shared" si="34"/>
        <v>2314.2722880870087</v>
      </c>
      <c r="K174" s="95"/>
      <c r="L174" s="50"/>
      <c r="M174" s="15"/>
    </row>
    <row r="175" spans="1:13">
      <c r="A175" s="50"/>
      <c r="B175" s="50"/>
      <c r="C175" s="50" t="s">
        <v>196</v>
      </c>
      <c r="D175" s="50"/>
      <c r="E175" s="32">
        <f t="shared" ref="E175:J175" si="35">E171*WACC+E172*($D$48-1)+E173-E174</f>
        <v>7110.583296773495</v>
      </c>
      <c r="F175" s="32">
        <f t="shared" si="35"/>
        <v>6992.3488522822117</v>
      </c>
      <c r="G175" s="32">
        <f t="shared" si="35"/>
        <v>6760.2217890829452</v>
      </c>
      <c r="H175" s="32">
        <f t="shared" si="35"/>
        <v>7143.2481617264757</v>
      </c>
      <c r="I175" s="32">
        <f t="shared" si="35"/>
        <v>7452.847556409497</v>
      </c>
      <c r="J175" s="32">
        <f t="shared" si="35"/>
        <v>7731.3648059431953</v>
      </c>
      <c r="K175" s="95"/>
      <c r="L175" s="50"/>
      <c r="M175" s="15"/>
    </row>
    <row r="176" spans="1:13">
      <c r="A176" s="50"/>
      <c r="B176" s="50"/>
      <c r="C176" s="50"/>
      <c r="D176" s="50"/>
      <c r="E176" s="31"/>
      <c r="F176" s="31"/>
      <c r="G176" s="31"/>
      <c r="H176" s="31"/>
      <c r="I176" s="31"/>
      <c r="J176" s="31"/>
      <c r="K176" s="95"/>
      <c r="L176" s="27"/>
      <c r="M176" s="15"/>
    </row>
    <row r="177" spans="1:13" ht="15.75">
      <c r="A177" s="50"/>
      <c r="B177" s="50"/>
      <c r="C177" s="162" t="s">
        <v>49</v>
      </c>
      <c r="D177" s="50"/>
      <c r="E177" s="50"/>
      <c r="F177" s="50"/>
      <c r="G177" s="50"/>
      <c r="H177" s="50"/>
      <c r="I177" s="50"/>
      <c r="J177" s="50"/>
      <c r="K177" s="95"/>
      <c r="L177" s="27"/>
      <c r="M177" s="15"/>
    </row>
    <row r="178" spans="1:13">
      <c r="A178" s="50"/>
      <c r="B178" s="50"/>
      <c r="C178" s="50" t="s">
        <v>50</v>
      </c>
      <c r="D178" s="50"/>
      <c r="E178" s="31">
        <f t="shared" ref="E178:J178" si="36">E171*Leverage*Debt+E152</f>
        <v>3464.1885276028042</v>
      </c>
      <c r="F178" s="31">
        <f t="shared" si="36"/>
        <v>3467.7872877409914</v>
      </c>
      <c r="G178" s="31">
        <f t="shared" si="36"/>
        <v>3594.5307796206348</v>
      </c>
      <c r="H178" s="31">
        <f t="shared" si="36"/>
        <v>3737.9851114268308</v>
      </c>
      <c r="I178" s="31">
        <f t="shared" si="36"/>
        <v>3855.0524982953102</v>
      </c>
      <c r="J178" s="31">
        <f t="shared" si="36"/>
        <v>3916.5783555621369</v>
      </c>
      <c r="K178" s="95"/>
      <c r="L178" s="50"/>
      <c r="M178" s="15"/>
    </row>
    <row r="179" spans="1:13">
      <c r="A179" s="50"/>
      <c r="B179" s="50"/>
      <c r="C179" s="50" t="s">
        <v>51</v>
      </c>
      <c r="D179" s="50"/>
      <c r="E179" s="31">
        <f t="shared" ref="E179:J179" si="37">E145-E147</f>
        <v>0</v>
      </c>
      <c r="F179" s="31">
        <f t="shared" si="37"/>
        <v>61.473003000000972</v>
      </c>
      <c r="G179" s="31">
        <f t="shared" si="37"/>
        <v>134.61323581804982</v>
      </c>
      <c r="H179" s="31">
        <f t="shared" si="37"/>
        <v>229.66723116655294</v>
      </c>
      <c r="I179" s="31">
        <f t="shared" si="37"/>
        <v>324.57284090304847</v>
      </c>
      <c r="J179" s="31">
        <f t="shared" si="37"/>
        <v>418.43805116385693</v>
      </c>
      <c r="K179" s="95"/>
      <c r="L179" s="50"/>
      <c r="M179" s="15"/>
    </row>
    <row r="180" spans="1:13">
      <c r="A180" s="50"/>
      <c r="B180" s="50"/>
      <c r="C180" s="50" t="s">
        <v>52</v>
      </c>
      <c r="D180" s="50"/>
      <c r="E180" s="31">
        <f t="shared" ref="E180:J180" si="38">E167+E179-E178</f>
        <v>-275.52123290399504</v>
      </c>
      <c r="F180" s="31">
        <f t="shared" si="38"/>
        <v>-217.64699004218119</v>
      </c>
      <c r="G180" s="31">
        <f t="shared" si="38"/>
        <v>-271.25024910377579</v>
      </c>
      <c r="H180" s="31">
        <f t="shared" si="38"/>
        <v>-319.65058556146869</v>
      </c>
      <c r="I180" s="31">
        <f t="shared" si="38"/>
        <v>-341.81236269345254</v>
      </c>
      <c r="J180" s="31">
        <f t="shared" si="38"/>
        <v>-309.47300969947082</v>
      </c>
      <c r="K180" s="95"/>
      <c r="L180" s="50"/>
      <c r="M180" s="15"/>
    </row>
    <row r="181" spans="1:13">
      <c r="A181" s="50"/>
      <c r="B181" s="50"/>
      <c r="C181" s="50"/>
      <c r="D181" s="50"/>
      <c r="E181" s="50"/>
      <c r="F181" s="167"/>
      <c r="G181" s="32"/>
      <c r="H181" s="32"/>
      <c r="I181" s="32"/>
      <c r="J181" s="32"/>
      <c r="K181" s="95"/>
      <c r="L181" s="50"/>
      <c r="M181" s="15"/>
    </row>
    <row r="182" spans="1:13" ht="15.75">
      <c r="A182" s="50"/>
      <c r="B182" s="50"/>
      <c r="C182" s="162" t="s">
        <v>107</v>
      </c>
      <c r="D182" s="50"/>
      <c r="E182" s="50"/>
      <c r="F182" s="167"/>
      <c r="G182" s="32"/>
      <c r="H182" s="32"/>
      <c r="I182" s="32"/>
      <c r="J182" s="32"/>
      <c r="K182" s="95"/>
      <c r="L182" s="27"/>
      <c r="M182" s="15"/>
    </row>
    <row r="183" spans="1:13">
      <c r="A183" s="50"/>
      <c r="B183" s="50"/>
      <c r="C183" s="50" t="s">
        <v>153</v>
      </c>
      <c r="D183" s="50"/>
      <c r="E183" s="32">
        <f t="shared" ref="E183:J183" si="39">E145</f>
        <v>3449</v>
      </c>
      <c r="F183" s="32">
        <f t="shared" si="39"/>
        <v>3565.8136336402422</v>
      </c>
      <c r="G183" s="32">
        <f t="shared" si="39"/>
        <v>3768.812342683048</v>
      </c>
      <c r="H183" s="32">
        <f t="shared" si="39"/>
        <v>3996.9484168100944</v>
      </c>
      <c r="I183" s="32">
        <f t="shared" si="39"/>
        <v>4215.3557677896379</v>
      </c>
      <c r="J183" s="32">
        <f t="shared" si="39"/>
        <v>4404.4949420704697</v>
      </c>
      <c r="K183" s="95"/>
      <c r="L183" s="50"/>
      <c r="M183" s="15"/>
    </row>
    <row r="184" spans="1:13">
      <c r="A184" s="50"/>
      <c r="B184" s="50"/>
      <c r="C184" s="50" t="s">
        <v>107</v>
      </c>
      <c r="D184" s="50"/>
      <c r="E184" s="96">
        <f t="shared" ref="E184:J184" si="40">E183</f>
        <v>3449</v>
      </c>
      <c r="F184" s="96">
        <f t="shared" si="40"/>
        <v>3565.8136336402422</v>
      </c>
      <c r="G184" s="96">
        <f t="shared" si="40"/>
        <v>3768.812342683048</v>
      </c>
      <c r="H184" s="96">
        <f t="shared" si="40"/>
        <v>3996.9484168100944</v>
      </c>
      <c r="I184" s="96">
        <f t="shared" si="40"/>
        <v>4215.3557677896379</v>
      </c>
      <c r="J184" s="96">
        <f t="shared" si="40"/>
        <v>4404.4949420704697</v>
      </c>
      <c r="K184" s="95"/>
      <c r="L184" s="50"/>
      <c r="M184" s="15"/>
    </row>
    <row r="185" spans="1:13">
      <c r="A185" s="50"/>
      <c r="B185" s="50"/>
      <c r="C185" s="50"/>
      <c r="D185" s="50"/>
      <c r="E185" s="50"/>
      <c r="F185" s="96"/>
      <c r="G185" s="96"/>
      <c r="H185" s="96"/>
      <c r="I185" s="96"/>
      <c r="J185" s="96"/>
      <c r="K185" s="95"/>
      <c r="L185" s="50"/>
      <c r="M185" s="15"/>
    </row>
    <row r="186" spans="1:13" ht="15.75">
      <c r="A186" s="50"/>
      <c r="B186" s="50"/>
      <c r="C186" s="121" t="s">
        <v>122</v>
      </c>
      <c r="D186" s="50"/>
      <c r="E186" s="50"/>
      <c r="F186" s="96"/>
      <c r="G186" s="96"/>
      <c r="H186" s="96"/>
      <c r="I186" s="96"/>
      <c r="J186" s="96"/>
      <c r="K186" s="95"/>
      <c r="L186" s="27"/>
      <c r="M186" s="15"/>
    </row>
    <row r="187" spans="1:13">
      <c r="A187" s="50"/>
      <c r="B187" s="50"/>
      <c r="C187" s="50" t="s">
        <v>122</v>
      </c>
      <c r="D187" s="50"/>
      <c r="E187" s="32">
        <f t="shared" ref="E187:J187" si="41">E43</f>
        <v>103.27388907865001</v>
      </c>
      <c r="F187" s="32">
        <f t="shared" si="41"/>
        <v>107.88685221889965</v>
      </c>
      <c r="G187" s="32">
        <f t="shared" si="41"/>
        <v>109.58141010715462</v>
      </c>
      <c r="H187" s="32">
        <f t="shared" si="41"/>
        <v>111.55839431011874</v>
      </c>
      <c r="I187" s="32">
        <f t="shared" si="41"/>
        <v>113.53537851308289</v>
      </c>
      <c r="J187" s="32">
        <f t="shared" si="41"/>
        <v>116.17135745036839</v>
      </c>
      <c r="K187" s="95"/>
      <c r="L187" s="125"/>
      <c r="M187" s="15"/>
    </row>
    <row r="188" spans="1:13">
      <c r="A188" s="50"/>
      <c r="B188" s="50"/>
      <c r="C188" s="50"/>
      <c r="D188" s="50"/>
      <c r="E188" s="50"/>
      <c r="F188" s="96"/>
      <c r="G188" s="96"/>
      <c r="H188" s="96"/>
      <c r="I188" s="96"/>
      <c r="J188" s="96"/>
      <c r="K188" s="95"/>
      <c r="L188" s="27"/>
      <c r="M188" s="15"/>
    </row>
    <row r="189" spans="1:13" ht="15.75">
      <c r="A189" s="50"/>
      <c r="B189" s="50"/>
      <c r="C189" s="162" t="s">
        <v>179</v>
      </c>
      <c r="D189" s="50"/>
      <c r="E189" s="32">
        <f t="shared" ref="E189:J189" si="42">E28</f>
        <v>6609.8113000000012</v>
      </c>
      <c r="F189" s="32">
        <f t="shared" si="42"/>
        <v>6783.5902802359678</v>
      </c>
      <c r="G189" s="32">
        <f t="shared" si="42"/>
        <v>7006.3823264072134</v>
      </c>
      <c r="H189" s="32">
        <f t="shared" si="42"/>
        <v>7146.6784158777782</v>
      </c>
      <c r="I189" s="32">
        <f t="shared" si="42"/>
        <v>7305.8687503434257</v>
      </c>
      <c r="J189" s="32">
        <f t="shared" si="42"/>
        <v>7485.1735837006108</v>
      </c>
      <c r="K189" s="95"/>
      <c r="L189" s="125"/>
      <c r="M189" s="15"/>
    </row>
    <row r="190" spans="1:13">
      <c r="A190" s="50"/>
      <c r="B190" s="50"/>
      <c r="C190" s="50" t="s">
        <v>180</v>
      </c>
      <c r="D190" s="50"/>
      <c r="E190" s="32">
        <f t="shared" ref="E190:J190" si="43">E189*$D$46</f>
        <v>6892.7672370271112</v>
      </c>
      <c r="F190" s="32">
        <f t="shared" si="43"/>
        <v>7073.9854302687936</v>
      </c>
      <c r="G190" s="32">
        <f t="shared" si="43"/>
        <v>7306.3148640181944</v>
      </c>
      <c r="H190" s="32">
        <f t="shared" si="43"/>
        <v>7452.6168150263475</v>
      </c>
      <c r="I190" s="32">
        <f t="shared" si="43"/>
        <v>7618.6218448304817</v>
      </c>
      <c r="J190" s="32">
        <f t="shared" si="43"/>
        <v>7805.6024445345929</v>
      </c>
      <c r="K190" s="95"/>
      <c r="L190" s="125"/>
      <c r="M190" s="15"/>
    </row>
    <row r="191" spans="1:13">
      <c r="A191" s="50"/>
      <c r="B191" s="50"/>
      <c r="C191" s="50"/>
      <c r="D191" s="50"/>
      <c r="E191" s="50"/>
      <c r="F191" s="96"/>
      <c r="G191" s="32"/>
      <c r="H191" s="32"/>
      <c r="I191" s="32"/>
      <c r="J191" s="32"/>
      <c r="K191" s="95"/>
      <c r="L191" s="27"/>
      <c r="M191" s="15"/>
    </row>
    <row r="192" spans="1:13" ht="15.75">
      <c r="A192" s="50"/>
      <c r="B192" s="50"/>
      <c r="C192" s="162" t="s">
        <v>229</v>
      </c>
      <c r="D192" s="50"/>
      <c r="E192" s="50"/>
      <c r="F192" s="50"/>
      <c r="G192" s="50"/>
      <c r="H192" s="50"/>
      <c r="I192" s="50"/>
      <c r="J192" s="50"/>
      <c r="K192" s="95"/>
      <c r="L192" s="125"/>
      <c r="M192" s="15"/>
    </row>
    <row r="193" spans="1:15">
      <c r="A193" s="50"/>
      <c r="B193" s="50"/>
      <c r="C193" s="50" t="s">
        <v>169</v>
      </c>
      <c r="D193" s="50"/>
      <c r="E193" s="31">
        <f t="shared" ref="E193:J193" si="44">E168-E165</f>
        <v>-690.38258840964284</v>
      </c>
      <c r="F193" s="31">
        <f t="shared" si="44"/>
        <v>-675.26924999805703</v>
      </c>
      <c r="G193" s="31">
        <f t="shared" si="44"/>
        <v>-701.3151268531974</v>
      </c>
      <c r="H193" s="31">
        <f t="shared" si="44"/>
        <v>-764.15959767583126</v>
      </c>
      <c r="I193" s="31">
        <f t="shared" si="44"/>
        <v>-805.02979452724139</v>
      </c>
      <c r="J193" s="31">
        <f t="shared" si="44"/>
        <v>-805.45111273799239</v>
      </c>
      <c r="K193" s="95"/>
      <c r="L193" s="125"/>
      <c r="M193" s="15"/>
    </row>
    <row r="194" spans="1:15">
      <c r="A194" s="50"/>
      <c r="B194" s="50"/>
      <c r="C194" s="50" t="s">
        <v>170</v>
      </c>
      <c r="D194" s="50"/>
      <c r="E194" s="50"/>
      <c r="F194" s="31">
        <f>(F175+F184+F190+((F187-F189-F145-F152+F180)*F53+F193)*$D47-F193-F187*$D49)/($D50-F53*$D47)</f>
        <v>19698.027783626163</v>
      </c>
      <c r="G194" s="31">
        <f>(G175+G184+G190+((G187-G189-G145-G152+G180)*G53+G193)*$D47-G193-G187*$D49)/($D50-G53*$D47)</f>
        <v>19520.496923305567</v>
      </c>
      <c r="H194" s="31">
        <f>(H175+H184+H190+((H187-H189-H145-H152+H180)*H53+H193)*$D47-H193-H187*$D49)/($D50-H53*$D47)</f>
        <v>20370.894843404287</v>
      </c>
      <c r="I194" s="31">
        <f>(I175+I184+I190+((I187-I189-I145-I152+I180)*I53+I193)*$D47-I193-I187*$D49)/($D50-I53*$D47)</f>
        <v>21143.835148425296</v>
      </c>
      <c r="J194" s="31">
        <f>(J175+J184+J190+((J187-J189-J145-J152+J180)*J53+J193)*$D47-J193-J187*$D49)/($D50-J53*$D47)</f>
        <v>21890.449933260657</v>
      </c>
      <c r="K194" s="95"/>
      <c r="L194" s="125"/>
      <c r="M194" s="15"/>
    </row>
    <row r="195" spans="1:15">
      <c r="A195" s="50"/>
      <c r="B195" s="50"/>
      <c r="C195" s="50" t="s">
        <v>177</v>
      </c>
      <c r="D195" s="50"/>
      <c r="E195" s="50"/>
      <c r="F195" s="31">
        <f>(F194+F187-F189-F183-F152+F180)*F53</f>
        <v>2771.6591195780015</v>
      </c>
      <c r="G195" s="31">
        <f>(G194+G187-G189-G183-G152+G180)*G53</f>
        <v>2403.4173562612323</v>
      </c>
      <c r="H195" s="31">
        <f>(H194+H187-H189-H183-H152+H180)*H53</f>
        <v>2525.3692294502189</v>
      </c>
      <c r="I195" s="31">
        <f>(I194+I187-I189-I183-I152+I180)*I53</f>
        <v>2630.4134209113213</v>
      </c>
      <c r="J195" s="31">
        <f>(J194+J187-J189-J183-J152+J180)*J53</f>
        <v>2746.0943314673332</v>
      </c>
      <c r="K195" s="95"/>
      <c r="L195" s="125"/>
      <c r="M195" s="15"/>
    </row>
    <row r="196" spans="1:15">
      <c r="A196" s="50"/>
      <c r="B196" s="50"/>
      <c r="C196" s="50" t="s">
        <v>162</v>
      </c>
      <c r="D196" s="50"/>
      <c r="E196" s="50"/>
      <c r="F196" s="31">
        <f>IF(F195&lt;0,#N/A,F195)</f>
        <v>2771.6591195780015</v>
      </c>
      <c r="G196" s="31">
        <f>IF(G195&lt;0,#N/A,G195)</f>
        <v>2403.4173562612323</v>
      </c>
      <c r="H196" s="31">
        <f>IF(H195&lt;0,#N/A,H195)</f>
        <v>2525.3692294502189</v>
      </c>
      <c r="I196" s="31">
        <f>IF(I195&lt;0,#N/A,I195)</f>
        <v>2630.4134209113213</v>
      </c>
      <c r="J196" s="31">
        <f>IF(J195&lt;0,#N/A,J195)</f>
        <v>2746.0943314673332</v>
      </c>
      <c r="K196" s="95"/>
      <c r="L196" s="50"/>
      <c r="M196" s="15"/>
    </row>
    <row r="197" spans="1:15">
      <c r="A197" s="50"/>
      <c r="B197" s="50"/>
      <c r="C197" s="50" t="s">
        <v>171</v>
      </c>
      <c r="D197" s="50"/>
      <c r="E197" s="50"/>
      <c r="F197" s="31">
        <f>F175+F184+F190+(F196+F193)*$D$47-F193-F187*$D$49</f>
        <v>20381.044963823369</v>
      </c>
      <c r="G197" s="31">
        <f>G175+G184+G190+(G196+G193)*$D$47-G193-G187*$D$49</f>
        <v>20197.358328470567</v>
      </c>
      <c r="H197" s="31">
        <f>H175+H184+H190+(H196+H193)*$D$47-H193-H187*$D$49</f>
        <v>21077.243281271829</v>
      </c>
      <c r="I197" s="31">
        <f>I175+I184+I190+(I196+I193)*$D$47-I193-I187*$D$49</f>
        <v>21876.984823116909</v>
      </c>
      <c r="J197" s="31">
        <f>J175+J184+J190+(J196+J193)*$D$47-J193-J187*$D$49</f>
        <v>22649.4880233121</v>
      </c>
      <c r="K197" s="95"/>
      <c r="L197" s="27"/>
      <c r="M197" s="15"/>
    </row>
    <row r="198" spans="1:15">
      <c r="A198" s="50"/>
      <c r="B198" s="50"/>
      <c r="C198" s="50" t="s">
        <v>172</v>
      </c>
      <c r="D198" s="50"/>
      <c r="E198" s="50"/>
      <c r="F198" s="31">
        <f>F197/$D$50</f>
        <v>19698.027783626163</v>
      </c>
      <c r="G198" s="31">
        <f>G197/$D$50</f>
        <v>19520.496923305567</v>
      </c>
      <c r="H198" s="31">
        <f>H197/$D$50</f>
        <v>20370.894843404287</v>
      </c>
      <c r="I198" s="31">
        <f>I197/$D$50</f>
        <v>21143.835148425289</v>
      </c>
      <c r="J198" s="31">
        <f>J197/$D$50</f>
        <v>21890.449933260661</v>
      </c>
      <c r="K198" s="95"/>
      <c r="L198" s="50"/>
      <c r="M198" s="15"/>
    </row>
    <row r="199" spans="1:15">
      <c r="A199" s="50"/>
      <c r="B199" s="50"/>
      <c r="C199" s="50" t="s">
        <v>173</v>
      </c>
      <c r="D199" s="50"/>
      <c r="E199" s="50"/>
      <c r="F199" s="31">
        <f>F194-F198</f>
        <v>0</v>
      </c>
      <c r="G199" s="31">
        <f>G194-G198</f>
        <v>0</v>
      </c>
      <c r="H199" s="31">
        <f>H194-H198</f>
        <v>0</v>
      </c>
      <c r="I199" s="31">
        <f>I194-I198</f>
        <v>0</v>
      </c>
      <c r="J199" s="31">
        <f>J194-J198</f>
        <v>0</v>
      </c>
      <c r="K199" s="95"/>
      <c r="L199" s="27"/>
      <c r="M199" s="15"/>
    </row>
    <row r="200" spans="1:15">
      <c r="A200" s="50"/>
      <c r="B200" s="50"/>
      <c r="C200" s="50"/>
      <c r="D200" s="50"/>
      <c r="E200" s="50"/>
      <c r="F200" s="50"/>
      <c r="G200" s="50"/>
      <c r="H200" s="50"/>
      <c r="I200" s="50"/>
      <c r="J200" s="50"/>
      <c r="K200" s="50"/>
      <c r="L200" s="50"/>
      <c r="M200" s="15"/>
    </row>
    <row r="201" spans="1:15" ht="15.75">
      <c r="A201" s="50"/>
      <c r="B201" s="50"/>
      <c r="C201" s="162" t="s">
        <v>174</v>
      </c>
      <c r="D201" s="50"/>
      <c r="E201" s="50"/>
      <c r="F201" s="31"/>
      <c r="G201" s="31"/>
      <c r="H201" s="31"/>
      <c r="I201" s="31"/>
      <c r="J201" s="50"/>
      <c r="K201" s="95"/>
      <c r="L201" s="27"/>
      <c r="M201" s="15"/>
    </row>
    <row r="202" spans="1:15">
      <c r="A202" s="50"/>
      <c r="B202" s="50"/>
      <c r="C202" s="95" t="s">
        <v>103</v>
      </c>
      <c r="D202" s="50"/>
      <c r="E202" s="50"/>
      <c r="F202" s="31"/>
      <c r="G202" s="31"/>
      <c r="H202" s="31"/>
      <c r="I202" s="31"/>
      <c r="J202" s="50"/>
      <c r="K202" s="95"/>
      <c r="L202" s="50"/>
      <c r="M202" s="15"/>
      <c r="O202" s="8"/>
    </row>
    <row r="203" spans="1:15">
      <c r="A203" s="50"/>
      <c r="B203" s="50"/>
      <c r="C203" s="50" t="s">
        <v>175</v>
      </c>
      <c r="D203" s="50"/>
      <c r="E203" s="50"/>
      <c r="F203" s="50"/>
      <c r="G203" s="50"/>
      <c r="H203" s="31">
        <v>1</v>
      </c>
      <c r="I203" s="31">
        <v>2</v>
      </c>
      <c r="J203" s="31">
        <v>3</v>
      </c>
      <c r="K203" s="95"/>
      <c r="L203" s="27"/>
      <c r="M203" s="15"/>
    </row>
    <row r="204" spans="1:15">
      <c r="A204" s="50"/>
      <c r="B204" s="50" t="s">
        <v>135</v>
      </c>
      <c r="C204" s="50" t="s">
        <v>136</v>
      </c>
      <c r="D204" s="50"/>
      <c r="E204" s="50"/>
      <c r="F204" s="31"/>
      <c r="G204" s="31"/>
      <c r="H204" s="31">
        <f>H197</f>
        <v>21077.243281271829</v>
      </c>
      <c r="I204" s="31">
        <f>I197</f>
        <v>21876.984823116909</v>
      </c>
      <c r="J204" s="31">
        <f>J197</f>
        <v>22649.4880233121</v>
      </c>
      <c r="K204" s="95"/>
      <c r="L204" s="50"/>
      <c r="M204" s="15"/>
    </row>
    <row r="205" spans="1:15">
      <c r="A205" s="50"/>
      <c r="B205" s="50" t="s">
        <v>135</v>
      </c>
      <c r="C205" s="50" t="s">
        <v>137</v>
      </c>
      <c r="D205" s="50"/>
      <c r="E205" s="50"/>
      <c r="F205" s="31"/>
      <c r="G205" s="31"/>
      <c r="H205" s="31">
        <f>H204/(1+WACC)^H$203</f>
        <v>19377.809397142439</v>
      </c>
      <c r="I205" s="31">
        <f>I204/(1+WACC)^I$203</f>
        <v>18491.375101846043</v>
      </c>
      <c r="J205" s="31">
        <f>J204/(1+WACC)^J$203</f>
        <v>17600.743095592443</v>
      </c>
      <c r="K205" s="95"/>
      <c r="L205" s="50"/>
      <c r="M205" s="15"/>
    </row>
    <row r="206" spans="1:15">
      <c r="A206" s="50"/>
      <c r="B206" s="50" t="s">
        <v>135</v>
      </c>
      <c r="C206" s="50" t="s">
        <v>101</v>
      </c>
      <c r="D206" s="31">
        <f>SUM(H205:J205)</f>
        <v>55469.927594580928</v>
      </c>
      <c r="E206" s="50"/>
      <c r="F206" s="31"/>
      <c r="G206" s="31"/>
      <c r="H206" s="31"/>
      <c r="I206" s="31"/>
      <c r="J206" s="31"/>
      <c r="K206" s="95"/>
      <c r="L206" s="50"/>
      <c r="M206" s="15"/>
    </row>
    <row r="207" spans="1:15">
      <c r="A207" s="50"/>
      <c r="B207" s="50"/>
      <c r="C207" s="50"/>
      <c r="D207" s="50"/>
      <c r="E207" s="50"/>
      <c r="F207" s="123"/>
      <c r="G207" s="50"/>
      <c r="H207" s="50"/>
      <c r="I207" s="50"/>
      <c r="J207" s="50"/>
      <c r="K207" s="95"/>
      <c r="L207" s="50"/>
      <c r="M207" s="15"/>
    </row>
    <row r="208" spans="1:15" ht="21">
      <c r="A208" s="50"/>
      <c r="B208" s="50"/>
      <c r="C208" s="155" t="s">
        <v>104</v>
      </c>
      <c r="D208" s="50"/>
      <c r="E208" s="50"/>
      <c r="F208" s="123"/>
      <c r="G208" s="50"/>
      <c r="H208" s="50"/>
      <c r="I208" s="50"/>
      <c r="J208" s="50"/>
      <c r="K208" s="95"/>
      <c r="L208" s="50"/>
      <c r="M208" s="15"/>
    </row>
    <row r="209" spans="1:13" ht="15.75">
      <c r="A209" s="50"/>
      <c r="B209" s="50"/>
      <c r="C209" s="50"/>
      <c r="D209" s="50"/>
      <c r="E209" s="162" t="str">
        <f>Inputs!D$11</f>
        <v>2009/10</v>
      </c>
      <c r="F209" s="168" t="str">
        <f>Inputs!E$11</f>
        <v>2010/11</v>
      </c>
      <c r="G209" s="162" t="str">
        <f>Inputs!F$11</f>
        <v>2011/12</v>
      </c>
      <c r="H209" s="162" t="str">
        <f>Inputs!G$11</f>
        <v>2012/13</v>
      </c>
      <c r="I209" s="162" t="str">
        <f>Inputs!H$11</f>
        <v>2013/14</v>
      </c>
      <c r="J209" s="162" t="str">
        <f>Inputs!I$11</f>
        <v>2014/15</v>
      </c>
      <c r="K209" s="95"/>
      <c r="L209" s="50"/>
      <c r="M209" s="15"/>
    </row>
    <row r="210" spans="1:13">
      <c r="A210" s="50"/>
      <c r="B210" s="50"/>
      <c r="C210" s="50" t="s">
        <v>53</v>
      </c>
      <c r="D210" s="32">
        <f>D206</f>
        <v>55469.927594580928</v>
      </c>
      <c r="E210" s="50"/>
      <c r="F210" s="169"/>
      <c r="G210" s="32"/>
      <c r="H210" s="32"/>
      <c r="I210" s="32"/>
      <c r="J210" s="32"/>
      <c r="K210" s="95"/>
      <c r="L210" s="50"/>
      <c r="M210" s="15"/>
    </row>
    <row r="211" spans="1:13">
      <c r="A211" s="50"/>
      <c r="B211" s="50"/>
      <c r="C211" s="50" t="s">
        <v>143</v>
      </c>
      <c r="D211" s="50"/>
      <c r="E211" s="50"/>
      <c r="F211" s="113"/>
      <c r="G211" s="113"/>
      <c r="H211" s="170">
        <v>1</v>
      </c>
      <c r="I211" s="113">
        <f>H211*(1+I$35)*(1+I$30)*(1-X_industry_wide)</f>
        <v>1.0231054126667753</v>
      </c>
      <c r="J211" s="113">
        <f>I211*(1+J$35)*(1+J$30)*(1-X_industry_wide)</f>
        <v>1.045113492085872</v>
      </c>
      <c r="K211" s="95"/>
      <c r="L211" s="50" t="s">
        <v>290</v>
      </c>
    </row>
    <row r="212" spans="1:13">
      <c r="A212" s="50"/>
      <c r="B212" s="50"/>
      <c r="C212" s="50" t="s">
        <v>102</v>
      </c>
      <c r="D212" s="50"/>
      <c r="E212" s="50"/>
      <c r="F212" s="171"/>
      <c r="G212" s="113"/>
      <c r="H212" s="113">
        <f>H211/(1+WACC)^H$203</f>
        <v>0.91937115013330895</v>
      </c>
      <c r="I212" s="113">
        <f>I211/(1+WACC)^I$203</f>
        <v>0.86477300721804451</v>
      </c>
      <c r="J212" s="113">
        <f>J211/(1+WACC)^J$203</f>
        <v>0.81214966364837937</v>
      </c>
      <c r="K212" s="95"/>
      <c r="L212" s="50" t="s">
        <v>165</v>
      </c>
    </row>
    <row r="213" spans="1:13">
      <c r="A213" s="50"/>
      <c r="B213" s="50"/>
      <c r="C213" s="50" t="s">
        <v>91</v>
      </c>
      <c r="D213" s="113">
        <f>SUM(H212:J212)</f>
        <v>2.5962938209997328</v>
      </c>
      <c r="E213" s="50"/>
      <c r="F213" s="171"/>
      <c r="G213" s="113"/>
      <c r="H213" s="113"/>
      <c r="I213" s="113"/>
      <c r="J213" s="113"/>
      <c r="K213" s="95"/>
      <c r="L213" s="50" t="s">
        <v>279</v>
      </c>
    </row>
    <row r="214" spans="1:13">
      <c r="A214" s="50"/>
      <c r="B214" s="50"/>
      <c r="C214" s="50" t="s">
        <v>142</v>
      </c>
      <c r="D214" s="32">
        <f>D210/D213</f>
        <v>21365.042410038783</v>
      </c>
      <c r="E214" s="50"/>
      <c r="F214" s="171"/>
      <c r="G214" s="113"/>
      <c r="H214" s="31"/>
      <c r="I214" s="31"/>
      <c r="J214" s="31"/>
      <c r="K214" s="95"/>
      <c r="L214" s="31"/>
    </row>
    <row r="215" spans="1:13">
      <c r="A215" s="50"/>
      <c r="B215" s="50"/>
      <c r="C215" s="50" t="s">
        <v>138</v>
      </c>
      <c r="D215" s="32"/>
      <c r="E215" s="50"/>
      <c r="F215" s="171"/>
      <c r="G215" s="113"/>
      <c r="H215" s="31">
        <f>$D214*H211</f>
        <v>21365.042410038783</v>
      </c>
      <c r="I215" s="31">
        <f>$D214*I211</f>
        <v>21858.690531565884</v>
      </c>
      <c r="J215" s="31">
        <f>$D214*J211</f>
        <v>22328.894081718387</v>
      </c>
      <c r="K215" s="95"/>
      <c r="L215" s="50" t="s">
        <v>131</v>
      </c>
    </row>
    <row r="216" spans="1:13">
      <c r="A216" s="50"/>
      <c r="B216" s="50"/>
      <c r="C216" s="50" t="s">
        <v>139</v>
      </c>
      <c r="D216" s="32"/>
      <c r="E216" s="50"/>
      <c r="F216" s="171"/>
      <c r="G216" s="113"/>
      <c r="H216" s="54">
        <f>H215/$D$50</f>
        <v>20649.049140429663</v>
      </c>
      <c r="I216" s="54">
        <f>I215/$D$50</f>
        <v>21126.15394199581</v>
      </c>
      <c r="J216" s="54">
        <f>J215/$D$50</f>
        <v>21580.599855407218</v>
      </c>
      <c r="K216" s="95"/>
      <c r="L216" s="50" t="s">
        <v>133</v>
      </c>
    </row>
    <row r="217" spans="1:13">
      <c r="A217" s="50"/>
      <c r="B217" s="50"/>
      <c r="C217" s="50" t="s">
        <v>140</v>
      </c>
      <c r="D217" s="50"/>
      <c r="E217" s="50"/>
      <c r="F217" s="171"/>
      <c r="G217" s="113"/>
      <c r="H217" s="31">
        <f>H215/(1+WACC)^H$203</f>
        <v>19642.403613164279</v>
      </c>
      <c r="I217" s="31">
        <f>I215/(1+WACC)^I$203</f>
        <v>18475.911974270293</v>
      </c>
      <c r="J217" s="31">
        <f>J215/(1+WACC)^J$203</f>
        <v>17351.612007146359</v>
      </c>
      <c r="K217" s="95"/>
      <c r="L217" s="50" t="s">
        <v>181</v>
      </c>
    </row>
    <row r="218" spans="1:13">
      <c r="A218" s="50"/>
      <c r="B218" s="50"/>
      <c r="C218" s="50" t="s">
        <v>141</v>
      </c>
      <c r="D218" s="32">
        <f>SUM(H217:J217)</f>
        <v>55469.927594580928</v>
      </c>
      <c r="E218" s="50"/>
      <c r="F218" s="171"/>
      <c r="G218" s="113"/>
      <c r="H218" s="31"/>
      <c r="I218" s="31"/>
      <c r="J218" s="31"/>
      <c r="K218" s="95"/>
      <c r="L218" s="50" t="s">
        <v>134</v>
      </c>
      <c r="M218" s="15"/>
    </row>
    <row r="219" spans="1:13">
      <c r="A219" s="50"/>
      <c r="B219" s="50"/>
      <c r="C219" s="50" t="s">
        <v>132</v>
      </c>
      <c r="D219" s="172">
        <f>D210-D218</f>
        <v>0</v>
      </c>
      <c r="E219" s="50"/>
      <c r="F219" s="171"/>
      <c r="G219" s="113"/>
      <c r="H219" s="31"/>
      <c r="I219" s="31"/>
      <c r="J219" s="31"/>
      <c r="K219" s="95"/>
      <c r="L219" s="50"/>
      <c r="M219" s="15"/>
    </row>
    <row r="220" spans="1:13">
      <c r="A220" s="50"/>
      <c r="B220" s="50"/>
      <c r="C220" s="50" t="s">
        <v>202</v>
      </c>
      <c r="D220" s="32">
        <f>SUM(I217:J217)</f>
        <v>35827.523981416656</v>
      </c>
      <c r="E220" s="50"/>
      <c r="F220" s="171"/>
      <c r="G220" s="113"/>
      <c r="H220" s="31"/>
      <c r="I220" s="31"/>
      <c r="J220" s="31"/>
      <c r="K220" s="95"/>
      <c r="L220" s="27"/>
      <c r="M220" s="15"/>
    </row>
    <row r="221" spans="1:13">
      <c r="A221" s="50"/>
      <c r="B221" s="50"/>
      <c r="C221" s="50"/>
      <c r="D221" s="31"/>
      <c r="E221" s="50"/>
      <c r="F221" s="123"/>
      <c r="G221" s="50"/>
      <c r="H221" s="50"/>
      <c r="I221" s="50"/>
      <c r="J221" s="50"/>
      <c r="K221" s="95"/>
      <c r="L221" s="50"/>
      <c r="M221" s="15"/>
    </row>
    <row r="222" spans="1:13" ht="21">
      <c r="A222" s="50"/>
      <c r="B222" s="50"/>
      <c r="C222" s="155" t="s">
        <v>113</v>
      </c>
      <c r="D222" s="155"/>
      <c r="E222" s="155"/>
      <c r="F222" s="155"/>
      <c r="G222" s="155"/>
      <c r="H222" s="50"/>
      <c r="I222" s="50"/>
      <c r="J222" s="50"/>
      <c r="K222" s="173"/>
      <c r="L222" s="174"/>
      <c r="M222" s="53"/>
    </row>
    <row r="223" spans="1:13" ht="15.75">
      <c r="A223" s="50"/>
      <c r="B223" s="50"/>
      <c r="C223" s="50"/>
      <c r="D223" s="50"/>
      <c r="E223" s="162" t="str">
        <f>Inputs!D$11</f>
        <v>2009/10</v>
      </c>
      <c r="F223" s="168" t="str">
        <f>Inputs!E$11</f>
        <v>2010/11</v>
      </c>
      <c r="G223" s="162" t="str">
        <f>Inputs!F$11</f>
        <v>2011/12</v>
      </c>
      <c r="H223" s="162" t="str">
        <f>Inputs!G$11</f>
        <v>2012/13</v>
      </c>
      <c r="I223" s="162" t="str">
        <f>Inputs!H$11</f>
        <v>2013/14</v>
      </c>
      <c r="J223" s="162" t="str">
        <f>Inputs!I$11</f>
        <v>2014/15</v>
      </c>
      <c r="K223" s="95"/>
      <c r="L223" s="50"/>
      <c r="M223" s="15"/>
    </row>
    <row r="224" spans="1:13" ht="15.75">
      <c r="A224" s="50"/>
      <c r="B224" s="50"/>
      <c r="C224" s="175" t="s">
        <v>318</v>
      </c>
      <c r="D224" s="50"/>
      <c r="E224" s="162"/>
      <c r="F224" s="95"/>
      <c r="G224" s="95"/>
      <c r="H224" s="95"/>
      <c r="I224" s="95"/>
      <c r="J224" s="95"/>
      <c r="K224" s="95"/>
      <c r="L224" s="50"/>
      <c r="M224" s="15"/>
    </row>
    <row r="225" spans="1:13" ht="15.75">
      <c r="A225" s="50"/>
      <c r="B225" s="50"/>
      <c r="C225" s="175" t="s">
        <v>204</v>
      </c>
      <c r="D225" s="50"/>
      <c r="E225" s="162"/>
      <c r="F225" s="95"/>
      <c r="G225" s="95"/>
      <c r="H225" s="95"/>
      <c r="I225" s="95"/>
      <c r="J225" s="95"/>
      <c r="K225" s="95"/>
      <c r="L225" s="50"/>
      <c r="M225" s="15"/>
    </row>
    <row r="226" spans="1:13">
      <c r="A226" s="50"/>
      <c r="B226" s="50" t="s">
        <v>150</v>
      </c>
      <c r="C226" s="50" t="s">
        <v>203</v>
      </c>
      <c r="D226" s="32">
        <f>D220</f>
        <v>35827.523981416656</v>
      </c>
      <c r="E226" s="50"/>
      <c r="F226" s="169"/>
      <c r="G226" s="32"/>
      <c r="H226" s="32"/>
      <c r="I226" s="32"/>
      <c r="J226" s="32"/>
      <c r="K226" s="95"/>
      <c r="L226" s="50"/>
      <c r="M226" s="15"/>
    </row>
    <row r="227" spans="1:13">
      <c r="A227" s="32"/>
      <c r="B227" s="50" t="s">
        <v>150</v>
      </c>
      <c r="C227" s="50" t="s">
        <v>319</v>
      </c>
      <c r="D227" s="49">
        <f>IF(E26="IWX",X_industry_wide,E26)</f>
        <v>0</v>
      </c>
      <c r="E227" s="32"/>
      <c r="F227" s="49"/>
      <c r="G227" s="49"/>
      <c r="H227" s="49"/>
      <c r="I227" s="49"/>
      <c r="J227" s="49"/>
      <c r="K227" s="95"/>
      <c r="L227" s="50"/>
      <c r="M227" s="15"/>
    </row>
    <row r="228" spans="1:13">
      <c r="A228" s="50"/>
      <c r="B228" s="50" t="s">
        <v>150</v>
      </c>
      <c r="C228" s="50" t="s">
        <v>143</v>
      </c>
      <c r="D228" s="50"/>
      <c r="E228" s="50"/>
      <c r="F228" s="171"/>
      <c r="G228" s="113"/>
      <c r="H228" s="113"/>
      <c r="I228" s="113">
        <v>1</v>
      </c>
      <c r="J228" s="113">
        <f>I228*(1+J$35)*(1+J$30)*(1-D227)</f>
        <v>1.0215110575573356</v>
      </c>
      <c r="K228" s="95"/>
      <c r="L228" s="50" t="s">
        <v>278</v>
      </c>
    </row>
    <row r="229" spans="1:13">
      <c r="A229" s="50"/>
      <c r="B229" s="50" t="s">
        <v>150</v>
      </c>
      <c r="C229" s="50" t="s">
        <v>102</v>
      </c>
      <c r="D229" s="50"/>
      <c r="E229" s="50"/>
      <c r="F229" s="171"/>
      <c r="G229" s="113"/>
      <c r="H229" s="113"/>
      <c r="I229" s="113">
        <f>I228/(1+WACC)^I$203</f>
        <v>0.84524331169744327</v>
      </c>
      <c r="J229" s="113">
        <f>J228/(1+WACC)^J$203</f>
        <v>0.7938083931463823</v>
      </c>
      <c r="K229" s="95"/>
      <c r="L229" s="50" t="s">
        <v>165</v>
      </c>
    </row>
    <row r="230" spans="1:13">
      <c r="A230" s="50"/>
      <c r="B230" s="50" t="s">
        <v>150</v>
      </c>
      <c r="C230" s="50" t="s">
        <v>91</v>
      </c>
      <c r="D230" s="113">
        <f>SUM(I229:J229)</f>
        <v>1.6390517048438256</v>
      </c>
      <c r="E230" s="50"/>
      <c r="F230" s="171"/>
      <c r="G230" s="113"/>
      <c r="H230" s="113"/>
      <c r="I230" s="113"/>
      <c r="J230" s="113"/>
      <c r="K230" s="95"/>
      <c r="L230" s="50" t="s">
        <v>279</v>
      </c>
    </row>
    <row r="231" spans="1:13">
      <c r="A231" s="50"/>
      <c r="B231" s="50" t="s">
        <v>150</v>
      </c>
      <c r="C231" s="50" t="s">
        <v>142</v>
      </c>
      <c r="D231" s="32">
        <f>D226/D230</f>
        <v>21858.690531565888</v>
      </c>
      <c r="E231" s="50"/>
      <c r="F231" s="171"/>
      <c r="G231" s="113"/>
      <c r="H231" s="31"/>
      <c r="I231" s="31"/>
      <c r="J231" s="31"/>
      <c r="K231" s="95"/>
      <c r="L231" s="50"/>
    </row>
    <row r="232" spans="1:13">
      <c r="A232" s="50"/>
      <c r="B232" s="50" t="s">
        <v>150</v>
      </c>
      <c r="C232" s="50" t="s">
        <v>138</v>
      </c>
      <c r="D232" s="32"/>
      <c r="E232" s="50"/>
      <c r="F232" s="171"/>
      <c r="G232" s="113"/>
      <c r="H232" s="31">
        <f>H215</f>
        <v>21365.042410038783</v>
      </c>
      <c r="I232" s="31">
        <f>$D231*I228</f>
        <v>21858.690531565888</v>
      </c>
      <c r="J232" s="31">
        <f>$D231*J228</f>
        <v>22328.89408171839</v>
      </c>
      <c r="K232" s="95"/>
      <c r="L232" s="50" t="s">
        <v>131</v>
      </c>
    </row>
    <row r="233" spans="1:13">
      <c r="A233" s="50"/>
      <c r="B233" s="50" t="s">
        <v>150</v>
      </c>
      <c r="C233" s="50" t="s">
        <v>139</v>
      </c>
      <c r="D233" s="32"/>
      <c r="E233" s="50"/>
      <c r="F233" s="171"/>
      <c r="G233" s="113"/>
      <c r="H233" s="54">
        <f>H232/$D$50</f>
        <v>20649.049140429663</v>
      </c>
      <c r="I233" s="54">
        <f>I232/$D$50</f>
        <v>21126.153941995814</v>
      </c>
      <c r="J233" s="54">
        <f>J232/$D$50</f>
        <v>21580.599855407221</v>
      </c>
      <c r="K233" s="95"/>
      <c r="L233" s="50" t="s">
        <v>133</v>
      </c>
    </row>
    <row r="234" spans="1:13">
      <c r="A234" s="50"/>
      <c r="B234" s="50" t="s">
        <v>150</v>
      </c>
      <c r="C234" s="50" t="s">
        <v>209</v>
      </c>
      <c r="D234" s="50"/>
      <c r="E234" s="50"/>
      <c r="F234" s="171"/>
      <c r="G234" s="113"/>
      <c r="H234" s="31"/>
      <c r="I234" s="31">
        <f>I232/(1+WACC)^I$203</f>
        <v>18475.911974270297</v>
      </c>
      <c r="J234" s="31">
        <f>J232/(1+WACC)^J$203</f>
        <v>17351.612007146359</v>
      </c>
      <c r="K234" s="95"/>
      <c r="L234" s="50" t="s">
        <v>181</v>
      </c>
    </row>
    <row r="235" spans="1:13">
      <c r="A235" s="50"/>
      <c r="B235" s="50" t="s">
        <v>150</v>
      </c>
      <c r="C235" s="50" t="s">
        <v>390</v>
      </c>
      <c r="D235" s="32">
        <f>SUM(I234:J234)</f>
        <v>35827.523981416656</v>
      </c>
      <c r="E235" s="50"/>
      <c r="F235" s="50"/>
      <c r="G235" s="113"/>
      <c r="H235" s="31"/>
      <c r="I235" s="31"/>
      <c r="J235" s="31"/>
      <c r="K235" s="95"/>
      <c r="L235" s="50" t="s">
        <v>134</v>
      </c>
    </row>
    <row r="236" spans="1:13">
      <c r="A236" s="50"/>
      <c r="B236" s="50" t="s">
        <v>150</v>
      </c>
      <c r="C236" s="50" t="s">
        <v>132</v>
      </c>
      <c r="D236" s="172">
        <f>D226-D235</f>
        <v>0</v>
      </c>
      <c r="E236" s="50"/>
      <c r="F236" s="171"/>
      <c r="G236" s="113"/>
      <c r="H236" s="31"/>
      <c r="I236" s="31"/>
      <c r="J236" s="31"/>
      <c r="K236" s="95"/>
      <c r="L236" s="50"/>
      <c r="M236" s="15"/>
    </row>
    <row r="237" spans="1:13">
      <c r="A237" s="50"/>
      <c r="B237" s="119" t="s">
        <v>150</v>
      </c>
      <c r="C237" s="119" t="s">
        <v>190</v>
      </c>
      <c r="D237" s="119"/>
      <c r="E237" s="50"/>
      <c r="F237" s="176"/>
      <c r="G237" s="177"/>
      <c r="H237" s="178">
        <f>(H233+H187-H$189-H$183-H152+H$180)*H$53</f>
        <v>2603.2524326173243</v>
      </c>
      <c r="I237" s="178">
        <f>(I233+I187-I$189-I$183-I152+I$180)*I$53</f>
        <v>2625.4626831110663</v>
      </c>
      <c r="J237" s="178">
        <f>(J233+J187-J$189-J$183-J152+J$180)*J$53</f>
        <v>2659.3363096683711</v>
      </c>
      <c r="K237" s="54"/>
      <c r="L237" s="50"/>
      <c r="M237" s="15"/>
    </row>
    <row r="238" spans="1:13">
      <c r="A238" s="50"/>
      <c r="B238" s="119"/>
      <c r="C238" s="119"/>
      <c r="D238" s="119"/>
      <c r="E238" s="178"/>
      <c r="F238" s="176"/>
      <c r="G238" s="177"/>
      <c r="H238" s="178"/>
      <c r="I238" s="178"/>
      <c r="J238" s="178"/>
      <c r="K238" s="95"/>
      <c r="L238" s="50"/>
      <c r="M238" s="15"/>
    </row>
    <row r="239" spans="1:13" ht="21">
      <c r="A239" s="50"/>
      <c r="B239" s="50"/>
      <c r="C239" s="155" t="s">
        <v>199</v>
      </c>
      <c r="D239" s="155"/>
      <c r="E239" s="155"/>
      <c r="F239" s="155"/>
      <c r="G239" s="155"/>
      <c r="H239" s="155"/>
      <c r="I239" s="155"/>
      <c r="J239" s="50"/>
      <c r="K239" s="50"/>
      <c r="L239" s="50"/>
      <c r="M239" s="15"/>
    </row>
    <row r="240" spans="1:13">
      <c r="A240" s="50"/>
      <c r="B240" s="50"/>
      <c r="C240" s="50" t="s">
        <v>197</v>
      </c>
      <c r="D240" s="179"/>
      <c r="E240" s="50"/>
      <c r="F240" s="31">
        <f>G240/((1+G35)*(1+G30)*(1-X_industry_wide))</f>
        <v>19916.921437872861</v>
      </c>
      <c r="G240" s="31">
        <f>H240/((1+H35)*(1+H30)*(1-X_industry_wide))</f>
        <v>20242.398833609775</v>
      </c>
      <c r="H240" s="31">
        <f>H233</f>
        <v>20649.049140429663</v>
      </c>
      <c r="I240" s="50"/>
      <c r="J240" s="50"/>
      <c r="K240" s="50"/>
      <c r="L240" s="50"/>
      <c r="M240" s="15"/>
    </row>
    <row r="241" spans="1:13">
      <c r="A241" s="50"/>
      <c r="B241" s="50"/>
      <c r="C241" s="50"/>
      <c r="D241" s="179"/>
      <c r="E241" s="50"/>
      <c r="F241" s="31"/>
      <c r="G241" s="31"/>
      <c r="H241" s="31"/>
      <c r="I241" s="50"/>
      <c r="J241" s="50"/>
      <c r="K241" s="50"/>
      <c r="L241" s="50"/>
      <c r="M241" s="15"/>
    </row>
    <row r="242" spans="1:13" ht="21">
      <c r="A242" s="50"/>
      <c r="B242" s="50"/>
      <c r="C242" s="155" t="s">
        <v>198</v>
      </c>
      <c r="D242" s="179"/>
      <c r="E242" s="50"/>
      <c r="F242" s="123"/>
      <c r="G242" s="50"/>
      <c r="H242" s="50"/>
      <c r="I242" s="50"/>
      <c r="J242" s="50"/>
      <c r="K242" s="50"/>
      <c r="L242" s="27"/>
      <c r="M242" s="15"/>
    </row>
    <row r="243" spans="1:13">
      <c r="A243" s="50"/>
      <c r="B243" s="50"/>
      <c r="C243" s="180" t="s">
        <v>212</v>
      </c>
      <c r="D243" s="179"/>
      <c r="E243" s="181">
        <f>(1+H30)*(1+I30)</f>
        <v>0.9987219717373943</v>
      </c>
      <c r="F243" s="123"/>
      <c r="G243" s="50"/>
      <c r="H243" s="50"/>
      <c r="I243" s="50"/>
      <c r="J243" s="50"/>
      <c r="K243" s="50"/>
      <c r="L243" s="27"/>
      <c r="M243" s="15"/>
    </row>
    <row r="244" spans="1:13">
      <c r="A244" s="50"/>
      <c r="B244" s="50"/>
      <c r="C244" s="50"/>
      <c r="D244" s="127"/>
      <c r="E244" s="50"/>
      <c r="F244" s="123"/>
      <c r="G244" s="50"/>
      <c r="H244" s="50"/>
      <c r="I244" s="50"/>
      <c r="J244" s="50"/>
      <c r="K244" s="50"/>
      <c r="L244" s="27"/>
    </row>
    <row r="245" spans="1:13" ht="21">
      <c r="A245" s="50"/>
      <c r="B245" s="50"/>
      <c r="C245" s="155" t="s">
        <v>315</v>
      </c>
      <c r="D245" s="162" t="s">
        <v>342</v>
      </c>
      <c r="E245" s="50"/>
      <c r="F245" s="123"/>
      <c r="G245" s="50"/>
      <c r="H245" s="50"/>
      <c r="I245" s="50"/>
      <c r="J245" s="50"/>
      <c r="K245" s="50"/>
      <c r="L245" s="27"/>
    </row>
    <row r="246" spans="1:13">
      <c r="A246" s="50"/>
      <c r="B246" s="50"/>
      <c r="C246" s="50"/>
      <c r="D246" s="50"/>
      <c r="E246" s="99" t="str">
        <f>Inputs!D$11</f>
        <v>2009/10</v>
      </c>
      <c r="F246" s="99" t="str">
        <f>Inputs!E$11</f>
        <v>2010/11</v>
      </c>
      <c r="G246" s="99" t="str">
        <f>Inputs!F$11</f>
        <v>2011/12</v>
      </c>
      <c r="H246" s="99" t="str">
        <f>Inputs!G$11</f>
        <v>2012/13</v>
      </c>
      <c r="I246" s="99" t="str">
        <f>Inputs!H$11</f>
        <v>2013/14</v>
      </c>
      <c r="J246" s="99" t="str">
        <f>Inputs!I$11</f>
        <v>2014/15</v>
      </c>
      <c r="K246" s="50"/>
      <c r="L246" s="27"/>
    </row>
    <row r="247" spans="1:13">
      <c r="A247" s="50"/>
      <c r="B247" s="50"/>
      <c r="C247" s="122" t="str">
        <f>C35</f>
        <v>2009 ΔCPI, 8 index, lagged, no GST adjustment</v>
      </c>
      <c r="D247" s="50"/>
      <c r="E247" s="50"/>
      <c r="F247" s="50"/>
      <c r="G247" s="50"/>
      <c r="H247" s="50"/>
      <c r="I247" s="100">
        <f>I35</f>
        <v>2.3759818812291389E-2</v>
      </c>
      <c r="J247" s="100">
        <f>J35</f>
        <v>2.2164443909808984E-2</v>
      </c>
      <c r="K247" s="50"/>
      <c r="L247" s="27"/>
    </row>
    <row r="248" spans="1:13">
      <c r="A248" s="50"/>
      <c r="B248" s="50"/>
      <c r="C248" s="122" t="str">
        <f>C37</f>
        <v>2012 ΔCPI, 8 index, lagged, with GST adjustment</v>
      </c>
      <c r="D248" s="50"/>
      <c r="E248" s="99"/>
      <c r="F248" s="100"/>
      <c r="G248" s="100"/>
      <c r="H248" s="100"/>
      <c r="I248" s="100">
        <f>I$37</f>
        <v>1.2820512820512775E-2</v>
      </c>
      <c r="J248" s="101">
        <f>J$37</f>
        <v>1.9725095732576747E-2</v>
      </c>
      <c r="K248" s="50"/>
      <c r="L248" s="27"/>
    </row>
    <row r="249" spans="1:13">
      <c r="A249" s="50"/>
      <c r="B249" s="50"/>
      <c r="C249" s="50" t="s">
        <v>200</v>
      </c>
      <c r="D249" s="50"/>
      <c r="E249" s="99"/>
      <c r="F249" s="100"/>
      <c r="G249" s="100">
        <f>G$30</f>
        <v>-6.3921843140435754E-4</v>
      </c>
      <c r="H249" s="100">
        <f>H$30</f>
        <v>-6.3921843140435754E-4</v>
      </c>
      <c r="I249" s="100">
        <f>I$30</f>
        <v>-6.3921843140435754E-4</v>
      </c>
      <c r="J249" s="100">
        <f>J$30</f>
        <v>-6.3921843140435754E-4</v>
      </c>
      <c r="K249" s="50"/>
      <c r="L249" s="27"/>
    </row>
    <row r="250" spans="1:13">
      <c r="A250" s="50"/>
      <c r="B250" s="50"/>
      <c r="C250" s="50" t="s">
        <v>309</v>
      </c>
      <c r="D250" s="54">
        <f>E25</f>
        <v>8560.40790304656</v>
      </c>
      <c r="E250" s="50"/>
      <c r="F250" s="123"/>
      <c r="G250" s="50"/>
      <c r="H250" s="50"/>
      <c r="I250" s="50"/>
      <c r="J250" s="50"/>
      <c r="K250" s="50"/>
      <c r="L250" s="27"/>
    </row>
    <row r="251" spans="1:13">
      <c r="A251" s="50"/>
      <c r="B251" s="50"/>
      <c r="C251" s="119" t="s">
        <v>335</v>
      </c>
      <c r="D251" s="32">
        <f>E24</f>
        <v>21311.812885037489</v>
      </c>
      <c r="E251" s="50"/>
      <c r="F251" s="123"/>
      <c r="G251" s="50"/>
      <c r="H251" s="50"/>
      <c r="I251" s="50"/>
      <c r="J251" s="50"/>
      <c r="K251" s="50"/>
      <c r="L251" s="27"/>
    </row>
    <row r="252" spans="1:13">
      <c r="A252" s="50"/>
      <c r="B252" s="50"/>
      <c r="C252" s="50" t="s">
        <v>383</v>
      </c>
      <c r="D252" s="50"/>
      <c r="E252" s="50"/>
      <c r="F252" s="123"/>
      <c r="G252" s="50"/>
      <c r="H252" s="124">
        <f>(D251+D250)*(1+G$249)*(1+H$249)-D250</f>
        <v>21273.635342603528</v>
      </c>
      <c r="I252" s="124">
        <f>H252*(1+I249)*(1+I248)</f>
        <v>21532.601417697118</v>
      </c>
      <c r="J252" s="124">
        <f>I252*(1+J249)*(1+J248)</f>
        <v>21943.298509408443</v>
      </c>
      <c r="K252" s="50"/>
      <c r="L252" s="27"/>
    </row>
    <row r="253" spans="1:13">
      <c r="A253" s="50"/>
      <c r="B253" s="50"/>
      <c r="C253" s="50" t="s">
        <v>314</v>
      </c>
      <c r="D253" s="50"/>
      <c r="E253" s="50"/>
      <c r="F253" s="123"/>
      <c r="G253" s="50"/>
      <c r="H253" s="124">
        <f>$D$250</f>
        <v>8560.40790304656</v>
      </c>
      <c r="I253" s="124">
        <f>H253*(1+I34)</f>
        <v>8712.1113342397912</v>
      </c>
      <c r="J253" s="124"/>
      <c r="K253" s="50"/>
      <c r="L253" s="27"/>
    </row>
    <row r="254" spans="1:13">
      <c r="A254" s="50"/>
      <c r="B254" s="50"/>
      <c r="C254" s="119" t="s">
        <v>336</v>
      </c>
      <c r="D254" s="50"/>
      <c r="E254" s="50"/>
      <c r="F254" s="123"/>
      <c r="G254" s="50"/>
      <c r="H254" s="124">
        <f>D251</f>
        <v>21311.812885037489</v>
      </c>
      <c r="I254" s="124">
        <f>((H254+H253)*(1+G249)-H253)*(1+I248)*(1-X_industry_wide)</f>
        <v>21565.701575165367</v>
      </c>
      <c r="J254" s="97"/>
      <c r="K254" s="50"/>
      <c r="L254" s="27"/>
    </row>
    <row r="255" spans="1:13">
      <c r="A255" s="50"/>
      <c r="B255" s="50"/>
      <c r="C255" s="50" t="s">
        <v>337</v>
      </c>
      <c r="D255" s="50"/>
      <c r="E255" s="50"/>
      <c r="F255" s="123"/>
      <c r="G255" s="50"/>
      <c r="H255" s="124">
        <f>H216</f>
        <v>20649.049140429663</v>
      </c>
      <c r="I255" s="124">
        <f>I216</f>
        <v>21126.15394199581</v>
      </c>
      <c r="J255" s="124">
        <f>J216</f>
        <v>21580.599855407218</v>
      </c>
      <c r="K255" s="50"/>
      <c r="L255" s="27"/>
    </row>
    <row r="256" spans="1:13">
      <c r="A256" s="50"/>
      <c r="B256" s="50"/>
      <c r="C256" s="119" t="s">
        <v>371</v>
      </c>
      <c r="D256" s="50"/>
      <c r="E256" s="50"/>
      <c r="F256" s="123"/>
      <c r="G256" s="50"/>
      <c r="H256" s="124"/>
      <c r="I256" s="124">
        <f>(I255+I253)/((1+H249)*(1+I249))-I253</f>
        <v>21164.336887209098</v>
      </c>
      <c r="J256" s="124"/>
      <c r="K256" s="50"/>
      <c r="L256" s="27"/>
    </row>
    <row r="257" spans="1:12">
      <c r="A257" s="50"/>
      <c r="B257" s="50"/>
      <c r="C257" s="50" t="s">
        <v>344</v>
      </c>
      <c r="D257" s="50"/>
      <c r="E257" s="50"/>
      <c r="F257" s="123"/>
      <c r="G257" s="50"/>
      <c r="H257" s="124">
        <f>H255</f>
        <v>20649.049140429663</v>
      </c>
      <c r="I257" s="124">
        <f>I255*(1+I248)/(1+I247)</f>
        <v>20900.412065674635</v>
      </c>
      <c r="J257" s="124">
        <f>I257*(1+J$248)*(1+J$249)*(1-X_industry_wide)</f>
        <v>21299.051240033106</v>
      </c>
      <c r="K257" s="50"/>
      <c r="L257" s="27"/>
    </row>
    <row r="258" spans="1:12">
      <c r="A258" s="50"/>
      <c r="B258" s="50"/>
      <c r="C258" s="119" t="s">
        <v>346</v>
      </c>
      <c r="D258" s="50"/>
      <c r="E258" s="50"/>
      <c r="F258" s="123"/>
      <c r="G258" s="50"/>
      <c r="H258" s="124"/>
      <c r="I258" s="124">
        <f>(I257+I253)/((1+H249)*(1+I249))-I253</f>
        <v>20938.306137201194</v>
      </c>
      <c r="J258" s="97"/>
      <c r="K258" s="50"/>
      <c r="L258" s="27"/>
    </row>
    <row r="259" spans="1:12">
      <c r="A259" s="50"/>
      <c r="B259" s="50"/>
      <c r="C259" s="50" t="s">
        <v>338</v>
      </c>
      <c r="D259" s="50"/>
      <c r="E259" s="50"/>
      <c r="F259" s="123"/>
      <c r="G259" s="50"/>
      <c r="H259" s="124">
        <f>H233</f>
        <v>20649.049140429663</v>
      </c>
      <c r="I259" s="124">
        <f>I233</f>
        <v>21126.153941995814</v>
      </c>
      <c r="J259" s="124">
        <f>J233</f>
        <v>21580.599855407221</v>
      </c>
      <c r="K259" s="50"/>
      <c r="L259" s="27"/>
    </row>
    <row r="260" spans="1:12">
      <c r="A260" s="50"/>
      <c r="B260" s="50"/>
      <c r="C260" s="50" t="s">
        <v>345</v>
      </c>
      <c r="D260" s="50"/>
      <c r="E260" s="50"/>
      <c r="F260" s="123"/>
      <c r="G260" s="50"/>
      <c r="H260" s="124">
        <f>H259</f>
        <v>20649.049140429663</v>
      </c>
      <c r="I260" s="124">
        <f>I259*(1+I248)/(1+I247)</f>
        <v>20900.412065674638</v>
      </c>
      <c r="J260" s="124">
        <f>I260*(1+J$248)*(1+J$249)*(1-D227)</f>
        <v>21299.05124003311</v>
      </c>
      <c r="K260" s="50"/>
      <c r="L260" s="27"/>
    </row>
    <row r="261" spans="1:12">
      <c r="A261" s="50"/>
      <c r="B261" s="50"/>
      <c r="C261" s="119" t="s">
        <v>347</v>
      </c>
      <c r="D261" s="50"/>
      <c r="E261" s="50"/>
      <c r="F261" s="123"/>
      <c r="G261" s="50"/>
      <c r="H261" s="97"/>
      <c r="I261" s="124">
        <f>(I260+I253)/((1+H249)*(1+I249))-I253</f>
        <v>20938.306137201198</v>
      </c>
      <c r="J261" s="97"/>
      <c r="K261" s="50"/>
      <c r="L261" s="27"/>
    </row>
    <row r="262" spans="1:12">
      <c r="A262" s="50"/>
      <c r="B262" s="50"/>
      <c r="C262" s="50" t="s">
        <v>317</v>
      </c>
      <c r="D262" s="126">
        <f>E27</f>
        <v>0.2</v>
      </c>
      <c r="E262" s="50"/>
      <c r="F262" s="123"/>
      <c r="G262" s="50"/>
      <c r="H262" s="125"/>
      <c r="I262" s="125"/>
      <c r="J262" s="125"/>
      <c r="K262" s="50"/>
      <c r="L262" s="27"/>
    </row>
    <row r="263" spans="1:12" ht="18">
      <c r="A263" s="50"/>
      <c r="B263" s="50"/>
      <c r="C263" s="50" t="s">
        <v>339</v>
      </c>
      <c r="D263" s="127"/>
      <c r="E263" s="50"/>
      <c r="F263" s="123"/>
      <c r="G263" s="50"/>
      <c r="H263" s="124">
        <f>(D251+H253)*(1+G$249)*(1+H$249)-H253</f>
        <v>21273.635342603528</v>
      </c>
      <c r="I263" s="124">
        <f>H263*(1+$D262)*(1+I$247)*(1+I$249)</f>
        <v>26118.205759340253</v>
      </c>
      <c r="J263" s="124">
        <f>I264*(1+$D262)*(1+J247)*(1+J249)</f>
        <v>25620.002439109674</v>
      </c>
      <c r="K263" s="50"/>
      <c r="L263" s="27"/>
    </row>
    <row r="264" spans="1:12">
      <c r="A264" s="50"/>
      <c r="B264" s="50"/>
      <c r="C264" s="50" t="s">
        <v>367</v>
      </c>
      <c r="D264" s="127"/>
      <c r="E264" s="50"/>
      <c r="F264" s="123"/>
      <c r="G264" s="50"/>
      <c r="H264" s="124">
        <f>H260</f>
        <v>20649.049140429663</v>
      </c>
      <c r="I264" s="124">
        <f>MIN(I260,I263)</f>
        <v>20900.412065674638</v>
      </c>
      <c r="J264" s="124">
        <f>MIN(J260,J263)</f>
        <v>21299.05124003311</v>
      </c>
      <c r="K264" s="50"/>
      <c r="L264" s="27"/>
    </row>
    <row r="265" spans="1:12">
      <c r="A265" s="50"/>
      <c r="B265" s="50"/>
      <c r="C265" s="50" t="s">
        <v>373</v>
      </c>
      <c r="D265" s="31">
        <f>NPV(WACC,H255:J255)*D50</f>
        <v>55469.927594580935</v>
      </c>
      <c r="E265" s="50"/>
      <c r="F265" s="123"/>
      <c r="G265" s="50"/>
      <c r="H265" s="50"/>
      <c r="I265" s="50"/>
      <c r="J265" s="50"/>
      <c r="K265" s="50"/>
      <c r="L265" s="27"/>
    </row>
    <row r="266" spans="1:12">
      <c r="A266" s="50"/>
      <c r="B266" s="50"/>
      <c r="C266" s="50" t="s">
        <v>372</v>
      </c>
      <c r="D266" s="31">
        <f>NPV(WACC,H252:J252)*D50</f>
        <v>56711.147708313205</v>
      </c>
      <c r="E266" s="50"/>
      <c r="F266" s="123"/>
      <c r="G266" s="50"/>
      <c r="H266" s="50"/>
      <c r="I266" s="50"/>
      <c r="J266" s="50"/>
      <c r="K266" s="50"/>
      <c r="L266" s="27"/>
    </row>
    <row r="267" spans="1:12">
      <c r="A267" s="50"/>
      <c r="B267" s="50"/>
      <c r="C267" s="50" t="s">
        <v>340</v>
      </c>
      <c r="D267" s="31">
        <f>NPV(WACC,H259:J259)*D50</f>
        <v>55469.927594580935</v>
      </c>
      <c r="E267" s="50"/>
      <c r="F267" s="123"/>
      <c r="G267" s="50"/>
      <c r="H267" s="50"/>
      <c r="I267" s="50"/>
      <c r="J267" s="50"/>
      <c r="K267" s="50"/>
      <c r="L267" s="27"/>
    </row>
    <row r="268" spans="1:12">
      <c r="A268" s="50"/>
      <c r="B268" s="50"/>
      <c r="C268" s="50" t="s">
        <v>351</v>
      </c>
      <c r="D268" s="31">
        <f>NPV(WACC,H264:J264)*D50</f>
        <v>55046.129022150024</v>
      </c>
      <c r="E268" s="50"/>
      <c r="F268" s="123"/>
      <c r="G268" s="50"/>
      <c r="H268" s="50"/>
      <c r="I268" s="50"/>
      <c r="J268" s="50"/>
      <c r="K268" s="50"/>
      <c r="L268" s="27"/>
    </row>
    <row r="269" spans="1:12">
      <c r="A269" s="50"/>
      <c r="B269" s="50"/>
      <c r="C269" s="50" t="s">
        <v>348</v>
      </c>
      <c r="D269" s="31">
        <f>NPV(WACC,H257:J257)*D50</f>
        <v>55046.129022150024</v>
      </c>
      <c r="E269" s="50"/>
      <c r="F269" s="123"/>
      <c r="G269" s="50"/>
      <c r="H269" s="50"/>
      <c r="I269" s="50"/>
      <c r="J269" s="50"/>
      <c r="K269" s="50"/>
      <c r="L269" s="27"/>
    </row>
    <row r="270" spans="1:12">
      <c r="A270" s="50"/>
      <c r="B270" s="50"/>
      <c r="C270" s="50" t="s">
        <v>349</v>
      </c>
      <c r="D270" s="31">
        <f>NPV(WACC,H260:J260)*D50</f>
        <v>55046.129022150024</v>
      </c>
      <c r="E270" s="50"/>
      <c r="F270" s="123"/>
      <c r="G270" s="50"/>
      <c r="H270" s="50"/>
      <c r="I270" s="50"/>
      <c r="J270" s="50"/>
      <c r="K270" s="50"/>
      <c r="L270" s="27"/>
    </row>
    <row r="271" spans="1:12">
      <c r="A271" s="50"/>
      <c r="B271" s="50"/>
      <c r="C271" s="50" t="s">
        <v>368</v>
      </c>
      <c r="D271" s="31" t="b">
        <f>OR(I260&gt;I263,J260&gt;J263)</f>
        <v>0</v>
      </c>
      <c r="E271" s="50"/>
      <c r="F271" s="123"/>
      <c r="G271" s="50"/>
      <c r="H271" s="50"/>
      <c r="I271" s="50"/>
      <c r="J271" s="50"/>
      <c r="K271" s="50"/>
      <c r="L271" s="27"/>
    </row>
    <row r="272" spans="1:12">
      <c r="A272" s="50"/>
      <c r="B272" s="50"/>
      <c r="C272" s="50"/>
      <c r="D272" s="31"/>
      <c r="E272" s="50"/>
      <c r="F272" s="123"/>
      <c r="G272" s="50"/>
      <c r="H272" s="50"/>
      <c r="I272" s="50"/>
      <c r="J272" s="50"/>
      <c r="K272" s="50"/>
      <c r="L272" s="27"/>
    </row>
    <row r="273" spans="1:12" ht="21">
      <c r="A273" s="50"/>
      <c r="B273" s="50"/>
      <c r="C273" s="155" t="s">
        <v>343</v>
      </c>
      <c r="D273" s="127"/>
      <c r="E273" s="50"/>
      <c r="F273" s="123"/>
      <c r="G273" s="50"/>
      <c r="H273" s="50"/>
      <c r="I273" s="50"/>
      <c r="J273" s="50"/>
      <c r="K273" s="50"/>
      <c r="L273" s="27"/>
    </row>
    <row r="274" spans="1:12" ht="30">
      <c r="A274" s="50"/>
      <c r="B274" s="50"/>
      <c r="C274" s="123" t="s">
        <v>370</v>
      </c>
      <c r="D274" s="126">
        <f>I$261/(D$251*(1+I$249)*(1+I$248))-1</f>
        <v>-2.9341727847120191E-2</v>
      </c>
      <c r="E274" s="50"/>
      <c r="F274" s="123"/>
      <c r="G274" s="50"/>
      <c r="H274" s="50"/>
      <c r="I274" s="50"/>
      <c r="J274" s="50"/>
      <c r="K274" s="50"/>
      <c r="L274" s="27"/>
    </row>
    <row r="275" spans="1:12" ht="30">
      <c r="A275" s="50"/>
      <c r="B275" s="50"/>
      <c r="C275" s="123" t="s">
        <v>350</v>
      </c>
      <c r="D275" s="31">
        <f>D265-D268</f>
        <v>423.79857243091101</v>
      </c>
      <c r="E275" s="50"/>
      <c r="F275" s="123"/>
      <c r="G275" s="50"/>
      <c r="H275" s="50"/>
      <c r="I275" s="50"/>
      <c r="J275" s="50"/>
      <c r="K275" s="50"/>
      <c r="L275" s="27"/>
    </row>
    <row r="276" spans="1:12">
      <c r="A276" s="50"/>
      <c r="B276" s="50"/>
      <c r="C276" s="123" t="s">
        <v>366</v>
      </c>
      <c r="D276" s="31">
        <f>ROUNDUP(I264,0)</f>
        <v>20901</v>
      </c>
      <c r="E276" s="50"/>
      <c r="F276" s="123"/>
      <c r="G276" s="50"/>
      <c r="H276" s="50"/>
      <c r="I276" s="50"/>
      <c r="J276" s="50"/>
      <c r="K276" s="50"/>
      <c r="L276" s="27"/>
    </row>
    <row r="277" spans="1:12">
      <c r="A277" s="50"/>
      <c r="B277" s="50"/>
      <c r="C277" s="123" t="s">
        <v>378</v>
      </c>
      <c r="D277" s="31">
        <f>ROUNDUP(H233,0)</f>
        <v>20650</v>
      </c>
      <c r="E277" s="50"/>
      <c r="F277" s="123"/>
      <c r="G277" s="50"/>
      <c r="H277" s="50"/>
      <c r="I277" s="50"/>
      <c r="J277" s="50"/>
      <c r="K277" s="50"/>
      <c r="L277" s="27"/>
    </row>
    <row r="278" spans="1:12">
      <c r="A278" s="50"/>
      <c r="B278" s="50"/>
      <c r="C278" s="114" t="s">
        <v>382</v>
      </c>
      <c r="D278" s="31">
        <f>D269-D266</f>
        <v>-1665.018686163181</v>
      </c>
      <c r="E278" s="50"/>
      <c r="F278" s="123"/>
      <c r="G278" s="50"/>
      <c r="H278" s="50"/>
      <c r="I278" s="50"/>
      <c r="J278" s="50"/>
      <c r="K278" s="50"/>
      <c r="L278" s="27"/>
    </row>
    <row r="279" spans="1:12">
      <c r="A279" s="15"/>
      <c r="B279" s="15"/>
      <c r="C279" s="15"/>
      <c r="D279" s="15"/>
      <c r="E279" s="120"/>
      <c r="F279" s="15"/>
      <c r="G279" s="15"/>
      <c r="H279" s="15"/>
      <c r="I279" s="15"/>
      <c r="J279" s="15"/>
      <c r="K279" s="15"/>
    </row>
    <row r="280" spans="1:12">
      <c r="A280" s="15"/>
      <c r="B280" s="15"/>
      <c r="C280" s="15"/>
      <c r="D280" s="15"/>
      <c r="E280" s="120"/>
      <c r="F280" s="15"/>
      <c r="G280" s="15"/>
      <c r="H280" s="15"/>
      <c r="I280" s="15"/>
      <c r="J280" s="15"/>
      <c r="K280" s="15"/>
    </row>
    <row r="281" spans="1:12">
      <c r="A281" s="15"/>
      <c r="B281" s="15"/>
      <c r="C281" s="15"/>
      <c r="D281" s="15"/>
      <c r="E281" s="120"/>
      <c r="F281" s="15"/>
      <c r="G281" s="15"/>
      <c r="H281" s="15"/>
      <c r="I281" s="15"/>
      <c r="J281" s="15"/>
      <c r="K281" s="15"/>
    </row>
    <row r="282" spans="1:12">
      <c r="A282" s="15"/>
      <c r="B282" s="15"/>
      <c r="C282" s="15"/>
      <c r="D282" s="15"/>
      <c r="E282" s="120"/>
      <c r="F282" s="15"/>
      <c r="G282" s="15"/>
      <c r="H282" s="15"/>
      <c r="I282" s="15"/>
      <c r="J282" s="15"/>
      <c r="K282" s="15"/>
    </row>
    <row r="283" spans="1:12">
      <c r="A283" s="15"/>
      <c r="B283" s="15"/>
      <c r="C283" s="15"/>
      <c r="D283" s="15"/>
      <c r="E283" s="120"/>
      <c r="F283" s="15"/>
      <c r="G283" s="15"/>
      <c r="H283" s="15"/>
      <c r="I283" s="15"/>
      <c r="J283" s="15"/>
      <c r="K283" s="15"/>
    </row>
    <row r="284" spans="1:12">
      <c r="A284" s="15"/>
      <c r="B284" s="15"/>
      <c r="C284" s="15"/>
      <c r="D284" s="15"/>
      <c r="E284" s="120"/>
      <c r="F284" s="15"/>
      <c r="G284" s="15"/>
      <c r="H284" s="15"/>
      <c r="I284" s="15"/>
      <c r="J284" s="15"/>
      <c r="K284" s="15"/>
    </row>
    <row r="285" spans="1:12">
      <c r="A285" s="15"/>
      <c r="B285" s="15"/>
      <c r="C285" s="15"/>
      <c r="D285" s="15"/>
      <c r="E285" s="120"/>
      <c r="F285" s="15"/>
      <c r="G285" s="15"/>
      <c r="H285" s="15"/>
      <c r="I285" s="15"/>
      <c r="J285" s="15"/>
      <c r="K285" s="15"/>
    </row>
    <row r="286" spans="1:12">
      <c r="A286" s="15"/>
      <c r="B286" s="15"/>
      <c r="C286" s="15"/>
      <c r="D286" s="15"/>
      <c r="E286" s="120"/>
      <c r="F286" s="15"/>
      <c r="G286" s="15"/>
      <c r="H286" s="15"/>
      <c r="I286" s="15"/>
      <c r="J286" s="15"/>
      <c r="K286" s="15"/>
    </row>
    <row r="287" spans="1:12">
      <c r="A287" s="15"/>
      <c r="B287" s="15"/>
      <c r="C287" s="15"/>
      <c r="D287" s="15"/>
      <c r="E287" s="120"/>
      <c r="F287" s="15"/>
      <c r="G287" s="15"/>
      <c r="H287" s="15"/>
      <c r="I287" s="15"/>
      <c r="J287" s="15"/>
      <c r="K287" s="15"/>
    </row>
    <row r="288" spans="1:12">
      <c r="A288" s="15"/>
      <c r="B288" s="15"/>
      <c r="C288" s="15"/>
      <c r="D288" s="15"/>
      <c r="E288" s="120"/>
      <c r="F288" s="15"/>
      <c r="G288" s="15"/>
      <c r="H288" s="15"/>
      <c r="I288" s="15"/>
      <c r="J288" s="15"/>
      <c r="K288" s="15"/>
    </row>
    <row r="289" spans="1:11">
      <c r="A289" s="15"/>
      <c r="B289" s="15"/>
      <c r="C289" s="15"/>
      <c r="D289" s="15"/>
      <c r="E289" s="120"/>
      <c r="F289" s="15"/>
      <c r="G289" s="15"/>
      <c r="H289" s="15"/>
      <c r="I289" s="15"/>
      <c r="J289" s="15"/>
      <c r="K289" s="15"/>
    </row>
    <row r="290" spans="1:11">
      <c r="A290" s="15"/>
      <c r="B290" s="15"/>
      <c r="C290" s="15"/>
      <c r="D290" s="15"/>
      <c r="E290" s="120"/>
      <c r="F290" s="15"/>
      <c r="G290" s="15"/>
      <c r="H290" s="15"/>
      <c r="I290" s="15"/>
      <c r="J290" s="15"/>
      <c r="K290" s="15"/>
    </row>
    <row r="291" spans="1:11">
      <c r="A291" s="15"/>
      <c r="B291" s="15"/>
      <c r="C291" s="15"/>
      <c r="D291" s="15"/>
      <c r="E291" s="120"/>
      <c r="F291" s="15"/>
      <c r="G291" s="15"/>
      <c r="H291" s="15"/>
      <c r="I291" s="15"/>
      <c r="J291" s="15"/>
      <c r="K291" s="15"/>
    </row>
    <row r="292" spans="1:11">
      <c r="A292" s="15"/>
      <c r="B292" s="15"/>
      <c r="C292" s="15"/>
      <c r="D292" s="15"/>
      <c r="E292" s="120"/>
      <c r="F292" s="15"/>
      <c r="G292" s="15"/>
      <c r="H292" s="15"/>
      <c r="I292" s="15"/>
      <c r="J292" s="15"/>
      <c r="K292" s="15"/>
    </row>
    <row r="293" spans="1:11">
      <c r="A293" s="15"/>
      <c r="B293" s="15"/>
      <c r="C293" s="15"/>
      <c r="D293" s="15"/>
      <c r="E293" s="120"/>
      <c r="F293" s="15"/>
      <c r="G293" s="15"/>
      <c r="H293" s="15"/>
      <c r="I293" s="15"/>
      <c r="J293" s="15"/>
      <c r="K293" s="15"/>
    </row>
    <row r="294" spans="1:11">
      <c r="A294" s="15"/>
      <c r="B294" s="15"/>
      <c r="C294" s="15"/>
      <c r="D294" s="15"/>
      <c r="E294" s="120"/>
      <c r="F294" s="15"/>
      <c r="G294" s="15"/>
      <c r="H294" s="15"/>
      <c r="I294" s="15"/>
      <c r="J294" s="15"/>
      <c r="K294" s="15"/>
    </row>
    <row r="295" spans="1:11">
      <c r="A295" s="15"/>
      <c r="B295" s="15"/>
      <c r="C295" s="15"/>
      <c r="D295" s="15"/>
      <c r="E295" s="120"/>
      <c r="F295" s="15"/>
      <c r="G295" s="15"/>
      <c r="H295" s="15"/>
      <c r="I295" s="15"/>
      <c r="J295" s="15"/>
      <c r="K295" s="15"/>
    </row>
    <row r="296" spans="1:11">
      <c r="A296" s="15"/>
      <c r="B296" s="15"/>
      <c r="C296" s="15"/>
      <c r="D296" s="15"/>
      <c r="E296" s="120"/>
      <c r="F296" s="15"/>
      <c r="G296" s="15"/>
      <c r="H296" s="15"/>
      <c r="I296" s="15"/>
      <c r="J296" s="15"/>
      <c r="K296" s="15"/>
    </row>
    <row r="297" spans="1:11">
      <c r="A297" s="15"/>
      <c r="B297" s="15"/>
      <c r="C297" s="15"/>
      <c r="D297" s="15"/>
      <c r="E297" s="120"/>
      <c r="F297" s="15"/>
      <c r="G297" s="15"/>
      <c r="H297" s="15"/>
      <c r="I297" s="15"/>
      <c r="J297" s="15"/>
      <c r="K297" s="15"/>
    </row>
    <row r="298" spans="1:11">
      <c r="A298" s="15"/>
      <c r="B298" s="15"/>
      <c r="C298" s="15"/>
      <c r="D298" s="15"/>
      <c r="E298" s="120"/>
      <c r="F298" s="15"/>
      <c r="G298" s="15"/>
      <c r="H298" s="15"/>
      <c r="I298" s="15"/>
      <c r="J298" s="15"/>
      <c r="K298" s="15"/>
    </row>
    <row r="299" spans="1:11">
      <c r="A299" s="15"/>
      <c r="B299" s="15"/>
      <c r="C299" s="15"/>
      <c r="D299" s="15"/>
      <c r="E299" s="120"/>
      <c r="F299" s="15"/>
      <c r="G299" s="15"/>
      <c r="H299" s="15"/>
      <c r="I299" s="15"/>
      <c r="J299" s="15"/>
    </row>
    <row r="300" spans="1:11">
      <c r="A300" s="15"/>
      <c r="B300" s="15"/>
      <c r="C300" s="15"/>
      <c r="D300" s="15"/>
      <c r="E300" s="120"/>
      <c r="F300" s="15"/>
      <c r="G300" s="15"/>
      <c r="H300" s="15"/>
      <c r="I300" s="15"/>
      <c r="J300" s="15"/>
    </row>
    <row r="301" spans="1:11">
      <c r="A301" s="15"/>
      <c r="B301" s="15"/>
      <c r="C301" s="15"/>
      <c r="D301" s="15"/>
      <c r="E301" s="120"/>
      <c r="F301" s="15"/>
      <c r="G301" s="15"/>
      <c r="H301" s="15"/>
      <c r="I301" s="15"/>
      <c r="J301" s="15"/>
    </row>
    <row r="302" spans="1:11">
      <c r="A302" s="15"/>
      <c r="B302" s="15"/>
      <c r="C302" s="15"/>
      <c r="D302" s="15"/>
      <c r="E302" s="120"/>
      <c r="F302" s="15"/>
      <c r="G302" s="15"/>
      <c r="H302" s="15"/>
      <c r="I302" s="15"/>
      <c r="J302" s="15"/>
    </row>
    <row r="303" spans="1:11">
      <c r="A303" s="15"/>
      <c r="B303" s="15"/>
      <c r="C303" s="15"/>
      <c r="D303" s="15"/>
      <c r="E303" s="120"/>
      <c r="F303" s="15"/>
      <c r="G303" s="15"/>
      <c r="H303" s="15"/>
      <c r="I303" s="15"/>
      <c r="J303" s="15"/>
    </row>
    <row r="304" spans="1:11">
      <c r="A304" s="15"/>
      <c r="B304" s="15"/>
      <c r="C304" s="15"/>
      <c r="D304" s="15"/>
      <c r="E304" s="120"/>
      <c r="F304" s="15"/>
      <c r="G304" s="15"/>
      <c r="H304" s="15"/>
      <c r="I304" s="15"/>
      <c r="J304" s="15"/>
    </row>
    <row r="305" spans="1:10">
      <c r="A305" s="15"/>
      <c r="B305" s="15"/>
      <c r="C305" s="15"/>
      <c r="D305" s="15"/>
      <c r="E305" s="120"/>
      <c r="F305" s="15"/>
      <c r="G305" s="15"/>
      <c r="H305" s="15"/>
      <c r="I305" s="15"/>
      <c r="J305" s="15"/>
    </row>
    <row r="306" spans="1:10">
      <c r="A306" s="15"/>
      <c r="B306" s="15"/>
      <c r="C306" s="15"/>
      <c r="D306" s="15"/>
      <c r="E306" s="120"/>
      <c r="F306" s="15"/>
      <c r="G306" s="15"/>
      <c r="H306" s="15"/>
      <c r="I306" s="15"/>
      <c r="J306" s="15"/>
    </row>
    <row r="307" spans="1:10">
      <c r="A307" s="15"/>
      <c r="B307" s="15"/>
      <c r="C307" s="15"/>
      <c r="D307" s="15"/>
      <c r="E307" s="120"/>
      <c r="F307" s="15"/>
      <c r="G307" s="15"/>
      <c r="H307" s="15"/>
      <c r="I307" s="15"/>
      <c r="J307" s="15"/>
    </row>
    <row r="308" spans="1:10">
      <c r="A308" s="15"/>
      <c r="B308" s="15"/>
      <c r="C308" s="15"/>
      <c r="D308" s="15"/>
      <c r="E308" s="120"/>
      <c r="F308" s="15"/>
      <c r="G308" s="15"/>
      <c r="H308" s="15"/>
      <c r="I308" s="15"/>
      <c r="J308" s="15"/>
    </row>
    <row r="309" spans="1:10">
      <c r="A309" s="15"/>
      <c r="B309" s="15"/>
      <c r="C309" s="15"/>
      <c r="D309" s="15"/>
      <c r="E309" s="120"/>
      <c r="F309" s="15"/>
      <c r="G309" s="15"/>
      <c r="H309" s="15"/>
      <c r="I309" s="15"/>
      <c r="J309" s="15"/>
    </row>
    <row r="310" spans="1:10">
      <c r="A310" s="15"/>
      <c r="B310" s="15"/>
      <c r="C310" s="15"/>
      <c r="D310" s="15"/>
      <c r="E310" s="120"/>
      <c r="F310" s="15"/>
      <c r="G310" s="15"/>
      <c r="H310" s="15"/>
      <c r="I310" s="15"/>
      <c r="J310" s="15"/>
    </row>
    <row r="311" spans="1:10">
      <c r="A311" s="15"/>
      <c r="B311" s="15"/>
      <c r="C311" s="15"/>
      <c r="D311" s="15"/>
      <c r="E311" s="120"/>
      <c r="F311" s="15"/>
      <c r="G311" s="15"/>
      <c r="H311" s="15"/>
      <c r="I311" s="15"/>
      <c r="J311" s="15"/>
    </row>
    <row r="312" spans="1:10">
      <c r="A312" s="15"/>
      <c r="B312" s="15"/>
      <c r="C312" s="15"/>
      <c r="D312" s="15"/>
      <c r="E312" s="120"/>
      <c r="F312" s="15"/>
      <c r="G312" s="15"/>
      <c r="H312" s="15"/>
      <c r="I312" s="15"/>
      <c r="J312" s="15"/>
    </row>
    <row r="313" spans="1:10">
      <c r="E313" s="19"/>
    </row>
    <row r="314" spans="1:10">
      <c r="E314" s="19"/>
    </row>
    <row r="315" spans="1:10">
      <c r="E315" s="19"/>
    </row>
    <row r="316" spans="1:10">
      <c r="E316" s="19"/>
    </row>
    <row r="317" spans="1:10">
      <c r="E317" s="19"/>
    </row>
    <row r="318" spans="1:10">
      <c r="E318" s="19"/>
    </row>
    <row r="319" spans="1:10">
      <c r="E319" s="19"/>
    </row>
    <row r="320" spans="1:10">
      <c r="E320" s="19"/>
    </row>
    <row r="321" spans="5:5">
      <c r="E321" s="19"/>
    </row>
    <row r="322" spans="5:5">
      <c r="E322" s="19"/>
    </row>
    <row r="323" spans="5:5">
      <c r="E323" s="19"/>
    </row>
    <row r="324" spans="5:5">
      <c r="E324" s="19"/>
    </row>
    <row r="325" spans="5:5">
      <c r="E325" s="19"/>
    </row>
    <row r="326" spans="5:5">
      <c r="E326" s="19"/>
    </row>
    <row r="327" spans="5:5">
      <c r="E327" s="19"/>
    </row>
    <row r="328" spans="5:5">
      <c r="E328" s="19"/>
    </row>
    <row r="329" spans="5:5">
      <c r="E329" s="19"/>
    </row>
    <row r="330" spans="5:5">
      <c r="E330" s="19"/>
    </row>
    <row r="331" spans="5:5">
      <c r="E331" s="19"/>
    </row>
    <row r="332" spans="5:5">
      <c r="E332" s="19"/>
    </row>
    <row r="333" spans="5:5">
      <c r="E333" s="19"/>
    </row>
    <row r="334" spans="5:5">
      <c r="E334" s="19"/>
    </row>
    <row r="335" spans="5:5">
      <c r="E335" s="19"/>
    </row>
    <row r="336" spans="5:5">
      <c r="E336" s="19"/>
    </row>
    <row r="337" spans="5:5">
      <c r="E337" s="19"/>
    </row>
    <row r="338" spans="5:5">
      <c r="E338" s="19"/>
    </row>
    <row r="339" spans="5:5">
      <c r="E339" s="19"/>
    </row>
    <row r="340" spans="5:5">
      <c r="E340" s="19"/>
    </row>
    <row r="341" spans="5:5">
      <c r="E341" s="19"/>
    </row>
    <row r="342" spans="5:5">
      <c r="E342" s="19"/>
    </row>
    <row r="343" spans="5:5">
      <c r="E343" s="19"/>
    </row>
    <row r="344" spans="5:5">
      <c r="E344" s="19"/>
    </row>
    <row r="345" spans="5:5">
      <c r="E345" s="19"/>
    </row>
    <row r="346" spans="5:5">
      <c r="E346" s="19"/>
    </row>
    <row r="347" spans="5:5">
      <c r="E347" s="19"/>
    </row>
    <row r="348" spans="5:5">
      <c r="E348" s="19"/>
    </row>
    <row r="349" spans="5:5">
      <c r="E349" s="19"/>
    </row>
    <row r="350" spans="5:5">
      <c r="E350" s="19"/>
    </row>
    <row r="351" spans="5:5">
      <c r="E351" s="19"/>
    </row>
    <row r="352" spans="5:5">
      <c r="E352" s="19"/>
    </row>
    <row r="353" spans="5:5">
      <c r="E353" s="19"/>
    </row>
    <row r="354" spans="5:5">
      <c r="E354" s="19"/>
    </row>
    <row r="355" spans="5:5">
      <c r="E355" s="19"/>
    </row>
    <row r="356" spans="5:5">
      <c r="E356" s="19"/>
    </row>
    <row r="357" spans="5:5">
      <c r="E357" s="19"/>
    </row>
    <row r="358" spans="5:5">
      <c r="E358" s="19"/>
    </row>
    <row r="359" spans="5:5">
      <c r="E359" s="19"/>
    </row>
    <row r="360" spans="5:5">
      <c r="E360" s="19"/>
    </row>
    <row r="361" spans="5:5">
      <c r="E361" s="19"/>
    </row>
    <row r="362" spans="5:5">
      <c r="E362" s="19"/>
    </row>
    <row r="363" spans="5:5">
      <c r="E363" s="19"/>
    </row>
    <row r="364" spans="5:5">
      <c r="E364" s="19"/>
    </row>
    <row r="365" spans="5:5">
      <c r="E365" s="19"/>
    </row>
    <row r="366" spans="5:5">
      <c r="E366" s="19"/>
    </row>
    <row r="367" spans="5:5">
      <c r="E367" s="19"/>
    </row>
    <row r="368" spans="5:5">
      <c r="E368" s="19"/>
    </row>
    <row r="369" spans="5:5">
      <c r="E369" s="19"/>
    </row>
    <row r="370" spans="5:5">
      <c r="E370" s="19"/>
    </row>
    <row r="371" spans="5:5">
      <c r="E371" s="19"/>
    </row>
    <row r="372" spans="5:5">
      <c r="E372" s="19"/>
    </row>
    <row r="373" spans="5:5">
      <c r="E373" s="19"/>
    </row>
    <row r="374" spans="5:5">
      <c r="E374" s="19"/>
    </row>
    <row r="375" spans="5:5">
      <c r="E375" s="19"/>
    </row>
    <row r="376" spans="5:5">
      <c r="E376" s="19"/>
    </row>
    <row r="377" spans="5:5">
      <c r="E377" s="19"/>
    </row>
    <row r="378" spans="5:5">
      <c r="E378" s="19"/>
    </row>
    <row r="379" spans="5:5">
      <c r="E379" s="19"/>
    </row>
    <row r="380" spans="5:5">
      <c r="E380" s="19"/>
    </row>
    <row r="381" spans="5:5">
      <c r="E381" s="19"/>
    </row>
    <row r="382" spans="5:5">
      <c r="E382" s="19"/>
    </row>
    <row r="383" spans="5:5">
      <c r="E383" s="19"/>
    </row>
    <row r="384" spans="5:5">
      <c r="E384" s="19"/>
    </row>
    <row r="385" spans="5:5">
      <c r="E385" s="19"/>
    </row>
    <row r="386" spans="5:5">
      <c r="E386" s="19"/>
    </row>
    <row r="387" spans="5:5">
      <c r="E387" s="19"/>
    </row>
    <row r="388" spans="5:5">
      <c r="E388" s="19"/>
    </row>
    <row r="389" spans="5:5">
      <c r="E389" s="19"/>
    </row>
    <row r="390" spans="5:5">
      <c r="E390" s="19"/>
    </row>
    <row r="391" spans="5:5">
      <c r="E391" s="19"/>
    </row>
    <row r="392" spans="5:5">
      <c r="E392" s="19"/>
    </row>
    <row r="393" spans="5:5">
      <c r="E393" s="19"/>
    </row>
    <row r="394" spans="5:5">
      <c r="E394" s="19"/>
    </row>
    <row r="395" spans="5:5">
      <c r="E395" s="19"/>
    </row>
    <row r="396" spans="5:5">
      <c r="E396" s="19"/>
    </row>
    <row r="397" spans="5:5">
      <c r="E397" s="19"/>
    </row>
    <row r="398" spans="5:5">
      <c r="E398" s="19"/>
    </row>
    <row r="399" spans="5:5">
      <c r="E399" s="19"/>
    </row>
    <row r="400" spans="5:5">
      <c r="E400" s="19"/>
    </row>
    <row r="401" spans="5:5">
      <c r="E401" s="19"/>
    </row>
    <row r="402" spans="5:5">
      <c r="E402" s="19"/>
    </row>
    <row r="403" spans="5:5">
      <c r="E403" s="19"/>
    </row>
    <row r="404" spans="5:5">
      <c r="E404" s="19"/>
    </row>
    <row r="405" spans="5:5">
      <c r="E405" s="19"/>
    </row>
    <row r="406" spans="5:5">
      <c r="E406" s="19"/>
    </row>
    <row r="407" spans="5:5">
      <c r="E407" s="19"/>
    </row>
    <row r="408" spans="5:5">
      <c r="E408" s="19"/>
    </row>
    <row r="409" spans="5:5">
      <c r="E409" s="19"/>
    </row>
    <row r="410" spans="5:5">
      <c r="E410" s="19"/>
    </row>
    <row r="411" spans="5:5">
      <c r="E411" s="19"/>
    </row>
    <row r="412" spans="5:5">
      <c r="E412" s="19"/>
    </row>
    <row r="413" spans="5:5">
      <c r="E413" s="19"/>
    </row>
    <row r="414" spans="5:5">
      <c r="E414" s="19"/>
    </row>
    <row r="415" spans="5:5">
      <c r="E415" s="19"/>
    </row>
    <row r="416" spans="5:5">
      <c r="E416" s="19"/>
    </row>
    <row r="417" spans="5:5">
      <c r="E417" s="19"/>
    </row>
    <row r="418" spans="5:5">
      <c r="E418" s="19"/>
    </row>
    <row r="419" spans="5:5">
      <c r="E419" s="19"/>
    </row>
    <row r="420" spans="5:5">
      <c r="E420" s="19"/>
    </row>
    <row r="421" spans="5:5">
      <c r="E421" s="19"/>
    </row>
    <row r="422" spans="5:5">
      <c r="E422" s="19"/>
    </row>
    <row r="423" spans="5:5">
      <c r="E423" s="19"/>
    </row>
    <row r="424" spans="5:5">
      <c r="E424" s="19"/>
    </row>
    <row r="425" spans="5:5">
      <c r="E425" s="19"/>
    </row>
    <row r="426" spans="5:5">
      <c r="E426" s="19"/>
    </row>
    <row r="427" spans="5:5">
      <c r="E427" s="19"/>
    </row>
    <row r="428" spans="5:5">
      <c r="E428" s="19"/>
    </row>
    <row r="429" spans="5:5">
      <c r="E429" s="19"/>
    </row>
    <row r="430" spans="5:5">
      <c r="E430" s="19"/>
    </row>
    <row r="431" spans="5:5">
      <c r="E431" s="19"/>
    </row>
    <row r="432" spans="5:5">
      <c r="E432" s="19"/>
    </row>
    <row r="433" spans="5:5">
      <c r="E433" s="19"/>
    </row>
    <row r="434" spans="5:5">
      <c r="E434" s="19"/>
    </row>
    <row r="435" spans="5:5">
      <c r="E435" s="19"/>
    </row>
    <row r="436" spans="5:5">
      <c r="E436" s="19"/>
    </row>
    <row r="437" spans="5:5">
      <c r="E437" s="19"/>
    </row>
    <row r="438" spans="5:5">
      <c r="E438" s="19"/>
    </row>
    <row r="439" spans="5:5">
      <c r="E439" s="19"/>
    </row>
    <row r="440" spans="5:5">
      <c r="E440" s="19"/>
    </row>
    <row r="441" spans="5:5">
      <c r="E441" s="19"/>
    </row>
    <row r="442" spans="5:5">
      <c r="E442" s="19"/>
    </row>
    <row r="443" spans="5:5">
      <c r="E443" s="19"/>
    </row>
    <row r="444" spans="5:5">
      <c r="E444" s="19"/>
    </row>
    <row r="445" spans="5:5">
      <c r="E445" s="19"/>
    </row>
    <row r="446" spans="5:5">
      <c r="E446" s="19"/>
    </row>
    <row r="447" spans="5:5">
      <c r="E447" s="19"/>
    </row>
    <row r="448" spans="5:5">
      <c r="E448" s="19"/>
    </row>
    <row r="449" spans="5:5">
      <c r="E449" s="19"/>
    </row>
    <row r="450" spans="5:5">
      <c r="E450" s="19"/>
    </row>
    <row r="451" spans="5:5">
      <c r="E451" s="19"/>
    </row>
    <row r="452" spans="5:5">
      <c r="E452" s="19"/>
    </row>
    <row r="453" spans="5:5">
      <c r="E453" s="19"/>
    </row>
    <row r="454" spans="5:5">
      <c r="E454" s="19"/>
    </row>
    <row r="455" spans="5:5">
      <c r="E455" s="19"/>
    </row>
    <row r="456" spans="5:5">
      <c r="E456" s="19"/>
    </row>
    <row r="457" spans="5:5">
      <c r="E457" s="19"/>
    </row>
    <row r="458" spans="5:5">
      <c r="E458" s="19"/>
    </row>
    <row r="459" spans="5:5">
      <c r="E459" s="19"/>
    </row>
    <row r="460" spans="5:5">
      <c r="E460" s="19"/>
    </row>
    <row r="461" spans="5:5">
      <c r="E461" s="19"/>
    </row>
    <row r="462" spans="5:5">
      <c r="E462" s="19"/>
    </row>
    <row r="463" spans="5:5">
      <c r="E463" s="19"/>
    </row>
    <row r="464" spans="5:5">
      <c r="E464" s="19"/>
    </row>
    <row r="465" spans="5:5">
      <c r="E465" s="19"/>
    </row>
    <row r="466" spans="5:5">
      <c r="E466" s="19"/>
    </row>
    <row r="467" spans="5:5">
      <c r="E467" s="19"/>
    </row>
    <row r="468" spans="5:5">
      <c r="E468" s="19"/>
    </row>
    <row r="469" spans="5:5">
      <c r="E469" s="19"/>
    </row>
    <row r="470" spans="5:5">
      <c r="E470" s="19"/>
    </row>
    <row r="471" spans="5:5">
      <c r="E471" s="19"/>
    </row>
    <row r="472" spans="5:5">
      <c r="E472" s="19"/>
    </row>
    <row r="473" spans="5:5">
      <c r="E473" s="19"/>
    </row>
    <row r="474" spans="5:5">
      <c r="E474" s="19"/>
    </row>
    <row r="475" spans="5:5">
      <c r="E475" s="19"/>
    </row>
    <row r="476" spans="5:5">
      <c r="E476" s="19"/>
    </row>
    <row r="477" spans="5:5">
      <c r="E477" s="19"/>
    </row>
    <row r="478" spans="5:5">
      <c r="E478" s="19"/>
    </row>
    <row r="479" spans="5:5">
      <c r="E479" s="19"/>
    </row>
    <row r="480" spans="5:5">
      <c r="E480" s="19"/>
    </row>
    <row r="481" spans="5:5">
      <c r="E481" s="19"/>
    </row>
    <row r="482" spans="5:5">
      <c r="E482" s="19"/>
    </row>
    <row r="483" spans="5:5">
      <c r="E483" s="19"/>
    </row>
    <row r="484" spans="5:5">
      <c r="E484" s="19"/>
    </row>
    <row r="485" spans="5:5">
      <c r="E485" s="19"/>
    </row>
    <row r="486" spans="5:5">
      <c r="E486" s="19"/>
    </row>
    <row r="487" spans="5:5">
      <c r="E487" s="19"/>
    </row>
    <row r="488" spans="5:5">
      <c r="E488" s="19"/>
    </row>
    <row r="489" spans="5:5">
      <c r="E489" s="19"/>
    </row>
    <row r="490" spans="5:5">
      <c r="E490" s="19"/>
    </row>
    <row r="491" spans="5:5">
      <c r="E491" s="19"/>
    </row>
    <row r="492" spans="5:5">
      <c r="E492" s="19"/>
    </row>
    <row r="493" spans="5:5">
      <c r="E493" s="19"/>
    </row>
    <row r="494" spans="5:5">
      <c r="E494" s="19"/>
    </row>
    <row r="495" spans="5:5">
      <c r="E495" s="19"/>
    </row>
    <row r="496" spans="5:5">
      <c r="E496" s="19"/>
    </row>
    <row r="497" spans="5:5">
      <c r="E497" s="19"/>
    </row>
    <row r="498" spans="5:5">
      <c r="E498" s="19"/>
    </row>
    <row r="499" spans="5:5">
      <c r="E499" s="19"/>
    </row>
    <row r="500" spans="5:5">
      <c r="E500" s="19"/>
    </row>
    <row r="501" spans="5:5">
      <c r="E501" s="19"/>
    </row>
    <row r="502" spans="5:5">
      <c r="E502" s="19"/>
    </row>
    <row r="503" spans="5:5">
      <c r="E503" s="19"/>
    </row>
    <row r="504" spans="5:5">
      <c r="E504" s="19"/>
    </row>
    <row r="505" spans="5:5">
      <c r="E505" s="19"/>
    </row>
    <row r="506" spans="5:5">
      <c r="E506" s="19"/>
    </row>
    <row r="507" spans="5:5">
      <c r="E507" s="19"/>
    </row>
    <row r="508" spans="5:5">
      <c r="E508" s="19"/>
    </row>
    <row r="509" spans="5:5">
      <c r="E509" s="19"/>
    </row>
    <row r="510" spans="5:5">
      <c r="E510" s="19"/>
    </row>
    <row r="511" spans="5:5">
      <c r="E511" s="19"/>
    </row>
    <row r="512" spans="5:5">
      <c r="E512" s="19"/>
    </row>
    <row r="513" spans="5:5">
      <c r="E513" s="19"/>
    </row>
    <row r="514" spans="5:5">
      <c r="E514" s="19"/>
    </row>
    <row r="515" spans="5:5">
      <c r="E515" s="19"/>
    </row>
    <row r="516" spans="5:5">
      <c r="E516" s="19"/>
    </row>
    <row r="517" spans="5:5">
      <c r="E517" s="19"/>
    </row>
    <row r="518" spans="5:5">
      <c r="E518" s="19"/>
    </row>
    <row r="519" spans="5:5">
      <c r="E519" s="19"/>
    </row>
    <row r="520" spans="5:5">
      <c r="E520" s="19"/>
    </row>
    <row r="521" spans="5:5">
      <c r="E521" s="19"/>
    </row>
    <row r="522" spans="5:5">
      <c r="E522" s="19"/>
    </row>
    <row r="523" spans="5:5">
      <c r="E523" s="19"/>
    </row>
    <row r="524" spans="5:5">
      <c r="E524" s="19"/>
    </row>
    <row r="525" spans="5:5">
      <c r="E525" s="19"/>
    </row>
    <row r="526" spans="5:5">
      <c r="E526" s="19"/>
    </row>
    <row r="527" spans="5:5">
      <c r="E527" s="19"/>
    </row>
    <row r="528" spans="5:5">
      <c r="E528" s="19"/>
    </row>
    <row r="529" spans="5:5">
      <c r="E529" s="19"/>
    </row>
    <row r="530" spans="5:5">
      <c r="E530" s="19"/>
    </row>
    <row r="531" spans="5:5">
      <c r="E531" s="19"/>
    </row>
    <row r="532" spans="5:5">
      <c r="E532" s="19"/>
    </row>
    <row r="533" spans="5:5">
      <c r="E533" s="19"/>
    </row>
    <row r="534" spans="5:5">
      <c r="E534" s="19"/>
    </row>
    <row r="535" spans="5:5">
      <c r="E535" s="19"/>
    </row>
    <row r="536" spans="5:5">
      <c r="E536" s="19"/>
    </row>
    <row r="537" spans="5:5">
      <c r="E537" s="19"/>
    </row>
    <row r="538" spans="5:5">
      <c r="E538" s="19"/>
    </row>
    <row r="539" spans="5:5">
      <c r="E539" s="19"/>
    </row>
    <row r="540" spans="5:5">
      <c r="E540" s="19"/>
    </row>
    <row r="541" spans="5:5">
      <c r="E541" s="19"/>
    </row>
    <row r="542" spans="5:5">
      <c r="E542" s="19"/>
    </row>
    <row r="543" spans="5:5">
      <c r="E543" s="19"/>
    </row>
    <row r="544" spans="5:5">
      <c r="E544" s="19"/>
    </row>
    <row r="545" spans="5:5">
      <c r="E545" s="19"/>
    </row>
    <row r="546" spans="5:5">
      <c r="E546" s="19"/>
    </row>
    <row r="547" spans="5:5">
      <c r="E547" s="19"/>
    </row>
    <row r="548" spans="5:5">
      <c r="E548" s="19"/>
    </row>
    <row r="549" spans="5:5">
      <c r="E549" s="19"/>
    </row>
    <row r="550" spans="5:5">
      <c r="E550" s="19"/>
    </row>
    <row r="551" spans="5:5">
      <c r="E551" s="19"/>
    </row>
    <row r="552" spans="5:5">
      <c r="E552" s="19"/>
    </row>
    <row r="553" spans="5:5">
      <c r="E553" s="19"/>
    </row>
    <row r="554" spans="5:5">
      <c r="E554" s="19"/>
    </row>
    <row r="555" spans="5:5">
      <c r="E555" s="19"/>
    </row>
    <row r="556" spans="5:5">
      <c r="E556" s="19"/>
    </row>
    <row r="557" spans="5:5">
      <c r="E557" s="19"/>
    </row>
    <row r="558" spans="5:5">
      <c r="E558" s="19"/>
    </row>
    <row r="559" spans="5:5">
      <c r="E559" s="19"/>
    </row>
    <row r="560" spans="5:5">
      <c r="E560" s="19"/>
    </row>
    <row r="561" spans="5:5">
      <c r="E561" s="19"/>
    </row>
    <row r="562" spans="5:5">
      <c r="E562" s="19"/>
    </row>
    <row r="563" spans="5:5">
      <c r="E563" s="19"/>
    </row>
    <row r="564" spans="5:5">
      <c r="E564" s="19"/>
    </row>
    <row r="565" spans="5:5">
      <c r="E565" s="19"/>
    </row>
    <row r="566" spans="5:5">
      <c r="E566" s="19"/>
    </row>
    <row r="567" spans="5:5">
      <c r="E567" s="19"/>
    </row>
    <row r="568" spans="5:5">
      <c r="E568" s="19"/>
    </row>
    <row r="569" spans="5:5">
      <c r="E569" s="19"/>
    </row>
    <row r="570" spans="5:5">
      <c r="E570" s="19"/>
    </row>
    <row r="571" spans="5:5">
      <c r="E571" s="19"/>
    </row>
    <row r="572" spans="5:5">
      <c r="E572" s="19"/>
    </row>
    <row r="573" spans="5:5">
      <c r="E573" s="19"/>
    </row>
    <row r="574" spans="5:5">
      <c r="E574" s="19"/>
    </row>
    <row r="575" spans="5:5">
      <c r="E575" s="19"/>
    </row>
    <row r="576" spans="5:5">
      <c r="E576" s="19"/>
    </row>
    <row r="577" spans="5:5">
      <c r="E577" s="19"/>
    </row>
    <row r="578" spans="5:5">
      <c r="E578" s="19"/>
    </row>
    <row r="579" spans="5:5">
      <c r="E579" s="19"/>
    </row>
    <row r="580" spans="5:5">
      <c r="E580" s="19"/>
    </row>
    <row r="581" spans="5:5">
      <c r="E581" s="19"/>
    </row>
    <row r="582" spans="5:5">
      <c r="E582" s="19"/>
    </row>
    <row r="583" spans="5:5">
      <c r="E583" s="19"/>
    </row>
    <row r="584" spans="5:5">
      <c r="E584" s="19"/>
    </row>
    <row r="585" spans="5:5">
      <c r="E585" s="19"/>
    </row>
    <row r="586" spans="5:5">
      <c r="E586" s="19"/>
    </row>
    <row r="587" spans="5:5">
      <c r="E587" s="19"/>
    </row>
    <row r="588" spans="5:5">
      <c r="E588" s="19"/>
    </row>
    <row r="589" spans="5:5">
      <c r="E589" s="19"/>
    </row>
    <row r="590" spans="5:5">
      <c r="E590" s="19"/>
    </row>
    <row r="591" spans="5:5">
      <c r="E591" s="19"/>
    </row>
    <row r="592" spans="5:5">
      <c r="E592" s="19"/>
    </row>
    <row r="593" spans="5:5">
      <c r="E593" s="19"/>
    </row>
    <row r="594" spans="5:5">
      <c r="E594" s="19"/>
    </row>
    <row r="595" spans="5:5">
      <c r="E595" s="19"/>
    </row>
    <row r="596" spans="5:5">
      <c r="E596" s="19"/>
    </row>
    <row r="597" spans="5:5">
      <c r="E597" s="19"/>
    </row>
    <row r="598" spans="5:5">
      <c r="E598" s="19"/>
    </row>
    <row r="599" spans="5:5">
      <c r="E599" s="19"/>
    </row>
    <row r="600" spans="5:5">
      <c r="E600" s="19"/>
    </row>
    <row r="601" spans="5:5">
      <c r="E601" s="19"/>
    </row>
    <row r="602" spans="5:5">
      <c r="E602" s="19"/>
    </row>
    <row r="603" spans="5:5">
      <c r="E603" s="19"/>
    </row>
    <row r="604" spans="5:5">
      <c r="E604" s="19"/>
    </row>
    <row r="605" spans="5:5">
      <c r="E605" s="19"/>
    </row>
    <row r="606" spans="5:5">
      <c r="E606" s="19"/>
    </row>
    <row r="607" spans="5:5">
      <c r="E607" s="19"/>
    </row>
    <row r="608" spans="5:5">
      <c r="E608" s="19"/>
    </row>
    <row r="609" spans="5:5">
      <c r="E609" s="19"/>
    </row>
    <row r="610" spans="5:5">
      <c r="E610" s="19"/>
    </row>
    <row r="611" spans="5:5">
      <c r="E611" s="19"/>
    </row>
    <row r="612" spans="5:5">
      <c r="E612" s="19"/>
    </row>
    <row r="613" spans="5:5">
      <c r="E613" s="19"/>
    </row>
    <row r="614" spans="5:5">
      <c r="E614" s="19"/>
    </row>
    <row r="615" spans="5:5">
      <c r="E615" s="19"/>
    </row>
    <row r="616" spans="5:5">
      <c r="E616" s="19"/>
    </row>
    <row r="617" spans="5:5">
      <c r="E617" s="19"/>
    </row>
    <row r="618" spans="5:5">
      <c r="E618" s="19"/>
    </row>
    <row r="619" spans="5:5">
      <c r="E619" s="19"/>
    </row>
    <row r="620" spans="5:5">
      <c r="E620" s="19"/>
    </row>
    <row r="621" spans="5:5">
      <c r="E621" s="19"/>
    </row>
    <row r="622" spans="5:5">
      <c r="E622" s="19"/>
    </row>
    <row r="623" spans="5:5">
      <c r="E623" s="19"/>
    </row>
    <row r="624" spans="5:5">
      <c r="E624" s="19"/>
    </row>
    <row r="625" spans="5:5">
      <c r="E625" s="19"/>
    </row>
    <row r="626" spans="5:5">
      <c r="E626" s="19"/>
    </row>
    <row r="627" spans="5:5">
      <c r="E627" s="19"/>
    </row>
    <row r="628" spans="5:5">
      <c r="E628" s="19"/>
    </row>
    <row r="629" spans="5:5">
      <c r="E629" s="19"/>
    </row>
    <row r="630" spans="5:5">
      <c r="E630" s="19"/>
    </row>
    <row r="631" spans="5:5">
      <c r="E631" s="19"/>
    </row>
    <row r="632" spans="5:5">
      <c r="E632" s="19"/>
    </row>
    <row r="633" spans="5:5">
      <c r="E633" s="19"/>
    </row>
    <row r="634" spans="5:5">
      <c r="E634" s="19"/>
    </row>
    <row r="635" spans="5:5">
      <c r="E635" s="19"/>
    </row>
    <row r="636" spans="5:5">
      <c r="E636" s="19"/>
    </row>
    <row r="637" spans="5:5">
      <c r="E637" s="19"/>
    </row>
    <row r="638" spans="5:5">
      <c r="E638" s="19"/>
    </row>
    <row r="639" spans="5:5">
      <c r="E639" s="19"/>
    </row>
    <row r="640" spans="5:5">
      <c r="E640" s="19"/>
    </row>
    <row r="641" spans="5:5">
      <c r="E641" s="19"/>
    </row>
    <row r="642" spans="5:5">
      <c r="E642" s="19"/>
    </row>
    <row r="643" spans="5:5">
      <c r="E643" s="19"/>
    </row>
    <row r="644" spans="5:5">
      <c r="E644" s="19"/>
    </row>
    <row r="645" spans="5:5">
      <c r="E645" s="19"/>
    </row>
    <row r="646" spans="5:5">
      <c r="E646" s="19"/>
    </row>
    <row r="647" spans="5:5">
      <c r="E647" s="19"/>
    </row>
    <row r="648" spans="5:5">
      <c r="E648" s="19"/>
    </row>
    <row r="649" spans="5:5">
      <c r="E649" s="19"/>
    </row>
    <row r="650" spans="5:5">
      <c r="E650" s="19"/>
    </row>
    <row r="651" spans="5:5">
      <c r="E651" s="19"/>
    </row>
    <row r="652" spans="5:5">
      <c r="E652" s="19"/>
    </row>
    <row r="653" spans="5:5">
      <c r="E653" s="19"/>
    </row>
    <row r="654" spans="5:5">
      <c r="E654" s="19"/>
    </row>
    <row r="655" spans="5:5">
      <c r="E655" s="19"/>
    </row>
    <row r="656" spans="5:5">
      <c r="E656" s="19"/>
    </row>
    <row r="657" spans="5:5">
      <c r="E657" s="19"/>
    </row>
    <row r="658" spans="5:5">
      <c r="E658" s="19"/>
    </row>
    <row r="659" spans="5:5">
      <c r="E659" s="19"/>
    </row>
    <row r="660" spans="5:5">
      <c r="E660" s="19"/>
    </row>
    <row r="661" spans="5:5">
      <c r="E661" s="19"/>
    </row>
    <row r="662" spans="5:5">
      <c r="E662" s="19"/>
    </row>
    <row r="663" spans="5:5">
      <c r="E663" s="19"/>
    </row>
    <row r="664" spans="5:5">
      <c r="E664" s="19"/>
    </row>
    <row r="665" spans="5:5">
      <c r="E665" s="19"/>
    </row>
    <row r="666" spans="5:5">
      <c r="E666" s="19"/>
    </row>
    <row r="667" spans="5:5">
      <c r="E667" s="19"/>
    </row>
    <row r="668" spans="5:5">
      <c r="E668" s="19"/>
    </row>
    <row r="669" spans="5:5">
      <c r="E669" s="19"/>
    </row>
    <row r="670" spans="5:5">
      <c r="E670" s="19"/>
    </row>
    <row r="671" spans="5:5">
      <c r="E671" s="19"/>
    </row>
    <row r="672" spans="5:5">
      <c r="E672" s="19"/>
    </row>
    <row r="673" spans="5:5">
      <c r="E673" s="19"/>
    </row>
    <row r="674" spans="5:5">
      <c r="E674" s="19"/>
    </row>
    <row r="675" spans="5:5">
      <c r="E675" s="19"/>
    </row>
    <row r="676" spans="5:5">
      <c r="E676" s="19"/>
    </row>
    <row r="677" spans="5:5">
      <c r="E677" s="19"/>
    </row>
    <row r="678" spans="5:5">
      <c r="E678" s="19"/>
    </row>
    <row r="679" spans="5:5">
      <c r="E679" s="19"/>
    </row>
    <row r="680" spans="5:5">
      <c r="E680" s="19"/>
    </row>
    <row r="681" spans="5:5">
      <c r="E681" s="19"/>
    </row>
    <row r="682" spans="5:5">
      <c r="E682" s="19"/>
    </row>
    <row r="683" spans="5:5">
      <c r="E683" s="19"/>
    </row>
    <row r="684" spans="5:5">
      <c r="E684" s="19"/>
    </row>
    <row r="685" spans="5:5">
      <c r="E685" s="19"/>
    </row>
    <row r="686" spans="5:5">
      <c r="E686" s="19"/>
    </row>
    <row r="687" spans="5:5">
      <c r="E687" s="19"/>
    </row>
    <row r="688" spans="5:5">
      <c r="E688" s="19"/>
    </row>
    <row r="689" spans="5:5">
      <c r="E689" s="19"/>
    </row>
    <row r="690" spans="5:5">
      <c r="E690" s="19"/>
    </row>
    <row r="691" spans="5:5">
      <c r="E691" s="19"/>
    </row>
    <row r="692" spans="5:5">
      <c r="E692" s="19"/>
    </row>
    <row r="693" spans="5:5">
      <c r="E693" s="19"/>
    </row>
    <row r="694" spans="5:5">
      <c r="E694" s="19"/>
    </row>
    <row r="695" spans="5:5">
      <c r="E695" s="19"/>
    </row>
    <row r="696" spans="5:5">
      <c r="E696" s="19"/>
    </row>
    <row r="697" spans="5:5">
      <c r="E697" s="19"/>
    </row>
    <row r="698" spans="5:5">
      <c r="E698" s="19"/>
    </row>
    <row r="699" spans="5:5">
      <c r="E699" s="19"/>
    </row>
    <row r="700" spans="5:5">
      <c r="E700" s="19"/>
    </row>
    <row r="701" spans="5:5">
      <c r="E701" s="19"/>
    </row>
    <row r="702" spans="5:5">
      <c r="E702" s="19"/>
    </row>
    <row r="703" spans="5:5">
      <c r="E703" s="19"/>
    </row>
    <row r="704" spans="5:5">
      <c r="E704" s="19"/>
    </row>
    <row r="705" spans="5:5">
      <c r="E705" s="19"/>
    </row>
    <row r="706" spans="5:5">
      <c r="E706" s="19"/>
    </row>
    <row r="707" spans="5:5">
      <c r="E707" s="19"/>
    </row>
    <row r="708" spans="5:5">
      <c r="E708" s="19"/>
    </row>
    <row r="709" spans="5:5">
      <c r="E709" s="19"/>
    </row>
    <row r="710" spans="5:5">
      <c r="E710" s="19"/>
    </row>
    <row r="711" spans="5:5">
      <c r="E711" s="19"/>
    </row>
    <row r="712" spans="5:5">
      <c r="E712" s="19"/>
    </row>
    <row r="713" spans="5:5">
      <c r="E713" s="19"/>
    </row>
    <row r="714" spans="5:5">
      <c r="E714" s="19"/>
    </row>
    <row r="715" spans="5:5">
      <c r="E715" s="19"/>
    </row>
    <row r="716" spans="5:5">
      <c r="E716" s="19"/>
    </row>
    <row r="717" spans="5:5">
      <c r="E717" s="19"/>
    </row>
    <row r="718" spans="5:5">
      <c r="E718" s="19"/>
    </row>
    <row r="719" spans="5:5">
      <c r="E719" s="19"/>
    </row>
    <row r="720" spans="5:5">
      <c r="E720" s="19"/>
    </row>
    <row r="721" spans="5:5">
      <c r="E721" s="19"/>
    </row>
    <row r="722" spans="5:5">
      <c r="E722" s="19"/>
    </row>
    <row r="723" spans="5:5">
      <c r="E723" s="19"/>
    </row>
    <row r="724" spans="5:5">
      <c r="E724" s="19"/>
    </row>
    <row r="725" spans="5:5">
      <c r="E725" s="19"/>
    </row>
    <row r="726" spans="5:5">
      <c r="E726" s="19"/>
    </row>
    <row r="727" spans="5:5">
      <c r="E727" s="19"/>
    </row>
    <row r="728" spans="5:5">
      <c r="E728" s="19"/>
    </row>
    <row r="729" spans="5:5">
      <c r="E729" s="19"/>
    </row>
    <row r="730" spans="5:5">
      <c r="E730" s="19"/>
    </row>
    <row r="731" spans="5:5">
      <c r="E731" s="19"/>
    </row>
    <row r="732" spans="5:5">
      <c r="E732" s="19"/>
    </row>
    <row r="733" spans="5:5">
      <c r="E733" s="19"/>
    </row>
    <row r="734" spans="5:5">
      <c r="E734" s="19"/>
    </row>
    <row r="735" spans="5:5">
      <c r="E735" s="19"/>
    </row>
    <row r="736" spans="5:5">
      <c r="E736" s="19"/>
    </row>
    <row r="737" spans="5:5">
      <c r="E737" s="19"/>
    </row>
    <row r="738" spans="5:5">
      <c r="E738" s="19"/>
    </row>
    <row r="739" spans="5:5">
      <c r="E739" s="19"/>
    </row>
    <row r="740" spans="5:5">
      <c r="E740" s="19"/>
    </row>
    <row r="741" spans="5:5">
      <c r="E741" s="19"/>
    </row>
    <row r="742" spans="5:5">
      <c r="E742" s="19"/>
    </row>
    <row r="743" spans="5:5">
      <c r="E743" s="19"/>
    </row>
    <row r="744" spans="5:5">
      <c r="E744" s="19"/>
    </row>
    <row r="745" spans="5:5">
      <c r="E745" s="19"/>
    </row>
    <row r="746" spans="5:5">
      <c r="E746" s="19"/>
    </row>
    <row r="747" spans="5:5">
      <c r="E747" s="19"/>
    </row>
    <row r="748" spans="5:5">
      <c r="E748" s="19"/>
    </row>
    <row r="749" spans="5:5">
      <c r="E749" s="19"/>
    </row>
    <row r="750" spans="5:5">
      <c r="E750" s="19"/>
    </row>
    <row r="751" spans="5:5">
      <c r="E751" s="19"/>
    </row>
    <row r="752" spans="5:5">
      <c r="E752" s="19"/>
    </row>
    <row r="753" spans="5:5">
      <c r="E753" s="19"/>
    </row>
    <row r="754" spans="5:5">
      <c r="E754" s="19"/>
    </row>
    <row r="755" spans="5:5">
      <c r="E755" s="19"/>
    </row>
    <row r="756" spans="5:5">
      <c r="E756" s="19"/>
    </row>
    <row r="757" spans="5:5">
      <c r="E757" s="19"/>
    </row>
    <row r="758" spans="5:5">
      <c r="E758" s="19"/>
    </row>
    <row r="759" spans="5:5">
      <c r="E759" s="19"/>
    </row>
    <row r="760" spans="5:5">
      <c r="E760" s="19"/>
    </row>
    <row r="761" spans="5:5">
      <c r="E761" s="19"/>
    </row>
    <row r="762" spans="5:5">
      <c r="E762" s="19"/>
    </row>
    <row r="763" spans="5:5">
      <c r="E763" s="19"/>
    </row>
    <row r="764" spans="5:5">
      <c r="E764" s="19"/>
    </row>
    <row r="765" spans="5:5">
      <c r="E765" s="19"/>
    </row>
    <row r="766" spans="5:5">
      <c r="E766" s="19"/>
    </row>
    <row r="767" spans="5:5">
      <c r="E767" s="19"/>
    </row>
    <row r="768" spans="5:5">
      <c r="E768" s="19"/>
    </row>
    <row r="769" spans="5:5">
      <c r="E769" s="19"/>
    </row>
    <row r="770" spans="5:5">
      <c r="E770" s="19"/>
    </row>
    <row r="771" spans="5:5">
      <c r="E771" s="19"/>
    </row>
    <row r="772" spans="5:5">
      <c r="E772" s="19"/>
    </row>
    <row r="773" spans="5:5">
      <c r="E773" s="19"/>
    </row>
    <row r="774" spans="5:5">
      <c r="E774" s="19"/>
    </row>
    <row r="775" spans="5:5">
      <c r="E775" s="19"/>
    </row>
    <row r="776" spans="5:5">
      <c r="E776" s="19"/>
    </row>
    <row r="777" spans="5:5">
      <c r="E777" s="19"/>
    </row>
    <row r="778" spans="5:5">
      <c r="E778" s="19"/>
    </row>
    <row r="779" spans="5:5">
      <c r="E779" s="19"/>
    </row>
    <row r="780" spans="5:5">
      <c r="E780" s="19"/>
    </row>
    <row r="781" spans="5:5">
      <c r="E781" s="19"/>
    </row>
    <row r="782" spans="5:5">
      <c r="E782" s="19"/>
    </row>
    <row r="783" spans="5:5">
      <c r="E783" s="19"/>
    </row>
    <row r="784" spans="5:5">
      <c r="E784" s="19"/>
    </row>
    <row r="785" spans="5:5">
      <c r="E785" s="19"/>
    </row>
    <row r="786" spans="5:5">
      <c r="E786" s="19"/>
    </row>
    <row r="787" spans="5:5">
      <c r="E787" s="19"/>
    </row>
    <row r="788" spans="5:5">
      <c r="E788" s="19"/>
    </row>
    <row r="789" spans="5:5">
      <c r="E789" s="19"/>
    </row>
    <row r="790" spans="5:5">
      <c r="E790" s="19"/>
    </row>
    <row r="791" spans="5:5">
      <c r="E791" s="19"/>
    </row>
    <row r="792" spans="5:5">
      <c r="E792" s="19"/>
    </row>
    <row r="793" spans="5:5">
      <c r="E793" s="19"/>
    </row>
    <row r="794" spans="5:5">
      <c r="E794" s="19"/>
    </row>
    <row r="795" spans="5:5">
      <c r="E795" s="19"/>
    </row>
    <row r="796" spans="5:5">
      <c r="E796" s="19"/>
    </row>
    <row r="797" spans="5:5">
      <c r="E797" s="19"/>
    </row>
    <row r="798" spans="5:5">
      <c r="E798" s="19"/>
    </row>
    <row r="799" spans="5:5">
      <c r="E799" s="19"/>
    </row>
    <row r="800" spans="5:5">
      <c r="E800" s="19"/>
    </row>
    <row r="801" spans="5:5">
      <c r="E801" s="19"/>
    </row>
    <row r="802" spans="5:5">
      <c r="E802" s="19"/>
    </row>
    <row r="803" spans="5:5">
      <c r="E803" s="19"/>
    </row>
    <row r="804" spans="5:5">
      <c r="E804" s="19"/>
    </row>
    <row r="805" spans="5:5">
      <c r="E805" s="19"/>
    </row>
    <row r="806" spans="5:5">
      <c r="E806" s="19"/>
    </row>
    <row r="807" spans="5:5">
      <c r="E807" s="19"/>
    </row>
    <row r="808" spans="5:5">
      <c r="E808" s="19"/>
    </row>
    <row r="809" spans="5:5">
      <c r="E809" s="19"/>
    </row>
    <row r="810" spans="5:5">
      <c r="E810" s="19"/>
    </row>
    <row r="811" spans="5:5">
      <c r="E811" s="19"/>
    </row>
    <row r="812" spans="5:5">
      <c r="E812" s="19"/>
    </row>
    <row r="813" spans="5:5">
      <c r="E813" s="19"/>
    </row>
    <row r="814" spans="5:5">
      <c r="E814" s="19"/>
    </row>
    <row r="815" spans="5:5">
      <c r="E815" s="19"/>
    </row>
    <row r="816" spans="5:5">
      <c r="E816" s="19"/>
    </row>
    <row r="817" spans="5:5">
      <c r="E817" s="19"/>
    </row>
    <row r="818" spans="5:5">
      <c r="E818" s="19"/>
    </row>
    <row r="819" spans="5:5">
      <c r="E819" s="19"/>
    </row>
    <row r="820" spans="5:5">
      <c r="E820" s="19"/>
    </row>
    <row r="821" spans="5:5">
      <c r="E821" s="19"/>
    </row>
    <row r="822" spans="5:5">
      <c r="E822" s="19"/>
    </row>
    <row r="823" spans="5:5">
      <c r="E823" s="19"/>
    </row>
    <row r="824" spans="5:5">
      <c r="E824" s="19"/>
    </row>
    <row r="825" spans="5:5">
      <c r="E825" s="19"/>
    </row>
    <row r="826" spans="5:5">
      <c r="E826" s="19"/>
    </row>
    <row r="827" spans="5:5">
      <c r="E827" s="19"/>
    </row>
    <row r="828" spans="5:5">
      <c r="E828" s="19"/>
    </row>
    <row r="829" spans="5:5">
      <c r="E829" s="19"/>
    </row>
    <row r="830" spans="5:5">
      <c r="E830" s="19"/>
    </row>
    <row r="831" spans="5:5">
      <c r="E831" s="19"/>
    </row>
    <row r="832" spans="5:5">
      <c r="E832" s="19"/>
    </row>
    <row r="833" spans="5:5">
      <c r="E833" s="19"/>
    </row>
    <row r="834" spans="5:5">
      <c r="E834" s="19"/>
    </row>
    <row r="835" spans="5:5">
      <c r="E835" s="19"/>
    </row>
    <row r="836" spans="5:5">
      <c r="E836" s="19"/>
    </row>
    <row r="837" spans="5:5">
      <c r="E837" s="19"/>
    </row>
    <row r="838" spans="5:5">
      <c r="E838" s="19"/>
    </row>
    <row r="839" spans="5:5">
      <c r="E839" s="19"/>
    </row>
    <row r="840" spans="5:5">
      <c r="E840" s="19"/>
    </row>
    <row r="841" spans="5:5">
      <c r="E841" s="19"/>
    </row>
    <row r="842" spans="5:5">
      <c r="E842" s="19"/>
    </row>
    <row r="843" spans="5:5">
      <c r="E843" s="19"/>
    </row>
    <row r="844" spans="5:5">
      <c r="E844" s="19"/>
    </row>
    <row r="845" spans="5:5">
      <c r="E845" s="19"/>
    </row>
    <row r="846" spans="5:5">
      <c r="E846" s="19"/>
    </row>
    <row r="847" spans="5:5">
      <c r="E847" s="19"/>
    </row>
    <row r="848" spans="5:5">
      <c r="E848" s="19"/>
    </row>
    <row r="849" spans="5:5">
      <c r="E849" s="19"/>
    </row>
    <row r="850" spans="5:5">
      <c r="E850" s="19"/>
    </row>
    <row r="851" spans="5:5">
      <c r="E851" s="19"/>
    </row>
    <row r="852" spans="5:5">
      <c r="E852" s="19"/>
    </row>
    <row r="853" spans="5:5">
      <c r="E853" s="19"/>
    </row>
    <row r="854" spans="5:5">
      <c r="E854" s="19"/>
    </row>
    <row r="855" spans="5:5">
      <c r="E855" s="19"/>
    </row>
    <row r="856" spans="5:5">
      <c r="E856" s="19"/>
    </row>
    <row r="857" spans="5:5">
      <c r="E857" s="19"/>
    </row>
    <row r="858" spans="5:5">
      <c r="E858" s="19"/>
    </row>
  </sheetData>
  <conditionalFormatting sqref="G229:G237 F229:F234 F236:F237 F227:J227 H237:K237 H229:H231 E238:J238 H233:H236 I229:J236 F212:J220">
    <cfRule type="expression" dxfId="9" priority="1">
      <formula>#REF!=0</formula>
    </cfRule>
  </conditionalFormatting>
  <printOptions headings="1"/>
  <pageMargins left="0.23622047244094491" right="0.27559055118110237" top="0.74803149606299213" bottom="0.74803149606299213" header="0.31496062992125984" footer="0.31496062992125984"/>
  <pageSetup paperSize="8" scale="53" fitToHeight="0" orientation="portrait" r:id="rId1"/>
  <drawing r:id="rId2"/>
  <legacyDrawing r:id="rId3"/>
</worksheet>
</file>

<file path=xl/worksheets/sheet12.xml><?xml version="1.0" encoding="utf-8"?>
<worksheet xmlns="http://schemas.openxmlformats.org/spreadsheetml/2006/main" xmlns:r="http://schemas.openxmlformats.org/officeDocument/2006/relationships">
  <sheetPr codeName="Sheet38">
    <tabColor theme="9" tint="0.79998168889431442"/>
    <pageSetUpPr fitToPage="1"/>
  </sheetPr>
  <dimension ref="A1:Z858"/>
  <sheetViews>
    <sheetView zoomScaleNormal="100" workbookViewId="0"/>
  </sheetViews>
  <sheetFormatPr defaultRowHeight="15"/>
  <cols>
    <col min="1" max="2" width="4.140625" style="22" customWidth="1"/>
    <col min="3" max="3" width="47.5703125" style="22" customWidth="1"/>
    <col min="4" max="4" width="13.5703125" style="22" customWidth="1"/>
    <col min="5" max="5" width="10.5703125" style="22" customWidth="1"/>
    <col min="6" max="6" width="13.42578125" style="22" customWidth="1"/>
    <col min="7" max="7" width="10.42578125" style="22" customWidth="1"/>
    <col min="8" max="8" width="11.5703125" style="22" customWidth="1"/>
    <col min="9" max="9" width="10.28515625" style="22" customWidth="1"/>
    <col min="10" max="10" width="13.7109375" style="22" customWidth="1"/>
    <col min="11" max="11" width="11.28515625" style="22" customWidth="1"/>
    <col min="12" max="12" width="19.5703125" style="22" bestFit="1" customWidth="1"/>
    <col min="13" max="13" width="11.5703125" style="22" bestFit="1" customWidth="1"/>
    <col min="14" max="16384" width="9.140625" style="22"/>
  </cols>
  <sheetData>
    <row r="1" spans="1:16" ht="23.25">
      <c r="A1" s="27"/>
      <c r="C1" s="1" t="str">
        <f ca="1">OFFSET(Inputs_Anchor,0,G1+1)</f>
        <v xml:space="preserve">Nelson Electricity </v>
      </c>
      <c r="D1" s="1"/>
      <c r="E1" s="1"/>
      <c r="F1" s="4" t="s">
        <v>109</v>
      </c>
      <c r="G1" s="5">
        <v>8</v>
      </c>
      <c r="H1" s="1"/>
      <c r="I1" s="1"/>
      <c r="J1" s="1"/>
      <c r="K1" s="1"/>
      <c r="L1" s="1"/>
      <c r="M1" s="1"/>
      <c r="N1" s="1"/>
      <c r="O1" s="1"/>
      <c r="P1" s="1"/>
    </row>
    <row r="2" spans="1:16">
      <c r="A2" s="27"/>
      <c r="L2" s="26"/>
    </row>
    <row r="3" spans="1:16" ht="23.25">
      <c r="C3" s="1" t="s">
        <v>3</v>
      </c>
      <c r="D3" s="1"/>
      <c r="E3" s="1"/>
      <c r="F3" s="1"/>
      <c r="G3" s="1"/>
      <c r="H3" s="1"/>
      <c r="I3" s="1"/>
      <c r="J3" s="1"/>
      <c r="K3" s="1"/>
      <c r="L3" s="1"/>
      <c r="M3" s="1"/>
      <c r="N3" s="1"/>
      <c r="O3" s="1"/>
      <c r="P3" s="1"/>
    </row>
    <row r="4" spans="1:16">
      <c r="A4" s="27"/>
      <c r="B4" s="27"/>
      <c r="C4" s="27"/>
      <c r="D4" s="147" t="s">
        <v>57</v>
      </c>
      <c r="E4" s="147" t="s">
        <v>58</v>
      </c>
      <c r="F4" s="27"/>
      <c r="G4" s="27"/>
      <c r="H4" s="148" t="s">
        <v>5</v>
      </c>
      <c r="I4" s="27"/>
      <c r="J4" s="27"/>
      <c r="K4" s="27"/>
      <c r="L4" s="27"/>
    </row>
    <row r="5" spans="1:16">
      <c r="A5" s="30"/>
      <c r="B5" s="27"/>
      <c r="C5" s="27"/>
      <c r="D5" s="147" t="s">
        <v>56</v>
      </c>
      <c r="E5" s="147"/>
      <c r="F5" s="27"/>
      <c r="G5" s="27"/>
      <c r="H5" s="27"/>
      <c r="I5" s="27"/>
      <c r="J5" s="27"/>
      <c r="K5" s="27"/>
      <c r="L5" s="27"/>
    </row>
    <row r="6" spans="1:16">
      <c r="A6" s="119"/>
      <c r="B6" s="50"/>
      <c r="C6" s="99" t="s">
        <v>1</v>
      </c>
      <c r="D6" s="50"/>
      <c r="E6" s="99" t="str">
        <f>Inputs!D11</f>
        <v>2009/10</v>
      </c>
      <c r="F6" s="99" t="str">
        <f>Inputs!E11</f>
        <v>2010/11</v>
      </c>
      <c r="G6" s="99" t="str">
        <f>Inputs!F11</f>
        <v>2011/12</v>
      </c>
      <c r="H6" s="99" t="str">
        <f>Inputs!G11</f>
        <v>2012/13</v>
      </c>
      <c r="I6" s="99" t="str">
        <f>Inputs!H11</f>
        <v>2013/14</v>
      </c>
      <c r="J6" s="99" t="str">
        <f>Inputs!I11</f>
        <v>2014/15</v>
      </c>
      <c r="K6" s="99"/>
      <c r="L6" s="67"/>
    </row>
    <row r="7" spans="1:16">
      <c r="A7" s="119"/>
      <c r="B7" s="50"/>
      <c r="C7" s="50" t="s">
        <v>59</v>
      </c>
      <c r="D7" s="50"/>
      <c r="E7" s="125">
        <v>1</v>
      </c>
      <c r="F7" s="125">
        <v>2</v>
      </c>
      <c r="G7" s="125">
        <v>3</v>
      </c>
      <c r="H7" s="125">
        <v>4</v>
      </c>
      <c r="I7" s="125">
        <v>5</v>
      </c>
      <c r="J7" s="125">
        <v>6</v>
      </c>
      <c r="K7" s="125"/>
      <c r="L7" s="67"/>
    </row>
    <row r="8" spans="1:16">
      <c r="A8" s="119">
        <v>1</v>
      </c>
      <c r="B8" s="149"/>
      <c r="C8" s="50" t="str">
        <f>Inputs!B20</f>
        <v>Line Revenue through Prices</v>
      </c>
      <c r="D8" s="50"/>
      <c r="E8" s="47">
        <f t="shared" ref="E8:E27" si="0">INDEX(InputsBlock,A8+1,$G$1+2)</f>
        <v>8325.509</v>
      </c>
      <c r="F8" s="50"/>
      <c r="G8" s="50"/>
      <c r="H8" s="50"/>
      <c r="I8" s="50"/>
      <c r="J8" s="50"/>
      <c r="K8" s="50"/>
      <c r="L8" s="27"/>
    </row>
    <row r="9" spans="1:16">
      <c r="A9" s="119">
        <f t="shared" ref="A9:A27" si="1">A8+1</f>
        <v>2</v>
      </c>
      <c r="B9" s="149"/>
      <c r="C9" s="50" t="str">
        <f>Inputs!B21</f>
        <v>Pass-through costs</v>
      </c>
      <c r="D9" s="50"/>
      <c r="E9" s="47">
        <f t="shared" si="0"/>
        <v>60</v>
      </c>
      <c r="F9" s="50"/>
      <c r="G9" s="50"/>
      <c r="H9" s="50"/>
      <c r="I9" s="50"/>
      <c r="J9" s="50"/>
      <c r="K9" s="50"/>
      <c r="L9" s="27"/>
    </row>
    <row r="10" spans="1:16">
      <c r="A10" s="119">
        <f t="shared" si="1"/>
        <v>3</v>
      </c>
      <c r="B10" s="149"/>
      <c r="C10" s="50" t="str">
        <f>Inputs!B22</f>
        <v>Recoverable costs</v>
      </c>
      <c r="D10" s="50"/>
      <c r="E10" s="47">
        <f t="shared" si="0"/>
        <v>2479</v>
      </c>
      <c r="F10" s="50"/>
      <c r="G10" s="50"/>
      <c r="H10" s="50"/>
      <c r="I10" s="50"/>
      <c r="J10" s="50"/>
      <c r="K10" s="50"/>
      <c r="L10" s="27"/>
    </row>
    <row r="11" spans="1:16">
      <c r="A11" s="119">
        <f t="shared" si="1"/>
        <v>4</v>
      </c>
      <c r="B11" s="149"/>
      <c r="C11" s="50" t="str">
        <f>Inputs!B23</f>
        <v>Opening RAB</v>
      </c>
      <c r="D11" s="50"/>
      <c r="E11" s="47">
        <f t="shared" si="0"/>
        <v>27058.117302182734</v>
      </c>
      <c r="F11" s="50"/>
      <c r="G11" s="50"/>
      <c r="H11" s="50"/>
      <c r="I11" s="50"/>
      <c r="J11" s="50"/>
      <c r="K11" s="50"/>
      <c r="L11" s="150"/>
    </row>
    <row r="12" spans="1:16">
      <c r="A12" s="119">
        <f t="shared" si="1"/>
        <v>5</v>
      </c>
      <c r="B12" s="149"/>
      <c r="C12" s="50" t="str">
        <f>Inputs!B24</f>
        <v>Lost assets</v>
      </c>
      <c r="D12" s="50"/>
      <c r="E12" s="47">
        <f t="shared" si="0"/>
        <v>0</v>
      </c>
      <c r="F12" s="50"/>
      <c r="G12" s="50"/>
      <c r="H12" s="50"/>
      <c r="I12" s="50"/>
      <c r="J12" s="50"/>
      <c r="K12" s="50"/>
      <c r="L12" s="150"/>
    </row>
    <row r="13" spans="1:16">
      <c r="A13" s="119">
        <f t="shared" si="1"/>
        <v>6</v>
      </c>
      <c r="B13" s="149"/>
      <c r="C13" s="50" t="str">
        <f>Inputs!B25</f>
        <v>Found Assets</v>
      </c>
      <c r="D13" s="50"/>
      <c r="E13" s="47">
        <f t="shared" si="0"/>
        <v>0</v>
      </c>
      <c r="F13" s="50"/>
      <c r="G13" s="50"/>
      <c r="H13" s="50"/>
      <c r="I13" s="50"/>
      <c r="J13" s="50"/>
      <c r="K13" s="50"/>
      <c r="L13" s="150"/>
    </row>
    <row r="14" spans="1:16">
      <c r="A14" s="119">
        <f t="shared" si="1"/>
        <v>7</v>
      </c>
      <c r="B14" s="149"/>
      <c r="C14" s="50" t="str">
        <f>Inputs!B26</f>
        <v>Total Depreciation</v>
      </c>
      <c r="D14" s="50"/>
      <c r="E14" s="47">
        <f t="shared" si="0"/>
        <v>1084.6002031156527</v>
      </c>
      <c r="F14" s="47"/>
      <c r="G14" s="191" t="s">
        <v>280</v>
      </c>
      <c r="H14" s="50"/>
      <c r="I14" s="50"/>
      <c r="J14" s="50"/>
      <c r="K14" s="50"/>
      <c r="L14" s="27"/>
    </row>
    <row r="15" spans="1:16">
      <c r="A15" s="119">
        <f t="shared" si="1"/>
        <v>8</v>
      </c>
      <c r="B15" s="149"/>
      <c r="C15" s="50" t="str">
        <f>Inputs!B27</f>
        <v>RAB of disposed assets</v>
      </c>
      <c r="D15" s="50"/>
      <c r="E15" s="47">
        <f t="shared" si="0"/>
        <v>0</v>
      </c>
      <c r="F15" s="50"/>
      <c r="G15" s="175" t="s">
        <v>281</v>
      </c>
      <c r="H15" s="50"/>
      <c r="I15" s="50"/>
      <c r="J15" s="50"/>
      <c r="K15" s="50"/>
      <c r="L15" s="27"/>
    </row>
    <row r="16" spans="1:16">
      <c r="A16" s="119">
        <f t="shared" si="1"/>
        <v>9</v>
      </c>
      <c r="B16" s="149"/>
      <c r="C16" s="50" t="str">
        <f>Inputs!B28</f>
        <v>Discretionary discounts &amp;  rebates</v>
      </c>
      <c r="D16" s="50"/>
      <c r="E16" s="47">
        <f t="shared" si="0"/>
        <v>0</v>
      </c>
      <c r="F16" s="50"/>
      <c r="G16" s="175" t="s">
        <v>282</v>
      </c>
      <c r="H16" s="50"/>
      <c r="I16" s="50"/>
      <c r="J16" s="50"/>
      <c r="K16" s="50"/>
      <c r="L16" s="27"/>
    </row>
    <row r="17" spans="1:22">
      <c r="A17" s="119">
        <f t="shared" si="1"/>
        <v>10</v>
      </c>
      <c r="B17" s="149"/>
      <c r="C17" s="50" t="str">
        <f>Inputs!B29</f>
        <v>Tax Depreciation</v>
      </c>
      <c r="D17" s="50"/>
      <c r="E17" s="47">
        <f t="shared" si="0"/>
        <v>608</v>
      </c>
      <c r="F17" s="50"/>
      <c r="G17" s="175" t="s">
        <v>283</v>
      </c>
      <c r="H17" s="50"/>
      <c r="I17" s="50"/>
      <c r="J17" s="50"/>
      <c r="K17" s="50"/>
      <c r="L17" s="27"/>
    </row>
    <row r="18" spans="1:22">
      <c r="A18" s="119">
        <f t="shared" si="1"/>
        <v>11</v>
      </c>
      <c r="B18" s="149"/>
      <c r="C18" s="50" t="str">
        <f>Inputs!B30</f>
        <v>Opening regulatory tax asset value</v>
      </c>
      <c r="D18" s="50"/>
      <c r="E18" s="47">
        <f t="shared" si="0"/>
        <v>6448</v>
      </c>
      <c r="F18" s="50"/>
      <c r="G18" s="50"/>
      <c r="H18" s="50"/>
      <c r="I18" s="50"/>
      <c r="J18" s="50"/>
      <c r="K18" s="50"/>
      <c r="L18" s="27"/>
    </row>
    <row r="19" spans="1:22">
      <c r="A19" s="119">
        <f t="shared" si="1"/>
        <v>12</v>
      </c>
      <c r="B19" s="149"/>
      <c r="C19" s="50" t="str">
        <f>Inputs!B31</f>
        <v>Weighted Average Remaining Life at year-end</v>
      </c>
      <c r="D19" s="50"/>
      <c r="E19" s="47">
        <f t="shared" si="0"/>
        <v>31.242014055559167</v>
      </c>
      <c r="F19" s="50"/>
      <c r="G19" s="50"/>
      <c r="H19" s="50"/>
      <c r="I19" s="50"/>
      <c r="J19" s="50"/>
      <c r="K19" s="50"/>
      <c r="L19" s="27"/>
    </row>
    <row r="20" spans="1:22">
      <c r="A20" s="119">
        <f t="shared" si="1"/>
        <v>13</v>
      </c>
      <c r="B20" s="149"/>
      <c r="C20" s="50" t="str">
        <f>Inputs!B32</f>
        <v>Term Credit Spread Differential Allowance</v>
      </c>
      <c r="D20" s="50"/>
      <c r="E20" s="47">
        <f t="shared" si="0"/>
        <v>0</v>
      </c>
      <c r="F20" s="50"/>
      <c r="G20" s="50"/>
      <c r="H20" s="50"/>
      <c r="I20" s="50"/>
      <c r="J20" s="50"/>
      <c r="K20" s="50"/>
      <c r="L20" s="27"/>
    </row>
    <row r="21" spans="1:22">
      <c r="A21" s="119">
        <f t="shared" si="1"/>
        <v>14</v>
      </c>
      <c r="B21" s="149"/>
      <c r="C21" s="50" t="s">
        <v>98</v>
      </c>
      <c r="D21" s="50"/>
      <c r="E21" s="47">
        <f t="shared" si="0"/>
        <v>1238.6400000000001</v>
      </c>
      <c r="F21" s="50"/>
      <c r="G21" s="50"/>
      <c r="H21" s="50"/>
      <c r="I21" s="50"/>
      <c r="J21" s="50"/>
      <c r="K21" s="50"/>
      <c r="L21" s="27"/>
    </row>
    <row r="22" spans="1:22">
      <c r="A22" s="119">
        <f t="shared" si="1"/>
        <v>15</v>
      </c>
      <c r="B22" s="149"/>
      <c r="C22" s="50" t="str">
        <f>Inputs!B34</f>
        <v>Operating expenditure 2009/10</v>
      </c>
      <c r="D22" s="50"/>
      <c r="E22" s="47">
        <f t="shared" si="0"/>
        <v>2092.9300000000003</v>
      </c>
      <c r="F22" s="50"/>
      <c r="G22" s="50"/>
      <c r="H22" s="50"/>
      <c r="I22" s="50"/>
      <c r="J22" s="50"/>
      <c r="K22" s="50"/>
      <c r="L22" s="27"/>
    </row>
    <row r="23" spans="1:22">
      <c r="A23" s="119">
        <f t="shared" si="1"/>
        <v>16</v>
      </c>
      <c r="B23" s="149"/>
      <c r="C23" s="50" t="str">
        <f>Inputs!B35</f>
        <v>Other reg income (avg of 2008 to 11, in 2009/10 $)</v>
      </c>
      <c r="D23" s="50"/>
      <c r="E23" s="47">
        <f t="shared" si="0"/>
        <v>0</v>
      </c>
      <c r="F23" s="50"/>
      <c r="G23" s="50"/>
      <c r="H23" s="50"/>
      <c r="I23" s="50"/>
      <c r="J23" s="50"/>
      <c r="K23" s="49"/>
      <c r="L23" s="27"/>
    </row>
    <row r="24" spans="1:22">
      <c r="A24" s="119">
        <f t="shared" si="1"/>
        <v>17</v>
      </c>
      <c r="B24" s="149"/>
      <c r="C24" s="119" t="str">
        <f>Inputs!B36</f>
        <v>Allowable notional revenue 2012/13</v>
      </c>
      <c r="D24" s="50"/>
      <c r="E24" s="47">
        <f t="shared" si="0"/>
        <v>6939</v>
      </c>
      <c r="F24" s="50"/>
      <c r="G24" s="50"/>
      <c r="H24" s="50"/>
      <c r="I24" s="50"/>
      <c r="J24" s="50"/>
      <c r="K24" s="49"/>
      <c r="L24" s="27"/>
    </row>
    <row r="25" spans="1:22">
      <c r="A25" s="119">
        <f t="shared" si="1"/>
        <v>18</v>
      </c>
      <c r="B25" s="149"/>
      <c r="C25" s="119" t="str">
        <f>Inputs!B37</f>
        <v>Pass-through costs 2012/13</v>
      </c>
      <c r="D25" s="50"/>
      <c r="E25" s="47">
        <f t="shared" si="0"/>
        <v>2765</v>
      </c>
      <c r="F25" s="50"/>
      <c r="G25" s="50"/>
      <c r="H25" s="50"/>
      <c r="I25" s="50"/>
      <c r="J25" s="50"/>
      <c r="K25" s="49"/>
      <c r="L25" s="27"/>
    </row>
    <row r="26" spans="1:22">
      <c r="A26" s="119">
        <f t="shared" si="1"/>
        <v>19</v>
      </c>
      <c r="B26" s="50"/>
      <c r="C26" s="50" t="str">
        <f>Inputs!B38</f>
        <v>Alternate X value to 2014/15</v>
      </c>
      <c r="D26" s="49"/>
      <c r="E26" s="151" t="str">
        <f t="shared" si="0"/>
        <v>IWX</v>
      </c>
      <c r="F26" s="50"/>
      <c r="G26" s="50"/>
      <c r="H26" s="50"/>
      <c r="I26" s="50"/>
      <c r="J26" s="50"/>
      <c r="K26" s="49"/>
      <c r="L26" s="27"/>
    </row>
    <row r="27" spans="1:22">
      <c r="A27" s="119">
        <f t="shared" si="1"/>
        <v>20</v>
      </c>
      <c r="B27" s="50"/>
      <c r="C27" s="50" t="str">
        <f>Inputs!B39</f>
        <v>Cap on growth of maximum allowable revenue</v>
      </c>
      <c r="D27" s="50"/>
      <c r="E27" s="151">
        <f t="shared" si="0"/>
        <v>0.2</v>
      </c>
      <c r="F27" s="50"/>
      <c r="G27" s="50"/>
      <c r="H27" s="50"/>
      <c r="I27" s="50"/>
      <c r="J27" s="50"/>
      <c r="K27" s="49"/>
      <c r="L27" s="27"/>
    </row>
    <row r="28" spans="1:22">
      <c r="A28" s="119"/>
      <c r="B28" s="149"/>
      <c r="C28" s="50" t="s">
        <v>30</v>
      </c>
      <c r="D28" s="50"/>
      <c r="E28" s="130">
        <f>E22</f>
        <v>2092.9300000000003</v>
      </c>
      <c r="F28" s="47">
        <f>INDEX(OpexBlock,F7-1,$G$1)</f>
        <v>2159.0527302088258</v>
      </c>
      <c r="G28" s="47">
        <f>INDEX(OpexBlock,G7-1,$G$1)</f>
        <v>2261.7125727096982</v>
      </c>
      <c r="H28" s="47">
        <f>INDEX(OpexBlock,H7-1,$G$1)</f>
        <v>2325.766556585826</v>
      </c>
      <c r="I28" s="47">
        <f>INDEX(OpexBlock,I7-1,$G$1)</f>
        <v>2409.7780385106776</v>
      </c>
      <c r="J28" s="47">
        <f>INDEX(OpexBlock,J7-1,$G$1)</f>
        <v>2484.1294160849757</v>
      </c>
      <c r="K28" s="49"/>
      <c r="L28" s="50"/>
      <c r="M28" s="15"/>
    </row>
    <row r="29" spans="1:22">
      <c r="A29" s="119"/>
      <c r="B29" s="149"/>
      <c r="C29" s="50" t="s">
        <v>158</v>
      </c>
      <c r="D29" s="47"/>
      <c r="E29" s="130">
        <f>E21</f>
        <v>1238.6400000000001</v>
      </c>
      <c r="F29" s="47">
        <f>INDEX(CommAssetsBlock,F7-1,$G$1)</f>
        <v>6159.2162954699461</v>
      </c>
      <c r="G29" s="47">
        <f>INDEX(CommAssetsBlock,G7-1,$G$1)</f>
        <v>6343.2496365325369</v>
      </c>
      <c r="H29" s="47">
        <f>INDEX(CommAssetsBlock,H7-1,$G$1)</f>
        <v>1905.7838145694009</v>
      </c>
      <c r="I29" s="47">
        <f>INDEX(CommAssetsBlock,I7-1,$G$1)</f>
        <v>1558.4483373156763</v>
      </c>
      <c r="J29" s="47">
        <f>INDEX(CommAssetsBlock,J7-1,$G$1)</f>
        <v>1729.7715949268061</v>
      </c>
      <c r="K29" s="49"/>
      <c r="L29" s="50"/>
      <c r="M29" s="15"/>
    </row>
    <row r="30" spans="1:22">
      <c r="A30" s="119"/>
      <c r="B30" s="149"/>
      <c r="C30" s="50" t="s">
        <v>200</v>
      </c>
      <c r="D30" s="47"/>
      <c r="E30" s="49"/>
      <c r="F30" s="110">
        <f>INDEX(ConstPriceRevGrwth,F$7-1,$G$1)</f>
        <v>5.2828068935345121E-3</v>
      </c>
      <c r="G30" s="110">
        <f>INDEX(ConstPriceRevGrwth,G$7-1,$G$1)</f>
        <v>5.2828068935345121E-3</v>
      </c>
      <c r="H30" s="110">
        <f>INDEX(ConstPriceRevGrwth,H$7-1,$G$1)</f>
        <v>5.2828068935345121E-3</v>
      </c>
      <c r="I30" s="110">
        <f>INDEX(ConstPriceRevGrwth,I$7-1,$G$1)</f>
        <v>5.2828068935345121E-3</v>
      </c>
      <c r="J30" s="110">
        <f>INDEX(ConstPriceRevGrwth,J$7-1,$G$1)</f>
        <v>5.2828068935345121E-3</v>
      </c>
      <c r="K30" s="49"/>
      <c r="L30" s="50"/>
      <c r="M30" s="15"/>
      <c r="U30" s="15"/>
      <c r="V30" s="15"/>
    </row>
    <row r="31" spans="1:22" ht="15.75" thickBot="1">
      <c r="A31" s="119"/>
      <c r="B31" s="149"/>
      <c r="C31" s="50"/>
      <c r="D31" s="47"/>
      <c r="E31" s="49"/>
      <c r="F31" s="50"/>
      <c r="G31" s="49"/>
      <c r="H31" s="49"/>
      <c r="I31" s="49"/>
      <c r="J31" s="49"/>
      <c r="K31" s="49"/>
      <c r="L31" s="27"/>
      <c r="M31" s="15"/>
      <c r="U31" s="15"/>
      <c r="V31" s="15"/>
    </row>
    <row r="32" spans="1:22" ht="16.5" thickBot="1">
      <c r="A32" s="119"/>
      <c r="B32" s="149"/>
      <c r="C32" s="121" t="s">
        <v>182</v>
      </c>
      <c r="D32" s="47"/>
      <c r="E32" s="49"/>
      <c r="F32" s="50"/>
      <c r="G32" s="49"/>
      <c r="H32" s="49"/>
      <c r="I32" s="49"/>
      <c r="J32" s="49"/>
      <c r="K32" s="49"/>
      <c r="L32" s="195" t="s">
        <v>322</v>
      </c>
      <c r="M32" s="111"/>
      <c r="N32" s="34"/>
      <c r="O32" s="34"/>
      <c r="P32" s="34"/>
      <c r="Q32" s="34"/>
      <c r="R32" s="34"/>
      <c r="S32" s="34"/>
      <c r="T32" s="34"/>
      <c r="U32" s="34"/>
      <c r="V32" s="35"/>
    </row>
    <row r="33" spans="1:26">
      <c r="A33" s="119"/>
      <c r="B33" s="149"/>
      <c r="C33" s="122" t="str">
        <f>Inputs!B13</f>
        <v>2009 ΔCPI, 2 index, no lag, no GST adjustment</v>
      </c>
      <c r="D33" s="47"/>
      <c r="E33" s="49">
        <f>Inputs!D13</f>
        <v>1.7233850022212005E-2</v>
      </c>
      <c r="F33" s="49">
        <f>Inputs!E13</f>
        <v>1.9812209526758329E-2</v>
      </c>
      <c r="G33" s="49">
        <f>Inputs!F13</f>
        <v>2.4339880629970168E-2</v>
      </c>
      <c r="H33" s="49">
        <f>Inputs!G13</f>
        <v>2.2893253753313525E-2</v>
      </c>
      <c r="I33" s="49">
        <f>Inputs!H13</f>
        <v>2.144662687665666E-2</v>
      </c>
      <c r="J33" s="49">
        <f>Inputs!I13</f>
        <v>2.0000000000000018E-2</v>
      </c>
      <c r="K33" s="50"/>
      <c r="L33" s="196" t="s">
        <v>194</v>
      </c>
      <c r="M33" s="50"/>
      <c r="N33" s="15"/>
      <c r="O33" s="15"/>
      <c r="P33" s="15"/>
      <c r="Q33" s="15"/>
      <c r="R33" s="15"/>
      <c r="S33" s="15"/>
      <c r="T33" s="15"/>
      <c r="U33" s="15"/>
      <c r="V33" s="29"/>
    </row>
    <row r="34" spans="1:26">
      <c r="A34" s="119"/>
      <c r="B34" s="149"/>
      <c r="C34" s="122" t="str">
        <f>Inputs!B14</f>
        <v>2012 ΔCPI, 2 index, no lag, no GST adjustment</v>
      </c>
      <c r="D34" s="47"/>
      <c r="E34" s="49"/>
      <c r="F34" s="49">
        <f>Inputs!E14</f>
        <v>4.4667274384685429E-2</v>
      </c>
      <c r="G34" s="49">
        <f>Inputs!F14</f>
        <v>1.5706806282722585E-2</v>
      </c>
      <c r="H34" s="49">
        <f>Inputs!G14</f>
        <v>1.8041237113401998E-2</v>
      </c>
      <c r="I34" s="49">
        <f>Inputs!H14</f>
        <v>1.7721518987341867E-2</v>
      </c>
      <c r="J34" s="49">
        <f>Inputs!I14</f>
        <v>2.3217247097844007E-2</v>
      </c>
      <c r="K34" s="50"/>
      <c r="L34" s="196" t="s">
        <v>320</v>
      </c>
      <c r="M34" s="50"/>
      <c r="N34" s="15"/>
      <c r="O34" s="15"/>
      <c r="P34" s="15"/>
      <c r="Q34" s="15"/>
      <c r="R34" s="15"/>
      <c r="S34" s="15"/>
      <c r="T34" s="15"/>
      <c r="U34" s="15"/>
      <c r="V34" s="29"/>
    </row>
    <row r="35" spans="1:26">
      <c r="A35" s="119"/>
      <c r="B35" s="149"/>
      <c r="C35" s="122" t="str">
        <f>Inputs!B15</f>
        <v>2009 ΔCPI, 8 index, lagged, no GST adjustment</v>
      </c>
      <c r="D35" s="47"/>
      <c r="E35" s="49"/>
      <c r="F35" s="49"/>
      <c r="G35" s="49">
        <f>Inputs!F15</f>
        <v>1.6991832174541255E-2</v>
      </c>
      <c r="H35" s="49">
        <f>Inputs!G15</f>
        <v>2.0741514169093644E-2</v>
      </c>
      <c r="I35" s="49">
        <f>Inputs!H15</f>
        <v>2.3759818812291389E-2</v>
      </c>
      <c r="J35" s="49">
        <f>Inputs!I15</f>
        <v>2.2164443909808984E-2</v>
      </c>
      <c r="K35" s="50"/>
      <c r="L35" s="196" t="s">
        <v>321</v>
      </c>
      <c r="M35" s="50"/>
      <c r="N35" s="15"/>
      <c r="O35" s="15"/>
      <c r="P35" s="15"/>
      <c r="Q35" s="15"/>
      <c r="R35" s="15"/>
      <c r="S35" s="15"/>
      <c r="T35" s="15"/>
      <c r="U35" s="15"/>
      <c r="V35" s="29"/>
    </row>
    <row r="36" spans="1:26">
      <c r="A36" s="149"/>
      <c r="B36" s="149"/>
      <c r="C36" s="122" t="str">
        <f>Inputs!B16</f>
        <v>2012 ΔCPI, 8 index, lagged, no GST adjustment</v>
      </c>
      <c r="D36" s="50"/>
      <c r="E36" s="49"/>
      <c r="F36" s="49">
        <f>Inputs!E16</f>
        <v>2.465039108793543E-2</v>
      </c>
      <c r="G36" s="49">
        <f>Inputs!F16</f>
        <v>1.7811704834605591E-2</v>
      </c>
      <c r="H36" s="49">
        <f>Inputs!G16</f>
        <v>4.5909090909090899E-2</v>
      </c>
      <c r="I36" s="49">
        <f>Inputs!H16</f>
        <v>1.2820512820512775E-2</v>
      </c>
      <c r="J36" s="49">
        <f>Inputs!I16</f>
        <v>1.9725095732576747E-2</v>
      </c>
      <c r="K36" s="50"/>
      <c r="L36" s="196" t="s">
        <v>365</v>
      </c>
      <c r="M36" s="50"/>
      <c r="N36" s="15"/>
      <c r="O36" s="15"/>
      <c r="P36" s="15"/>
      <c r="Q36" s="15"/>
      <c r="R36" s="15"/>
      <c r="S36" s="15"/>
      <c r="T36" s="15"/>
      <c r="U36" s="15"/>
      <c r="V36" s="29"/>
    </row>
    <row r="37" spans="1:26" ht="15.75" thickBot="1">
      <c r="A37" s="149"/>
      <c r="B37" s="149"/>
      <c r="C37" s="122" t="str">
        <f>Inputs!B17</f>
        <v>2012 ΔCPI, 8 index, lagged, with GST adjustment</v>
      </c>
      <c r="D37" s="50"/>
      <c r="E37" s="49"/>
      <c r="F37" s="112">
        <f>Inputs!E17</f>
        <v>2.4650391087935652E-2</v>
      </c>
      <c r="G37" s="112">
        <f>Inputs!F17</f>
        <v>1.7811704834605369E-2</v>
      </c>
      <c r="H37" s="112">
        <f>Inputs!G17</f>
        <v>2.5401069518716568E-2</v>
      </c>
      <c r="I37" s="49">
        <f>Inputs!H17</f>
        <v>1.2820512820512775E-2</v>
      </c>
      <c r="J37" s="49">
        <f>Inputs!I17</f>
        <v>1.9725095732576747E-2</v>
      </c>
      <c r="K37" s="50"/>
      <c r="L37" s="219" t="s">
        <v>409</v>
      </c>
      <c r="M37" s="220"/>
      <c r="N37" s="220"/>
      <c r="O37" s="220"/>
      <c r="P37" s="220"/>
      <c r="Q37" s="220"/>
      <c r="R37" s="220"/>
      <c r="S37" s="220"/>
      <c r="T37" s="220"/>
      <c r="U37" s="220"/>
      <c r="V37" s="221"/>
    </row>
    <row r="38" spans="1:26">
      <c r="A38" s="149"/>
      <c r="B38" s="149"/>
      <c r="C38" s="122"/>
      <c r="D38" s="50"/>
      <c r="E38" s="49"/>
      <c r="F38" s="112"/>
      <c r="G38" s="112"/>
      <c r="H38" s="112"/>
      <c r="I38" s="49"/>
      <c r="J38" s="49"/>
      <c r="K38" s="49"/>
      <c r="L38" s="49"/>
      <c r="M38" s="49"/>
      <c r="N38" s="49"/>
      <c r="O38" s="49"/>
      <c r="P38" s="49"/>
      <c r="Q38" s="49"/>
      <c r="R38" s="49"/>
      <c r="S38" s="49"/>
      <c r="T38" s="49"/>
      <c r="U38" s="49"/>
      <c r="V38" s="49"/>
      <c r="W38" s="49"/>
      <c r="X38" s="49"/>
      <c r="Y38" s="49"/>
      <c r="Z38" s="49"/>
    </row>
    <row r="39" spans="1:26" ht="23.25">
      <c r="A39" s="50"/>
      <c r="B39" s="50"/>
      <c r="C39" s="1" t="s">
        <v>4</v>
      </c>
      <c r="D39" s="153" t="s">
        <v>36</v>
      </c>
      <c r="E39" s="153" t="s">
        <v>35</v>
      </c>
      <c r="F39" s="152"/>
      <c r="G39" s="152"/>
      <c r="H39" s="152"/>
      <c r="I39" s="152"/>
      <c r="J39" s="152"/>
      <c r="K39" s="152"/>
      <c r="L39" s="152"/>
      <c r="M39" s="152"/>
      <c r="N39" s="194"/>
      <c r="O39" s="194"/>
      <c r="P39" s="194"/>
    </row>
    <row r="40" spans="1:26">
      <c r="A40" s="50"/>
      <c r="B40" s="50"/>
      <c r="C40" s="50"/>
      <c r="D40" s="50"/>
      <c r="E40" s="154" t="s">
        <v>183</v>
      </c>
      <c r="F40" s="154" t="s">
        <v>184</v>
      </c>
      <c r="G40" s="154" t="s">
        <v>185</v>
      </c>
      <c r="H40" s="154" t="s">
        <v>186</v>
      </c>
      <c r="I40" s="154" t="s">
        <v>187</v>
      </c>
      <c r="J40" s="154" t="s">
        <v>188</v>
      </c>
      <c r="K40" s="154"/>
      <c r="L40" s="154"/>
      <c r="M40" s="48"/>
    </row>
    <row r="41" spans="1:26">
      <c r="A41" s="50"/>
      <c r="B41" s="50"/>
      <c r="C41" s="50" t="s">
        <v>129</v>
      </c>
      <c r="D41" s="50"/>
      <c r="E41" s="49">
        <f t="shared" ref="E41:J41" si="2">E33</f>
        <v>1.7233850022212005E-2</v>
      </c>
      <c r="F41" s="49">
        <f t="shared" si="2"/>
        <v>1.9812209526758329E-2</v>
      </c>
      <c r="G41" s="49">
        <f t="shared" si="2"/>
        <v>2.4339880629970168E-2</v>
      </c>
      <c r="H41" s="49">
        <f t="shared" si="2"/>
        <v>2.2893253753313525E-2</v>
      </c>
      <c r="I41" s="49">
        <f t="shared" si="2"/>
        <v>2.144662687665666E-2</v>
      </c>
      <c r="J41" s="49">
        <f t="shared" si="2"/>
        <v>2.0000000000000018E-2</v>
      </c>
      <c r="K41" s="51"/>
      <c r="L41" s="47"/>
      <c r="M41" s="15"/>
    </row>
    <row r="42" spans="1:26">
      <c r="A42" s="50"/>
      <c r="B42" s="50"/>
      <c r="C42" s="50" t="s">
        <v>163</v>
      </c>
      <c r="D42" s="50"/>
      <c r="E42" s="49"/>
      <c r="F42" s="49">
        <f>F34</f>
        <v>4.4667274384685429E-2</v>
      </c>
      <c r="G42" s="49">
        <f>G34</f>
        <v>1.5706806282722585E-2</v>
      </c>
      <c r="H42" s="49">
        <f>H34</f>
        <v>1.8041237113401998E-2</v>
      </c>
      <c r="I42" s="49">
        <f>I34</f>
        <v>1.7721518987341867E-2</v>
      </c>
      <c r="J42" s="49">
        <f>J34</f>
        <v>2.3217247097844007E-2</v>
      </c>
      <c r="K42" s="51"/>
      <c r="L42" s="47"/>
      <c r="M42" s="15"/>
    </row>
    <row r="43" spans="1:26">
      <c r="A43" s="50"/>
      <c r="B43" s="50"/>
      <c r="C43" s="50" t="s">
        <v>122</v>
      </c>
      <c r="D43" s="50"/>
      <c r="E43" s="130">
        <f>E23</f>
        <v>0</v>
      </c>
      <c r="F43" s="47">
        <f>E43*(1+F42)</f>
        <v>0</v>
      </c>
      <c r="G43" s="47">
        <f>F43*(1+G42)</f>
        <v>0</v>
      </c>
      <c r="H43" s="47">
        <f>G43*(1+H42)</f>
        <v>0</v>
      </c>
      <c r="I43" s="47">
        <f>H43*(1+I42)</f>
        <v>0</v>
      </c>
      <c r="J43" s="47">
        <f>I43*(1+J42)</f>
        <v>0</v>
      </c>
      <c r="K43" s="50"/>
      <c r="L43" s="47"/>
      <c r="M43" s="15"/>
    </row>
    <row r="44" spans="1:26">
      <c r="A44" s="50"/>
      <c r="B44" s="50"/>
      <c r="C44" s="50"/>
      <c r="D44" s="50"/>
      <c r="E44" s="51"/>
      <c r="F44" s="51"/>
      <c r="G44" s="51"/>
      <c r="H44" s="51"/>
      <c r="I44" s="51"/>
      <c r="J44" s="51"/>
      <c r="K44" s="51"/>
      <c r="L44" s="27"/>
      <c r="M44" s="15"/>
    </row>
    <row r="45" spans="1:26" ht="21">
      <c r="A45" s="50"/>
      <c r="B45" s="50"/>
      <c r="C45" s="155" t="s">
        <v>69</v>
      </c>
      <c r="D45" s="50"/>
      <c r="E45" s="50"/>
      <c r="F45" s="51"/>
      <c r="G45" s="51"/>
      <c r="H45" s="51"/>
      <c r="I45" s="51"/>
      <c r="J45" s="51"/>
      <c r="K45" s="51"/>
      <c r="L45" s="27"/>
      <c r="M45" s="15"/>
    </row>
    <row r="46" spans="1:26" ht="18">
      <c r="A46" s="50"/>
      <c r="B46" s="50"/>
      <c r="C46" s="50" t="s">
        <v>70</v>
      </c>
      <c r="D46" s="156">
        <f>'Timing Assumptions'!C23</f>
        <v>1.0428084742793051</v>
      </c>
      <c r="E46" s="50"/>
      <c r="F46" s="51"/>
      <c r="G46" s="51"/>
      <c r="H46" s="51"/>
      <c r="I46" s="51"/>
      <c r="J46" s="51"/>
      <c r="K46" s="51"/>
      <c r="L46" s="51"/>
      <c r="M46" s="15"/>
    </row>
    <row r="47" spans="1:26" ht="18">
      <c r="A47" s="50"/>
      <c r="B47" s="50"/>
      <c r="C47" s="50" t="s">
        <v>71</v>
      </c>
      <c r="D47" s="156">
        <f>'Timing Assumptions'!C24</f>
        <v>1.0428084742793051</v>
      </c>
      <c r="E47" s="50"/>
      <c r="F47" s="51"/>
      <c r="G47" s="51"/>
      <c r="H47" s="51"/>
      <c r="I47" s="51"/>
      <c r="J47" s="51"/>
      <c r="K47" s="51"/>
      <c r="L47" s="51"/>
      <c r="M47" s="15"/>
    </row>
    <row r="48" spans="1:26" ht="18">
      <c r="A48" s="50"/>
      <c r="B48" s="50"/>
      <c r="C48" s="50" t="s">
        <v>125</v>
      </c>
      <c r="D48" s="156">
        <f>'Timing Assumptions'!C25</f>
        <v>1.0428084742793051</v>
      </c>
      <c r="E48" s="50"/>
      <c r="F48" s="50"/>
      <c r="G48" s="51"/>
      <c r="H48" s="51"/>
      <c r="I48" s="51"/>
      <c r="J48" s="51"/>
      <c r="K48" s="95"/>
      <c r="L48" s="51"/>
      <c r="M48" s="15"/>
    </row>
    <row r="49" spans="1:16" ht="18">
      <c r="A49" s="50"/>
      <c r="B49" s="50"/>
      <c r="C49" s="50" t="s">
        <v>123</v>
      </c>
      <c r="D49" s="156">
        <f>'Timing Assumptions'!C26</f>
        <v>1.0428084742793051</v>
      </c>
      <c r="E49" s="50"/>
      <c r="F49" s="50"/>
      <c r="G49" s="51"/>
      <c r="H49" s="51"/>
      <c r="I49" s="51"/>
      <c r="J49" s="51"/>
      <c r="K49" s="95"/>
      <c r="L49" s="51"/>
      <c r="M49" s="15"/>
    </row>
    <row r="50" spans="1:16" ht="18">
      <c r="A50" s="50"/>
      <c r="B50" s="50"/>
      <c r="C50" s="50" t="s">
        <v>72</v>
      </c>
      <c r="D50" s="156">
        <f>'Timing Assumptions'!C27</f>
        <v>1.0346743941931567</v>
      </c>
      <c r="E50" s="51"/>
      <c r="F50" s="51"/>
      <c r="G50" s="51"/>
      <c r="H50" s="51"/>
      <c r="I50" s="50"/>
      <c r="J50" s="50"/>
      <c r="K50" s="95"/>
      <c r="L50" s="51"/>
      <c r="M50" s="15"/>
    </row>
    <row r="51" spans="1:16">
      <c r="A51" s="50"/>
      <c r="B51" s="50"/>
      <c r="C51" s="50"/>
      <c r="D51" s="50"/>
      <c r="E51" s="50"/>
      <c r="F51" s="50"/>
      <c r="G51" s="50"/>
      <c r="H51" s="50"/>
      <c r="I51" s="50"/>
      <c r="J51" s="50"/>
      <c r="K51" s="95"/>
      <c r="L51" s="27"/>
      <c r="M51" s="15"/>
    </row>
    <row r="52" spans="1:16" ht="21">
      <c r="A52" s="50"/>
      <c r="B52" s="50"/>
      <c r="C52" s="155" t="s">
        <v>105</v>
      </c>
      <c r="D52" s="155"/>
      <c r="E52" s="155"/>
      <c r="F52" s="155"/>
      <c r="G52" s="155"/>
      <c r="H52" s="155"/>
      <c r="I52" s="155"/>
      <c r="J52" s="155"/>
      <c r="K52" s="155"/>
      <c r="L52" s="157"/>
      <c r="M52" s="52"/>
      <c r="N52" s="2"/>
      <c r="O52" s="2"/>
      <c r="P52" s="2"/>
    </row>
    <row r="53" spans="1:16" ht="15.75">
      <c r="A53" s="50"/>
      <c r="B53" s="50"/>
      <c r="C53" s="158" t="s">
        <v>37</v>
      </c>
      <c r="D53" s="50"/>
      <c r="E53" s="159">
        <f>Inputs!D12</f>
        <v>0.3</v>
      </c>
      <c r="F53" s="159">
        <f>Inputs!E12</f>
        <v>0.3</v>
      </c>
      <c r="G53" s="159">
        <f>Inputs!F12</f>
        <v>0.28000000000000003</v>
      </c>
      <c r="H53" s="159">
        <f>Inputs!G12</f>
        <v>0.28000000000000003</v>
      </c>
      <c r="I53" s="159">
        <f>Inputs!H12</f>
        <v>0.28000000000000003</v>
      </c>
      <c r="J53" s="159">
        <f>Inputs!I12</f>
        <v>0.28000000000000003</v>
      </c>
      <c r="K53" s="95"/>
      <c r="L53" s="50"/>
      <c r="M53" s="15"/>
    </row>
    <row r="54" spans="1:16">
      <c r="A54" s="50"/>
      <c r="B54" s="50"/>
      <c r="C54" s="50" t="s">
        <v>38</v>
      </c>
      <c r="D54" s="50"/>
      <c r="E54" s="160">
        <f>E11/E14</f>
        <v>24.94754954355977</v>
      </c>
      <c r="F54" s="161">
        <f>E54-1</f>
        <v>23.94754954355977</v>
      </c>
      <c r="G54" s="161">
        <f>F54-1</f>
        <v>22.94754954355977</v>
      </c>
      <c r="H54" s="161">
        <f>G54-1</f>
        <v>21.94754954355977</v>
      </c>
      <c r="I54" s="161">
        <f>H54-1</f>
        <v>20.94754954355977</v>
      </c>
      <c r="J54" s="161">
        <f>I54-1</f>
        <v>19.94754954355977</v>
      </c>
      <c r="K54" s="95"/>
      <c r="L54" s="50"/>
      <c r="M54" s="15"/>
    </row>
    <row r="55" spans="1:16">
      <c r="A55" s="50"/>
      <c r="B55" s="50"/>
      <c r="C55" s="50" t="s">
        <v>159</v>
      </c>
      <c r="D55" s="50"/>
      <c r="E55" s="156"/>
      <c r="F55" s="49">
        <f>F34</f>
        <v>4.4667274384685429E-2</v>
      </c>
      <c r="G55" s="49">
        <f>G34</f>
        <v>1.5706806282722585E-2</v>
      </c>
      <c r="H55" s="49">
        <f>H34</f>
        <v>1.8041237113401998E-2</v>
      </c>
      <c r="I55" s="49">
        <f>I34</f>
        <v>1.7721518987341867E-2</v>
      </c>
      <c r="J55" s="49">
        <f>J34</f>
        <v>2.3217247097844007E-2</v>
      </c>
      <c r="K55" s="95"/>
      <c r="L55" s="50"/>
      <c r="M55" s="15"/>
    </row>
    <row r="56" spans="1:16">
      <c r="A56" s="50"/>
      <c r="B56" s="50"/>
      <c r="C56" s="50" t="s">
        <v>40</v>
      </c>
      <c r="D56" s="50"/>
      <c r="E56" s="129">
        <f>E15</f>
        <v>0</v>
      </c>
      <c r="F56" s="32">
        <f>E56*(1+F55)</f>
        <v>0</v>
      </c>
      <c r="G56" s="32">
        <f>F56*(1+G55)</f>
        <v>0</v>
      </c>
      <c r="H56" s="32">
        <f>G56*(1+H55)</f>
        <v>0</v>
      </c>
      <c r="I56" s="32">
        <f>H56*(1+I55)</f>
        <v>0</v>
      </c>
      <c r="J56" s="32">
        <f>I56*(1+J55)</f>
        <v>0</v>
      </c>
      <c r="K56" s="95"/>
      <c r="L56" s="50"/>
      <c r="M56" s="15"/>
    </row>
    <row r="57" spans="1:16">
      <c r="A57" s="50"/>
      <c r="B57" s="50"/>
      <c r="C57" s="50"/>
      <c r="D57" s="122"/>
      <c r="E57" s="50"/>
      <c r="F57" s="50"/>
      <c r="G57" s="50"/>
      <c r="H57" s="50"/>
      <c r="I57" s="50"/>
      <c r="J57" s="50"/>
      <c r="K57" s="95"/>
      <c r="L57" s="27"/>
      <c r="M57" s="15"/>
    </row>
    <row r="58" spans="1:16" ht="15.75">
      <c r="A58" s="50"/>
      <c r="B58" s="50"/>
      <c r="C58" s="162" t="s">
        <v>89</v>
      </c>
      <c r="D58" s="32"/>
      <c r="E58" s="163" t="str">
        <f>Inputs!D11</f>
        <v>2009/10</v>
      </c>
      <c r="F58" s="163" t="str">
        <f>Inputs!E11</f>
        <v>2010/11</v>
      </c>
      <c r="G58" s="163" t="str">
        <f>Inputs!F11</f>
        <v>2011/12</v>
      </c>
      <c r="H58" s="163" t="str">
        <f>Inputs!G11</f>
        <v>2012/13</v>
      </c>
      <c r="I58" s="163" t="str">
        <f>Inputs!H11</f>
        <v>2013/14</v>
      </c>
      <c r="J58" s="163" t="str">
        <f>Inputs!I11</f>
        <v>2014/15</v>
      </c>
      <c r="K58" s="95"/>
      <c r="L58" s="27"/>
      <c r="M58" s="15"/>
    </row>
    <row r="59" spans="1:16">
      <c r="A59" s="50"/>
      <c r="B59" s="50"/>
      <c r="C59" s="50" t="s">
        <v>110</v>
      </c>
      <c r="D59" s="50"/>
      <c r="E59" s="129">
        <f>E11</f>
        <v>27058.117302182734</v>
      </c>
      <c r="F59" s="32">
        <f>E65</f>
        <v>26439.366319000848</v>
      </c>
      <c r="G59" s="32">
        <f>F65</f>
        <v>25858.611661667022</v>
      </c>
      <c r="H59" s="32">
        <f>G65</f>
        <v>25360.520576956791</v>
      </c>
      <c r="I59" s="32">
        <f>H65</f>
        <v>24785.019034868808</v>
      </c>
      <c r="J59" s="32">
        <f>I65</f>
        <v>24132.848339447355</v>
      </c>
      <c r="K59" s="95"/>
      <c r="L59" s="50"/>
      <c r="M59" s="15"/>
    </row>
    <row r="60" spans="1:16">
      <c r="A60" s="50"/>
      <c r="B60" s="50"/>
      <c r="C60" s="50" t="s">
        <v>40</v>
      </c>
      <c r="D60" s="32"/>
      <c r="E60" s="32">
        <f t="shared" ref="E60:J60" si="3">E56</f>
        <v>0</v>
      </c>
      <c r="F60" s="32">
        <f t="shared" si="3"/>
        <v>0</v>
      </c>
      <c r="G60" s="32">
        <f t="shared" si="3"/>
        <v>0</v>
      </c>
      <c r="H60" s="32">
        <f t="shared" si="3"/>
        <v>0</v>
      </c>
      <c r="I60" s="32">
        <f t="shared" si="3"/>
        <v>0</v>
      </c>
      <c r="J60" s="32">
        <f t="shared" si="3"/>
        <v>0</v>
      </c>
      <c r="K60" s="95"/>
      <c r="L60" s="50"/>
      <c r="M60" s="15"/>
    </row>
    <row r="61" spans="1:16">
      <c r="A61" s="50"/>
      <c r="B61" s="50"/>
      <c r="C61" s="50" t="s">
        <v>312</v>
      </c>
      <c r="D61" s="32"/>
      <c r="E61" s="32">
        <f>Nel!E12</f>
        <v>0</v>
      </c>
      <c r="F61" s="95"/>
      <c r="G61" s="95"/>
      <c r="H61" s="95"/>
      <c r="I61" s="95"/>
      <c r="J61" s="95"/>
      <c r="K61" s="95"/>
      <c r="L61" s="50"/>
      <c r="M61" s="15"/>
    </row>
    <row r="62" spans="1:16">
      <c r="A62" s="50"/>
      <c r="B62" s="50"/>
      <c r="C62" s="50" t="s">
        <v>313</v>
      </c>
      <c r="D62" s="32"/>
      <c r="E62" s="32">
        <f>Nel!E13</f>
        <v>0</v>
      </c>
      <c r="F62" s="95"/>
      <c r="G62" s="95"/>
      <c r="H62" s="95"/>
      <c r="I62" s="95"/>
      <c r="J62" s="95"/>
      <c r="K62" s="95"/>
      <c r="L62" s="50"/>
      <c r="M62" s="15"/>
    </row>
    <row r="63" spans="1:16">
      <c r="A63" s="50"/>
      <c r="B63" s="50"/>
      <c r="C63" s="50" t="s">
        <v>41</v>
      </c>
      <c r="D63" s="50"/>
      <c r="E63" s="32">
        <f t="shared" ref="E63:J63" si="4">(E59*0.999-E60)*E41</f>
        <v>465.84921993376776</v>
      </c>
      <c r="F63" s="32">
        <f t="shared" si="4"/>
        <v>523.29844300149512</v>
      </c>
      <c r="G63" s="32">
        <f t="shared" si="4"/>
        <v>628.76612558062811</v>
      </c>
      <c r="H63" s="32">
        <f t="shared" si="4"/>
        <v>580.00424805151658</v>
      </c>
      <c r="I63" s="32">
        <f t="shared" si="4"/>
        <v>531.0235003162926</v>
      </c>
      <c r="J63" s="32">
        <f t="shared" si="4"/>
        <v>482.17430982215859</v>
      </c>
      <c r="K63" s="95"/>
      <c r="L63" s="50"/>
      <c r="M63" s="15"/>
    </row>
    <row r="64" spans="1:16">
      <c r="A64" s="50"/>
      <c r="B64" s="50"/>
      <c r="C64" s="50" t="s">
        <v>42</v>
      </c>
      <c r="D64" s="50"/>
      <c r="E64" s="129">
        <f>E14</f>
        <v>1084.6002031156527</v>
      </c>
      <c r="F64" s="32">
        <f>F59/F54</f>
        <v>1104.0531003353203</v>
      </c>
      <c r="G64" s="32">
        <f>G59/G54</f>
        <v>1126.8572102908583</v>
      </c>
      <c r="H64" s="32">
        <f>H59/H54</f>
        <v>1155.5057901394971</v>
      </c>
      <c r="I64" s="32">
        <f>I59/I54</f>
        <v>1183.1941957377469</v>
      </c>
      <c r="J64" s="32">
        <f>J59/J54</f>
        <v>1209.8151849051976</v>
      </c>
      <c r="K64" s="95"/>
      <c r="L64" s="50"/>
      <c r="M64" s="15"/>
    </row>
    <row r="65" spans="1:13">
      <c r="A65" s="50"/>
      <c r="B65" s="50"/>
      <c r="C65" s="50" t="s">
        <v>43</v>
      </c>
      <c r="D65" s="50"/>
      <c r="E65" s="129">
        <f>E59-E60-E61+E62+E63-E64</f>
        <v>26439.366319000848</v>
      </c>
      <c r="F65" s="32">
        <f>F59-F60+F63-F64</f>
        <v>25858.611661667022</v>
      </c>
      <c r="G65" s="32">
        <f>G59-G60+G63-G64</f>
        <v>25360.520576956791</v>
      </c>
      <c r="H65" s="32">
        <f>H59-H60+H63-H64</f>
        <v>24785.019034868808</v>
      </c>
      <c r="I65" s="32">
        <f>I59-I60+I63-I64</f>
        <v>24132.848339447355</v>
      </c>
      <c r="J65" s="32">
        <f>J59-J60+J63-J64</f>
        <v>23405.207464364317</v>
      </c>
      <c r="K65" s="95"/>
      <c r="L65" s="50"/>
      <c r="M65" s="15"/>
    </row>
    <row r="66" spans="1:13">
      <c r="A66" s="50"/>
      <c r="B66" s="50"/>
      <c r="C66" s="50"/>
      <c r="D66" s="50"/>
      <c r="E66" s="50"/>
      <c r="F66" s="50"/>
      <c r="G66" s="50"/>
      <c r="H66" s="50"/>
      <c r="I66" s="50"/>
      <c r="J66" s="50"/>
      <c r="K66" s="95"/>
      <c r="L66" s="27"/>
      <c r="M66" s="15"/>
    </row>
    <row r="67" spans="1:13" ht="15.75">
      <c r="A67" s="50"/>
      <c r="B67" s="50"/>
      <c r="C67" s="162" t="s">
        <v>67</v>
      </c>
      <c r="D67" s="50"/>
      <c r="E67" s="162" t="str">
        <f>Inputs!D$11</f>
        <v>2009/10</v>
      </c>
      <c r="F67" s="162" t="str">
        <f>Inputs!E$11</f>
        <v>2010/11</v>
      </c>
      <c r="G67" s="162" t="str">
        <f>Inputs!F$11</f>
        <v>2011/12</v>
      </c>
      <c r="H67" s="162" t="str">
        <f>Inputs!G$11</f>
        <v>2012/13</v>
      </c>
      <c r="I67" s="162" t="str">
        <f>Inputs!H$11</f>
        <v>2013/14</v>
      </c>
      <c r="J67" s="162" t="str">
        <f>Inputs!I$11</f>
        <v>2014/15</v>
      </c>
      <c r="K67" s="95"/>
      <c r="L67" s="27"/>
      <c r="M67" s="15"/>
    </row>
    <row r="68" spans="1:13">
      <c r="A68" s="50"/>
      <c r="B68" s="50"/>
      <c r="C68" s="164" t="s">
        <v>60</v>
      </c>
      <c r="D68" s="50"/>
      <c r="E68" s="192">
        <v>1</v>
      </c>
      <c r="F68" s="164">
        <f>E68+1</f>
        <v>2</v>
      </c>
      <c r="G68" s="164">
        <f>F68+1</f>
        <v>3</v>
      </c>
      <c r="H68" s="164">
        <f>G68+1</f>
        <v>4</v>
      </c>
      <c r="I68" s="164">
        <f>H68+1</f>
        <v>5</v>
      </c>
      <c r="J68" s="164">
        <f>I68+1</f>
        <v>6</v>
      </c>
      <c r="K68" s="95"/>
      <c r="L68" s="27"/>
      <c r="M68" s="15"/>
    </row>
    <row r="69" spans="1:13">
      <c r="A69" s="50"/>
      <c r="B69" s="50"/>
      <c r="C69" s="50" t="s">
        <v>39</v>
      </c>
      <c r="D69" s="32"/>
      <c r="E69" s="32">
        <f t="shared" ref="E69:J69" si="5">E$29</f>
        <v>1238.6400000000001</v>
      </c>
      <c r="F69" s="32">
        <f t="shared" si="5"/>
        <v>6159.2162954699461</v>
      </c>
      <c r="G69" s="32">
        <f t="shared" si="5"/>
        <v>6343.2496365325369</v>
      </c>
      <c r="H69" s="32">
        <f t="shared" si="5"/>
        <v>1905.7838145694009</v>
      </c>
      <c r="I69" s="32">
        <f t="shared" si="5"/>
        <v>1558.4483373156763</v>
      </c>
      <c r="J69" s="32">
        <f t="shared" si="5"/>
        <v>1729.7715949268061</v>
      </c>
      <c r="K69" s="95"/>
      <c r="L69" s="50"/>
      <c r="M69" s="15"/>
    </row>
    <row r="70" spans="1:13">
      <c r="A70" s="50">
        <v>1</v>
      </c>
      <c r="B70" s="50"/>
      <c r="C70" s="50" t="s">
        <v>254</v>
      </c>
      <c r="D70" s="50"/>
      <c r="E70" s="129">
        <v>0</v>
      </c>
      <c r="F70" s="32">
        <f t="shared" ref="F70:J75" si="6">E94</f>
        <v>1238.6400000000001</v>
      </c>
      <c r="G70" s="32">
        <f t="shared" si="6"/>
        <v>1235.6548618748907</v>
      </c>
      <c r="H70" s="32">
        <f t="shared" si="6"/>
        <v>1237.6474886701565</v>
      </c>
      <c r="I70" s="32">
        <f t="shared" si="6"/>
        <v>1237.1987669489183</v>
      </c>
      <c r="J70" s="32">
        <f t="shared" si="6"/>
        <v>1234.2753937771477</v>
      </c>
      <c r="K70" s="95"/>
      <c r="L70" s="50"/>
      <c r="M70" s="15"/>
    </row>
    <row r="71" spans="1:13">
      <c r="A71" s="50">
        <v>2</v>
      </c>
      <c r="B71" s="50"/>
      <c r="C71" s="50" t="s">
        <v>255</v>
      </c>
      <c r="D71" s="50"/>
      <c r="E71" s="129">
        <v>0</v>
      </c>
      <c r="F71" s="32">
        <f t="shared" si="6"/>
        <v>0</v>
      </c>
      <c r="G71" s="32">
        <f t="shared" si="6"/>
        <v>6159.2162954699461</v>
      </c>
      <c r="H71" s="32">
        <f t="shared" si="6"/>
        <v>6172.2594116431865</v>
      </c>
      <c r="I71" s="32">
        <f t="shared" si="6"/>
        <v>6173.283889593321</v>
      </c>
      <c r="J71" s="32">
        <f t="shared" si="6"/>
        <v>6162.115264158655</v>
      </c>
      <c r="K71" s="95"/>
      <c r="L71" s="50"/>
      <c r="M71" s="15"/>
    </row>
    <row r="72" spans="1:13">
      <c r="A72" s="50">
        <v>3</v>
      </c>
      <c r="B72" s="50"/>
      <c r="C72" s="50" t="s">
        <v>256</v>
      </c>
      <c r="D72" s="50"/>
      <c r="E72" s="129">
        <v>0</v>
      </c>
      <c r="F72" s="32">
        <f t="shared" si="6"/>
        <v>0</v>
      </c>
      <c r="G72" s="32">
        <f t="shared" si="6"/>
        <v>0</v>
      </c>
      <c r="H72" s="32">
        <f t="shared" si="6"/>
        <v>6343.2496365325369</v>
      </c>
      <c r="I72" s="32">
        <f t="shared" si="6"/>
        <v>6347.506157048233</v>
      </c>
      <c r="J72" s="32">
        <f t="shared" si="6"/>
        <v>6339.3772496264492</v>
      </c>
      <c r="K72" s="95"/>
      <c r="L72" s="50"/>
      <c r="M72" s="15"/>
    </row>
    <row r="73" spans="1:13">
      <c r="A73" s="50">
        <v>4</v>
      </c>
      <c r="B73" s="50"/>
      <c r="C73" s="50" t="s">
        <v>257</v>
      </c>
      <c r="D73" s="50"/>
      <c r="E73" s="129">
        <v>0</v>
      </c>
      <c r="F73" s="32">
        <f t="shared" si="6"/>
        <v>0</v>
      </c>
      <c r="G73" s="32">
        <f t="shared" si="6"/>
        <v>0</v>
      </c>
      <c r="H73" s="32">
        <f t="shared" si="6"/>
        <v>0</v>
      </c>
      <c r="I73" s="32">
        <f t="shared" si="6"/>
        <v>1905.7838145694009</v>
      </c>
      <c r="J73" s="32">
        <f t="shared" si="6"/>
        <v>1904.3056975131667</v>
      </c>
      <c r="K73" s="95"/>
      <c r="L73" s="50"/>
      <c r="M73" s="15"/>
    </row>
    <row r="74" spans="1:13">
      <c r="A74" s="50">
        <v>5</v>
      </c>
      <c r="B74" s="50"/>
      <c r="C74" s="50" t="s">
        <v>258</v>
      </c>
      <c r="D74" s="50"/>
      <c r="E74" s="129">
        <v>0</v>
      </c>
      <c r="F74" s="32">
        <f t="shared" si="6"/>
        <v>0</v>
      </c>
      <c r="G74" s="32">
        <f t="shared" si="6"/>
        <v>0</v>
      </c>
      <c r="H74" s="32">
        <f t="shared" si="6"/>
        <v>0</v>
      </c>
      <c r="I74" s="32">
        <f t="shared" si="6"/>
        <v>0</v>
      </c>
      <c r="J74" s="32">
        <f t="shared" si="6"/>
        <v>1558.4483373156763</v>
      </c>
      <c r="K74" s="95"/>
      <c r="L74" s="50"/>
      <c r="M74" s="15"/>
    </row>
    <row r="75" spans="1:13">
      <c r="A75" s="50">
        <v>6</v>
      </c>
      <c r="B75" s="50"/>
      <c r="C75" s="50" t="s">
        <v>259</v>
      </c>
      <c r="D75" s="50"/>
      <c r="E75" s="129">
        <v>0</v>
      </c>
      <c r="F75" s="32">
        <f t="shared" si="6"/>
        <v>0</v>
      </c>
      <c r="G75" s="32">
        <f t="shared" si="6"/>
        <v>0</v>
      </c>
      <c r="H75" s="32">
        <f t="shared" si="6"/>
        <v>0</v>
      </c>
      <c r="I75" s="32">
        <f t="shared" si="6"/>
        <v>0</v>
      </c>
      <c r="J75" s="32">
        <f t="shared" si="6"/>
        <v>0</v>
      </c>
      <c r="K75" s="95"/>
      <c r="L75" s="50"/>
      <c r="M75" s="15"/>
    </row>
    <row r="76" spans="1:13">
      <c r="A76" s="50">
        <v>1</v>
      </c>
      <c r="B76" s="50"/>
      <c r="C76" s="50" t="s">
        <v>236</v>
      </c>
      <c r="D76" s="50"/>
      <c r="E76" s="129">
        <f>Inputs!$C$7+$A76</f>
        <v>46</v>
      </c>
      <c r="F76" s="32">
        <f t="shared" ref="F76:J81" si="7">E76-1</f>
        <v>45</v>
      </c>
      <c r="G76" s="32">
        <f t="shared" si="7"/>
        <v>44</v>
      </c>
      <c r="H76" s="32">
        <f t="shared" si="7"/>
        <v>43</v>
      </c>
      <c r="I76" s="32">
        <f t="shared" si="7"/>
        <v>42</v>
      </c>
      <c r="J76" s="32">
        <f t="shared" si="7"/>
        <v>41</v>
      </c>
      <c r="K76" s="95"/>
      <c r="L76" s="50"/>
      <c r="M76" s="15"/>
    </row>
    <row r="77" spans="1:13">
      <c r="A77" s="50">
        <v>2</v>
      </c>
      <c r="B77" s="50"/>
      <c r="C77" s="50" t="s">
        <v>237</v>
      </c>
      <c r="D77" s="50"/>
      <c r="E77" s="129">
        <f>Inputs!$C$7+$A77</f>
        <v>47</v>
      </c>
      <c r="F77" s="32">
        <f t="shared" si="7"/>
        <v>46</v>
      </c>
      <c r="G77" s="32">
        <f t="shared" si="7"/>
        <v>45</v>
      </c>
      <c r="H77" s="32">
        <f t="shared" si="7"/>
        <v>44</v>
      </c>
      <c r="I77" s="32">
        <f t="shared" si="7"/>
        <v>43</v>
      </c>
      <c r="J77" s="32">
        <f t="shared" si="7"/>
        <v>42</v>
      </c>
      <c r="K77" s="95"/>
      <c r="L77" s="50"/>
      <c r="M77" s="15"/>
    </row>
    <row r="78" spans="1:13">
      <c r="A78" s="50">
        <v>3</v>
      </c>
      <c r="B78" s="50"/>
      <c r="C78" s="50" t="s">
        <v>238</v>
      </c>
      <c r="D78" s="50"/>
      <c r="E78" s="129">
        <f>Inputs!$C$7+$A78</f>
        <v>48</v>
      </c>
      <c r="F78" s="32">
        <f t="shared" si="7"/>
        <v>47</v>
      </c>
      <c r="G78" s="32">
        <f t="shared" si="7"/>
        <v>46</v>
      </c>
      <c r="H78" s="32">
        <f t="shared" si="7"/>
        <v>45</v>
      </c>
      <c r="I78" s="32">
        <f t="shared" si="7"/>
        <v>44</v>
      </c>
      <c r="J78" s="32">
        <f t="shared" si="7"/>
        <v>43</v>
      </c>
      <c r="K78" s="95"/>
      <c r="L78" s="50"/>
      <c r="M78" s="15"/>
    </row>
    <row r="79" spans="1:13">
      <c r="A79" s="50">
        <v>4</v>
      </c>
      <c r="B79" s="50"/>
      <c r="C79" s="50" t="s">
        <v>239</v>
      </c>
      <c r="D79" s="50"/>
      <c r="E79" s="129">
        <f>Inputs!$C$7+$A79</f>
        <v>49</v>
      </c>
      <c r="F79" s="32">
        <f t="shared" si="7"/>
        <v>48</v>
      </c>
      <c r="G79" s="32">
        <f t="shared" si="7"/>
        <v>47</v>
      </c>
      <c r="H79" s="32">
        <f t="shared" si="7"/>
        <v>46</v>
      </c>
      <c r="I79" s="32">
        <f t="shared" si="7"/>
        <v>45</v>
      </c>
      <c r="J79" s="32">
        <f t="shared" si="7"/>
        <v>44</v>
      </c>
      <c r="K79" s="95"/>
      <c r="L79" s="50"/>
      <c r="M79" s="15"/>
    </row>
    <row r="80" spans="1:13">
      <c r="A80" s="50">
        <v>5</v>
      </c>
      <c r="B80" s="50"/>
      <c r="C80" s="50" t="s">
        <v>240</v>
      </c>
      <c r="D80" s="50"/>
      <c r="E80" s="129">
        <f>Inputs!$C$7+$A80</f>
        <v>50</v>
      </c>
      <c r="F80" s="32">
        <f t="shared" si="7"/>
        <v>49</v>
      </c>
      <c r="G80" s="32">
        <f t="shared" si="7"/>
        <v>48</v>
      </c>
      <c r="H80" s="32">
        <f t="shared" si="7"/>
        <v>47</v>
      </c>
      <c r="I80" s="32">
        <f t="shared" si="7"/>
        <v>46</v>
      </c>
      <c r="J80" s="32">
        <f t="shared" si="7"/>
        <v>45</v>
      </c>
      <c r="K80" s="95"/>
      <c r="L80" s="50"/>
      <c r="M80" s="15"/>
    </row>
    <row r="81" spans="1:13">
      <c r="A81" s="50">
        <v>6</v>
      </c>
      <c r="B81" s="50"/>
      <c r="C81" s="50" t="s">
        <v>241</v>
      </c>
      <c r="D81" s="50"/>
      <c r="E81" s="129">
        <f>Inputs!$C$7+$A81</f>
        <v>51</v>
      </c>
      <c r="F81" s="32">
        <f t="shared" si="7"/>
        <v>50</v>
      </c>
      <c r="G81" s="32">
        <f t="shared" si="7"/>
        <v>49</v>
      </c>
      <c r="H81" s="32">
        <f t="shared" si="7"/>
        <v>48</v>
      </c>
      <c r="I81" s="32">
        <f t="shared" si="7"/>
        <v>47</v>
      </c>
      <c r="J81" s="32">
        <f t="shared" si="7"/>
        <v>46</v>
      </c>
      <c r="K81" s="95"/>
      <c r="L81" s="50"/>
      <c r="M81" s="15"/>
    </row>
    <row r="82" spans="1:13">
      <c r="A82" s="50">
        <v>1</v>
      </c>
      <c r="B82" s="50"/>
      <c r="C82" s="50" t="s">
        <v>260</v>
      </c>
      <c r="D82" s="50"/>
      <c r="E82" s="32">
        <f t="shared" ref="E82:J87" si="8">E70*E$41</f>
        <v>0</v>
      </c>
      <c r="F82" s="32">
        <f t="shared" si="8"/>
        <v>24.540195208223938</v>
      </c>
      <c r="G82" s="32">
        <f t="shared" si="8"/>
        <v>30.075691837877116</v>
      </c>
      <c r="H82" s="32">
        <f t="shared" si="8"/>
        <v>28.333778015277119</v>
      </c>
      <c r="I82" s="32">
        <f t="shared" si="8"/>
        <v>26.533740327013152</v>
      </c>
      <c r="J82" s="32">
        <f t="shared" si="8"/>
        <v>24.685507875542974</v>
      </c>
      <c r="K82" s="95"/>
      <c r="L82" s="50"/>
      <c r="M82" s="15"/>
    </row>
    <row r="83" spans="1:13">
      <c r="A83" s="50">
        <v>2</v>
      </c>
      <c r="B83" s="50"/>
      <c r="C83" s="50" t="s">
        <v>261</v>
      </c>
      <c r="D83" s="50"/>
      <c r="E83" s="32">
        <f t="shared" si="8"/>
        <v>0</v>
      </c>
      <c r="F83" s="32">
        <f t="shared" si="8"/>
        <v>0</v>
      </c>
      <c r="G83" s="32">
        <f t="shared" si="8"/>
        <v>149.91458940590556</v>
      </c>
      <c r="H83" s="32">
        <f t="shared" si="8"/>
        <v>141.30310094202511</v>
      </c>
      <c r="I83" s="32">
        <f t="shared" si="8"/>
        <v>132.39611618378368</v>
      </c>
      <c r="J83" s="32">
        <f t="shared" si="8"/>
        <v>123.24230528317321</v>
      </c>
      <c r="K83" s="95"/>
      <c r="L83" s="50"/>
      <c r="M83" s="15"/>
    </row>
    <row r="84" spans="1:13">
      <c r="A84" s="50">
        <v>3</v>
      </c>
      <c r="B84" s="50"/>
      <c r="C84" s="50" t="s">
        <v>262</v>
      </c>
      <c r="D84" s="50"/>
      <c r="E84" s="32">
        <f t="shared" si="8"/>
        <v>0</v>
      </c>
      <c r="F84" s="32">
        <f t="shared" si="8"/>
        <v>0</v>
      </c>
      <c r="G84" s="32">
        <f t="shared" si="8"/>
        <v>0</v>
      </c>
      <c r="H84" s="32">
        <f t="shared" si="8"/>
        <v>145.21762354975314</v>
      </c>
      <c r="I84" s="32">
        <f t="shared" si="8"/>
        <v>136.13259614749427</v>
      </c>
      <c r="J84" s="32">
        <f t="shared" si="8"/>
        <v>126.78754499252909</v>
      </c>
      <c r="K84" s="95"/>
      <c r="L84" s="50"/>
      <c r="M84" s="15"/>
    </row>
    <row r="85" spans="1:13">
      <c r="A85" s="50">
        <v>4</v>
      </c>
      <c r="B85" s="50"/>
      <c r="C85" s="50" t="s">
        <v>263</v>
      </c>
      <c r="D85" s="50"/>
      <c r="E85" s="32">
        <f t="shared" si="8"/>
        <v>0</v>
      </c>
      <c r="F85" s="32">
        <f t="shared" si="8"/>
        <v>0</v>
      </c>
      <c r="G85" s="32">
        <f t="shared" si="8"/>
        <v>0</v>
      </c>
      <c r="H85" s="32">
        <f t="shared" si="8"/>
        <v>0</v>
      </c>
      <c r="I85" s="32">
        <f t="shared" si="8"/>
        <v>40.872634378641365</v>
      </c>
      <c r="J85" s="32">
        <f t="shared" si="8"/>
        <v>38.086113950263368</v>
      </c>
      <c r="K85" s="95"/>
      <c r="L85" s="50"/>
      <c r="M85" s="15"/>
    </row>
    <row r="86" spans="1:13">
      <c r="A86" s="50">
        <v>5</v>
      </c>
      <c r="B86" s="50"/>
      <c r="C86" s="50" t="s">
        <v>264</v>
      </c>
      <c r="D86" s="50"/>
      <c r="E86" s="32">
        <f t="shared" si="8"/>
        <v>0</v>
      </c>
      <c r="F86" s="32">
        <f t="shared" si="8"/>
        <v>0</v>
      </c>
      <c r="G86" s="32">
        <f t="shared" si="8"/>
        <v>0</v>
      </c>
      <c r="H86" s="32">
        <f t="shared" si="8"/>
        <v>0</v>
      </c>
      <c r="I86" s="32">
        <f t="shared" si="8"/>
        <v>0</v>
      </c>
      <c r="J86" s="32">
        <f t="shared" si="8"/>
        <v>31.168966746313554</v>
      </c>
      <c r="K86" s="95"/>
      <c r="L86" s="50"/>
      <c r="M86" s="15"/>
    </row>
    <row r="87" spans="1:13">
      <c r="A87" s="50">
        <v>6</v>
      </c>
      <c r="B87" s="50"/>
      <c r="C87" s="50" t="s">
        <v>265</v>
      </c>
      <c r="D87" s="50"/>
      <c r="E87" s="32">
        <f t="shared" si="8"/>
        <v>0</v>
      </c>
      <c r="F87" s="32">
        <f t="shared" si="8"/>
        <v>0</v>
      </c>
      <c r="G87" s="32">
        <f t="shared" si="8"/>
        <v>0</v>
      </c>
      <c r="H87" s="32">
        <f t="shared" si="8"/>
        <v>0</v>
      </c>
      <c r="I87" s="32">
        <f t="shared" si="8"/>
        <v>0</v>
      </c>
      <c r="J87" s="32">
        <f t="shared" si="8"/>
        <v>0</v>
      </c>
      <c r="K87" s="95"/>
      <c r="L87" s="50"/>
      <c r="M87" s="15"/>
    </row>
    <row r="88" spans="1:13">
      <c r="A88" s="50">
        <v>1</v>
      </c>
      <c r="B88" s="50"/>
      <c r="C88" s="50" t="s">
        <v>266</v>
      </c>
      <c r="D88" s="50"/>
      <c r="E88" s="32">
        <f t="shared" ref="E88:J93" si="9">E70/E76</f>
        <v>0</v>
      </c>
      <c r="F88" s="32">
        <f t="shared" si="9"/>
        <v>27.525333333333336</v>
      </c>
      <c r="G88" s="32">
        <f t="shared" si="9"/>
        <v>28.083065042611153</v>
      </c>
      <c r="H88" s="32">
        <f t="shared" si="9"/>
        <v>28.782499736515266</v>
      </c>
      <c r="I88" s="32">
        <f t="shared" si="9"/>
        <v>29.45711349878377</v>
      </c>
      <c r="J88" s="32">
        <f t="shared" si="9"/>
        <v>30.104277897003602</v>
      </c>
      <c r="K88" s="95"/>
      <c r="L88" s="50"/>
      <c r="M88" s="15"/>
    </row>
    <row r="89" spans="1:13">
      <c r="A89" s="50">
        <v>2</v>
      </c>
      <c r="B89" s="50"/>
      <c r="C89" s="50" t="s">
        <v>267</v>
      </c>
      <c r="D89" s="50"/>
      <c r="E89" s="32">
        <f t="shared" si="9"/>
        <v>0</v>
      </c>
      <c r="F89" s="32">
        <f t="shared" si="9"/>
        <v>0</v>
      </c>
      <c r="G89" s="32">
        <f t="shared" si="9"/>
        <v>136.87147323266547</v>
      </c>
      <c r="H89" s="32">
        <f t="shared" si="9"/>
        <v>140.27862299189061</v>
      </c>
      <c r="I89" s="32">
        <f t="shared" si="9"/>
        <v>143.56474161844932</v>
      </c>
      <c r="J89" s="32">
        <f t="shared" si="9"/>
        <v>146.7170300990156</v>
      </c>
      <c r="K89" s="95"/>
      <c r="L89" s="50"/>
      <c r="M89" s="15"/>
    </row>
    <row r="90" spans="1:13">
      <c r="A90" s="50">
        <v>3</v>
      </c>
      <c r="B90" s="50"/>
      <c r="C90" s="50" t="s">
        <v>268</v>
      </c>
      <c r="D90" s="50"/>
      <c r="E90" s="32">
        <f t="shared" si="9"/>
        <v>0</v>
      </c>
      <c r="F90" s="32">
        <f t="shared" si="9"/>
        <v>0</v>
      </c>
      <c r="G90" s="32">
        <f t="shared" si="9"/>
        <v>0</v>
      </c>
      <c r="H90" s="32">
        <f t="shared" si="9"/>
        <v>140.96110303405638</v>
      </c>
      <c r="I90" s="32">
        <f t="shared" si="9"/>
        <v>144.26150356927803</v>
      </c>
      <c r="J90" s="32">
        <f t="shared" si="9"/>
        <v>147.42737789828951</v>
      </c>
      <c r="K90" s="95"/>
      <c r="L90" s="50"/>
      <c r="M90" s="15"/>
    </row>
    <row r="91" spans="1:13">
      <c r="A91" s="50">
        <v>4</v>
      </c>
      <c r="B91" s="50"/>
      <c r="C91" s="50" t="s">
        <v>269</v>
      </c>
      <c r="D91" s="50"/>
      <c r="E91" s="32">
        <f t="shared" si="9"/>
        <v>0</v>
      </c>
      <c r="F91" s="32">
        <f t="shared" si="9"/>
        <v>0</v>
      </c>
      <c r="G91" s="32">
        <f t="shared" si="9"/>
        <v>0</v>
      </c>
      <c r="H91" s="32">
        <f t="shared" si="9"/>
        <v>0</v>
      </c>
      <c r="I91" s="32">
        <f t="shared" si="9"/>
        <v>42.350751434875576</v>
      </c>
      <c r="J91" s="32">
        <f t="shared" si="9"/>
        <v>43.279674943481062</v>
      </c>
      <c r="K91" s="95"/>
      <c r="L91" s="50"/>
      <c r="M91" s="15"/>
    </row>
    <row r="92" spans="1:13">
      <c r="A92" s="50">
        <v>5</v>
      </c>
      <c r="B92" s="50"/>
      <c r="C92" s="50" t="s">
        <v>270</v>
      </c>
      <c r="D92" s="50"/>
      <c r="E92" s="32">
        <f t="shared" si="9"/>
        <v>0</v>
      </c>
      <c r="F92" s="32">
        <f t="shared" si="9"/>
        <v>0</v>
      </c>
      <c r="G92" s="32">
        <f t="shared" si="9"/>
        <v>0</v>
      </c>
      <c r="H92" s="32">
        <f t="shared" si="9"/>
        <v>0</v>
      </c>
      <c r="I92" s="32">
        <f t="shared" si="9"/>
        <v>0</v>
      </c>
      <c r="J92" s="32">
        <f t="shared" si="9"/>
        <v>34.632185273681699</v>
      </c>
      <c r="K92" s="95"/>
      <c r="L92" s="50"/>
      <c r="M92" s="15"/>
    </row>
    <row r="93" spans="1:13">
      <c r="A93" s="50">
        <v>6</v>
      </c>
      <c r="B93" s="50"/>
      <c r="C93" s="50" t="s">
        <v>271</v>
      </c>
      <c r="D93" s="50"/>
      <c r="E93" s="32">
        <f t="shared" si="9"/>
        <v>0</v>
      </c>
      <c r="F93" s="32">
        <f t="shared" si="9"/>
        <v>0</v>
      </c>
      <c r="G93" s="32">
        <f t="shared" si="9"/>
        <v>0</v>
      </c>
      <c r="H93" s="32">
        <f t="shared" si="9"/>
        <v>0</v>
      </c>
      <c r="I93" s="32">
        <f t="shared" si="9"/>
        <v>0</v>
      </c>
      <c r="J93" s="32">
        <f t="shared" si="9"/>
        <v>0</v>
      </c>
      <c r="K93" s="95"/>
      <c r="L93" s="50"/>
      <c r="M93" s="15"/>
    </row>
    <row r="94" spans="1:13">
      <c r="A94" s="50">
        <v>1</v>
      </c>
      <c r="B94" s="50"/>
      <c r="C94" s="50" t="s">
        <v>272</v>
      </c>
      <c r="D94" s="50"/>
      <c r="E94" s="32">
        <f t="shared" ref="E94:J99" si="10">E70+E82-E88+IF($A94=E$68,E$69,0)</f>
        <v>1238.6400000000001</v>
      </c>
      <c r="F94" s="32">
        <f t="shared" si="10"/>
        <v>1235.6548618748907</v>
      </c>
      <c r="G94" s="32">
        <f t="shared" si="10"/>
        <v>1237.6474886701565</v>
      </c>
      <c r="H94" s="32">
        <f t="shared" si="10"/>
        <v>1237.1987669489183</v>
      </c>
      <c r="I94" s="32">
        <f t="shared" si="10"/>
        <v>1234.2753937771477</v>
      </c>
      <c r="J94" s="32">
        <f t="shared" si="10"/>
        <v>1228.856623755687</v>
      </c>
      <c r="K94" s="95"/>
      <c r="L94" s="50"/>
      <c r="M94" s="15"/>
    </row>
    <row r="95" spans="1:13">
      <c r="A95" s="50">
        <v>2</v>
      </c>
      <c r="B95" s="50"/>
      <c r="C95" s="50" t="s">
        <v>273</v>
      </c>
      <c r="D95" s="50"/>
      <c r="E95" s="32">
        <f t="shared" si="10"/>
        <v>0</v>
      </c>
      <c r="F95" s="32">
        <f t="shared" si="10"/>
        <v>6159.2162954699461</v>
      </c>
      <c r="G95" s="32">
        <f t="shared" si="10"/>
        <v>6172.2594116431865</v>
      </c>
      <c r="H95" s="32">
        <f t="shared" si="10"/>
        <v>6173.283889593321</v>
      </c>
      <c r="I95" s="32">
        <f t="shared" si="10"/>
        <v>6162.115264158655</v>
      </c>
      <c r="J95" s="32">
        <f t="shared" si="10"/>
        <v>6138.6405393428131</v>
      </c>
      <c r="K95" s="95"/>
      <c r="L95" s="50"/>
      <c r="M95" s="15"/>
    </row>
    <row r="96" spans="1:13">
      <c r="A96" s="50">
        <v>3</v>
      </c>
      <c r="B96" s="50"/>
      <c r="C96" s="50" t="s">
        <v>274</v>
      </c>
      <c r="D96" s="50"/>
      <c r="E96" s="32">
        <f t="shared" si="10"/>
        <v>0</v>
      </c>
      <c r="F96" s="32">
        <f t="shared" si="10"/>
        <v>0</v>
      </c>
      <c r="G96" s="32">
        <f t="shared" si="10"/>
        <v>6343.2496365325369</v>
      </c>
      <c r="H96" s="32">
        <f t="shared" si="10"/>
        <v>6347.506157048233</v>
      </c>
      <c r="I96" s="32">
        <f t="shared" si="10"/>
        <v>6339.3772496264492</v>
      </c>
      <c r="J96" s="32">
        <f t="shared" si="10"/>
        <v>6318.737416720689</v>
      </c>
      <c r="K96" s="95"/>
      <c r="L96" s="50"/>
      <c r="M96" s="15"/>
    </row>
    <row r="97" spans="1:13">
      <c r="A97" s="50">
        <v>4</v>
      </c>
      <c r="B97" s="50"/>
      <c r="C97" s="50" t="s">
        <v>275</v>
      </c>
      <c r="D97" s="50"/>
      <c r="E97" s="32">
        <f t="shared" si="10"/>
        <v>0</v>
      </c>
      <c r="F97" s="32">
        <f t="shared" si="10"/>
        <v>0</v>
      </c>
      <c r="G97" s="32">
        <f t="shared" si="10"/>
        <v>0</v>
      </c>
      <c r="H97" s="32">
        <f t="shared" si="10"/>
        <v>1905.7838145694009</v>
      </c>
      <c r="I97" s="32">
        <f t="shared" si="10"/>
        <v>1904.3056975131667</v>
      </c>
      <c r="J97" s="32">
        <f t="shared" si="10"/>
        <v>1899.112136519949</v>
      </c>
      <c r="K97" s="95"/>
      <c r="L97" s="50"/>
      <c r="M97" s="15"/>
    </row>
    <row r="98" spans="1:13">
      <c r="A98" s="50">
        <v>5</v>
      </c>
      <c r="B98" s="50"/>
      <c r="C98" s="50" t="s">
        <v>276</v>
      </c>
      <c r="D98" s="50"/>
      <c r="E98" s="32">
        <f t="shared" si="10"/>
        <v>0</v>
      </c>
      <c r="F98" s="32">
        <f t="shared" si="10"/>
        <v>0</v>
      </c>
      <c r="G98" s="32">
        <f t="shared" si="10"/>
        <v>0</v>
      </c>
      <c r="H98" s="32">
        <f t="shared" si="10"/>
        <v>0</v>
      </c>
      <c r="I98" s="32">
        <f t="shared" si="10"/>
        <v>1558.4483373156763</v>
      </c>
      <c r="J98" s="32">
        <f t="shared" si="10"/>
        <v>1554.9851187883082</v>
      </c>
      <c r="K98" s="95"/>
      <c r="L98" s="50"/>
      <c r="M98" s="15"/>
    </row>
    <row r="99" spans="1:13">
      <c r="A99" s="50">
        <v>6</v>
      </c>
      <c r="B99" s="50"/>
      <c r="C99" s="50" t="s">
        <v>277</v>
      </c>
      <c r="D99" s="50"/>
      <c r="E99" s="32">
        <f t="shared" si="10"/>
        <v>0</v>
      </c>
      <c r="F99" s="32">
        <f t="shared" si="10"/>
        <v>0</v>
      </c>
      <c r="G99" s="32">
        <f t="shared" si="10"/>
        <v>0</v>
      </c>
      <c r="H99" s="32">
        <f t="shared" si="10"/>
        <v>0</v>
      </c>
      <c r="I99" s="32">
        <f t="shared" si="10"/>
        <v>0</v>
      </c>
      <c r="J99" s="32">
        <f t="shared" si="10"/>
        <v>1729.7715949268061</v>
      </c>
      <c r="K99" s="95"/>
      <c r="L99" s="50"/>
      <c r="M99" s="15"/>
    </row>
    <row r="100" spans="1:13">
      <c r="A100" s="50"/>
      <c r="B100" s="50"/>
      <c r="C100" s="50" t="s">
        <v>146</v>
      </c>
      <c r="D100" s="50"/>
      <c r="E100" s="32">
        <f t="shared" ref="E100:J100" si="11">SUM(E70:E75)</f>
        <v>0</v>
      </c>
      <c r="F100" s="32">
        <f t="shared" si="11"/>
        <v>1238.6400000000001</v>
      </c>
      <c r="G100" s="32">
        <f t="shared" si="11"/>
        <v>7394.8711573448363</v>
      </c>
      <c r="H100" s="32">
        <f t="shared" si="11"/>
        <v>13753.15653684588</v>
      </c>
      <c r="I100" s="32">
        <f t="shared" si="11"/>
        <v>15663.772628159873</v>
      </c>
      <c r="J100" s="32">
        <f t="shared" si="11"/>
        <v>17198.521942391093</v>
      </c>
      <c r="K100" s="95"/>
      <c r="L100" s="27"/>
      <c r="M100" s="15"/>
    </row>
    <row r="101" spans="1:13">
      <c r="A101" s="50"/>
      <c r="B101" s="50"/>
      <c r="C101" s="50" t="s">
        <v>147</v>
      </c>
      <c r="D101" s="50"/>
      <c r="E101" s="32">
        <f t="shared" ref="E101:J101" si="12">SUM(E82:E87)</f>
        <v>0</v>
      </c>
      <c r="F101" s="32">
        <f t="shared" si="12"/>
        <v>24.540195208223938</v>
      </c>
      <c r="G101" s="32">
        <f t="shared" si="12"/>
        <v>179.99028124378268</v>
      </c>
      <c r="H101" s="32">
        <f t="shared" si="12"/>
        <v>314.85450250705537</v>
      </c>
      <c r="I101" s="32">
        <f t="shared" si="12"/>
        <v>335.93508703693249</v>
      </c>
      <c r="J101" s="32">
        <f t="shared" si="12"/>
        <v>343.97043884782221</v>
      </c>
      <c r="K101" s="95"/>
      <c r="L101" s="27"/>
      <c r="M101" s="15"/>
    </row>
    <row r="102" spans="1:13">
      <c r="A102" s="50"/>
      <c r="B102" s="50"/>
      <c r="C102" s="50" t="s">
        <v>68</v>
      </c>
      <c r="D102" s="50"/>
      <c r="E102" s="32">
        <f t="shared" ref="E102:J102" si="13">SUM(E88:E93)</f>
        <v>0</v>
      </c>
      <c r="F102" s="32">
        <f t="shared" si="13"/>
        <v>27.525333333333336</v>
      </c>
      <c r="G102" s="32">
        <f t="shared" si="13"/>
        <v>164.9545382752766</v>
      </c>
      <c r="H102" s="32">
        <f t="shared" si="13"/>
        <v>310.02222576246226</v>
      </c>
      <c r="I102" s="32">
        <f t="shared" si="13"/>
        <v>359.6341101213867</v>
      </c>
      <c r="J102" s="32">
        <f t="shared" si="13"/>
        <v>402.16054611147149</v>
      </c>
      <c r="K102" s="95"/>
      <c r="L102" s="27"/>
      <c r="M102" s="15"/>
    </row>
    <row r="103" spans="1:13">
      <c r="A103" s="50"/>
      <c r="B103" s="50"/>
      <c r="C103" s="50" t="s">
        <v>148</v>
      </c>
      <c r="D103" s="50"/>
      <c r="E103" s="32">
        <f t="shared" ref="E103:J103" si="14">SUM(E94:E99)</f>
        <v>1238.6400000000001</v>
      </c>
      <c r="F103" s="32">
        <f t="shared" si="14"/>
        <v>7394.8711573448363</v>
      </c>
      <c r="G103" s="32">
        <f t="shared" si="14"/>
        <v>13753.15653684588</v>
      </c>
      <c r="H103" s="32">
        <f t="shared" si="14"/>
        <v>15663.772628159873</v>
      </c>
      <c r="I103" s="32">
        <f t="shared" si="14"/>
        <v>17198.521942391093</v>
      </c>
      <c r="J103" s="32">
        <f t="shared" si="14"/>
        <v>18870.103430054252</v>
      </c>
      <c r="K103" s="95"/>
      <c r="L103" s="50"/>
      <c r="M103" s="15"/>
    </row>
    <row r="104" spans="1:13">
      <c r="A104" s="50"/>
      <c r="B104" s="50"/>
      <c r="C104" s="50"/>
      <c r="D104" s="50"/>
      <c r="E104" s="32"/>
      <c r="F104" s="32"/>
      <c r="G104" s="32"/>
      <c r="H104" s="32"/>
      <c r="I104" s="32"/>
      <c r="J104" s="32"/>
      <c r="K104" s="95"/>
      <c r="L104" s="50"/>
      <c r="M104" s="15"/>
    </row>
    <row r="105" spans="1:13" ht="15.75">
      <c r="A105" s="50"/>
      <c r="B105" s="50"/>
      <c r="C105" s="162" t="s">
        <v>121</v>
      </c>
      <c r="D105" s="50"/>
      <c r="E105" s="162" t="str">
        <f>Inputs!D$11</f>
        <v>2009/10</v>
      </c>
      <c r="F105" s="162" t="str">
        <f>Inputs!E$11</f>
        <v>2010/11</v>
      </c>
      <c r="G105" s="162" t="str">
        <f>Inputs!F$11</f>
        <v>2011/12</v>
      </c>
      <c r="H105" s="162" t="str">
        <f>Inputs!G$11</f>
        <v>2012/13</v>
      </c>
      <c r="I105" s="162" t="str">
        <f>Inputs!H$11</f>
        <v>2013/14</v>
      </c>
      <c r="J105" s="162" t="str">
        <f>Inputs!I$11</f>
        <v>2014/15</v>
      </c>
      <c r="K105" s="95"/>
      <c r="L105" s="50"/>
      <c r="M105" s="15"/>
    </row>
    <row r="106" spans="1:13">
      <c r="A106" s="50"/>
      <c r="B106" s="50"/>
      <c r="C106" s="164" t="s">
        <v>60</v>
      </c>
      <c r="D106" s="50"/>
      <c r="E106" s="164">
        <v>1</v>
      </c>
      <c r="F106" s="164">
        <v>2</v>
      </c>
      <c r="G106" s="164">
        <v>3</v>
      </c>
      <c r="H106" s="164">
        <v>4</v>
      </c>
      <c r="I106" s="164">
        <v>5</v>
      </c>
      <c r="J106" s="164">
        <v>6</v>
      </c>
      <c r="K106" s="95"/>
      <c r="L106" s="50"/>
      <c r="M106" s="15"/>
    </row>
    <row r="107" spans="1:13">
      <c r="A107" s="50"/>
      <c r="B107" s="50"/>
      <c r="C107" s="50" t="s">
        <v>39</v>
      </c>
      <c r="D107" s="32"/>
      <c r="E107" s="32">
        <f t="shared" ref="E107:J107" si="15">E$29</f>
        <v>1238.6400000000001</v>
      </c>
      <c r="F107" s="32">
        <f t="shared" si="15"/>
        <v>6159.2162954699461</v>
      </c>
      <c r="G107" s="32">
        <f t="shared" si="15"/>
        <v>6343.2496365325369</v>
      </c>
      <c r="H107" s="32">
        <f t="shared" si="15"/>
        <v>1905.7838145694009</v>
      </c>
      <c r="I107" s="32">
        <f t="shared" si="15"/>
        <v>1558.4483373156763</v>
      </c>
      <c r="J107" s="32">
        <f t="shared" si="15"/>
        <v>1729.7715949268061</v>
      </c>
      <c r="K107" s="95"/>
      <c r="L107" s="50"/>
      <c r="M107" s="15"/>
    </row>
    <row r="108" spans="1:13">
      <c r="A108" s="50">
        <v>1</v>
      </c>
      <c r="B108" s="50"/>
      <c r="C108" s="50" t="s">
        <v>230</v>
      </c>
      <c r="D108" s="50"/>
      <c r="E108" s="129">
        <v>0</v>
      </c>
      <c r="F108" s="32">
        <f t="shared" ref="F108:J113" si="16">E126</f>
        <v>1238.6400000000001</v>
      </c>
      <c r="G108" s="32">
        <f t="shared" si="16"/>
        <v>1211.1146666666668</v>
      </c>
      <c r="H108" s="32">
        <f t="shared" si="16"/>
        <v>1183.5893333333336</v>
      </c>
      <c r="I108" s="32">
        <f t="shared" si="16"/>
        <v>1156.0640000000003</v>
      </c>
      <c r="J108" s="32">
        <f t="shared" si="16"/>
        <v>1128.538666666667</v>
      </c>
      <c r="K108" s="95"/>
      <c r="L108" s="50"/>
      <c r="M108" s="15"/>
    </row>
    <row r="109" spans="1:13">
      <c r="A109" s="50">
        <v>2</v>
      </c>
      <c r="B109" s="50"/>
      <c r="C109" s="50" t="s">
        <v>231</v>
      </c>
      <c r="D109" s="50"/>
      <c r="E109" s="129">
        <v>0</v>
      </c>
      <c r="F109" s="32">
        <f t="shared" si="16"/>
        <v>0</v>
      </c>
      <c r="G109" s="32">
        <f t="shared" si="16"/>
        <v>6159.2162954699461</v>
      </c>
      <c r="H109" s="32">
        <f t="shared" si="16"/>
        <v>6022.3448222372808</v>
      </c>
      <c r="I109" s="32">
        <f t="shared" si="16"/>
        <v>5885.4733490046156</v>
      </c>
      <c r="J109" s="32">
        <f t="shared" si="16"/>
        <v>5748.6018757719503</v>
      </c>
      <c r="K109" s="95"/>
      <c r="L109" s="50"/>
      <c r="M109" s="15"/>
    </row>
    <row r="110" spans="1:13">
      <c r="A110" s="50">
        <v>3</v>
      </c>
      <c r="B110" s="50"/>
      <c r="C110" s="50" t="s">
        <v>232</v>
      </c>
      <c r="D110" s="50"/>
      <c r="E110" s="129">
        <v>0</v>
      </c>
      <c r="F110" s="32">
        <f t="shared" si="16"/>
        <v>0</v>
      </c>
      <c r="G110" s="32">
        <f t="shared" si="16"/>
        <v>0</v>
      </c>
      <c r="H110" s="32">
        <f t="shared" si="16"/>
        <v>6343.2496365325369</v>
      </c>
      <c r="I110" s="32">
        <f t="shared" si="16"/>
        <v>6202.2885334984803</v>
      </c>
      <c r="J110" s="32">
        <f t="shared" si="16"/>
        <v>6061.3274304644237</v>
      </c>
      <c r="K110" s="95"/>
      <c r="L110" s="50"/>
      <c r="M110" s="15"/>
    </row>
    <row r="111" spans="1:13">
      <c r="A111" s="50">
        <v>4</v>
      </c>
      <c r="B111" s="50"/>
      <c r="C111" s="50" t="s">
        <v>233</v>
      </c>
      <c r="D111" s="50"/>
      <c r="E111" s="129">
        <v>0</v>
      </c>
      <c r="F111" s="32">
        <f t="shared" si="16"/>
        <v>0</v>
      </c>
      <c r="G111" s="32">
        <f t="shared" si="16"/>
        <v>0</v>
      </c>
      <c r="H111" s="32">
        <f t="shared" si="16"/>
        <v>0</v>
      </c>
      <c r="I111" s="32">
        <f t="shared" si="16"/>
        <v>1905.7838145694009</v>
      </c>
      <c r="J111" s="32">
        <f t="shared" si="16"/>
        <v>1863.4330631345254</v>
      </c>
      <c r="K111" s="95"/>
      <c r="L111" s="50"/>
      <c r="M111" s="15"/>
    </row>
    <row r="112" spans="1:13">
      <c r="A112" s="50">
        <v>5</v>
      </c>
      <c r="B112" s="50"/>
      <c r="C112" s="50" t="s">
        <v>234</v>
      </c>
      <c r="D112" s="50"/>
      <c r="E112" s="129">
        <v>0</v>
      </c>
      <c r="F112" s="32">
        <f t="shared" si="16"/>
        <v>0</v>
      </c>
      <c r="G112" s="32">
        <f t="shared" si="16"/>
        <v>0</v>
      </c>
      <c r="H112" s="32">
        <f t="shared" si="16"/>
        <v>0</v>
      </c>
      <c r="I112" s="32">
        <f t="shared" si="16"/>
        <v>0</v>
      </c>
      <c r="J112" s="32">
        <f t="shared" si="16"/>
        <v>1558.4483373156763</v>
      </c>
      <c r="K112" s="95"/>
      <c r="L112" s="50"/>
      <c r="M112" s="15"/>
    </row>
    <row r="113" spans="1:13">
      <c r="A113" s="50">
        <v>6</v>
      </c>
      <c r="B113" s="50"/>
      <c r="C113" s="50" t="s">
        <v>235</v>
      </c>
      <c r="D113" s="50"/>
      <c r="E113" s="129">
        <v>0</v>
      </c>
      <c r="F113" s="32">
        <f t="shared" si="16"/>
        <v>0</v>
      </c>
      <c r="G113" s="32">
        <f t="shared" si="16"/>
        <v>0</v>
      </c>
      <c r="H113" s="32">
        <f t="shared" si="16"/>
        <v>0</v>
      </c>
      <c r="I113" s="32">
        <f t="shared" si="16"/>
        <v>0</v>
      </c>
      <c r="J113" s="32">
        <f t="shared" si="16"/>
        <v>0</v>
      </c>
      <c r="K113" s="95"/>
      <c r="L113" s="50"/>
      <c r="M113" s="15"/>
    </row>
    <row r="114" spans="1:13">
      <c r="A114" s="50">
        <v>1</v>
      </c>
      <c r="B114" s="50"/>
      <c r="C114" s="50" t="s">
        <v>236</v>
      </c>
      <c r="D114" s="50"/>
      <c r="E114" s="129">
        <f>Inputs!$C$7+$A114</f>
        <v>46</v>
      </c>
      <c r="F114" s="32">
        <f t="shared" ref="F114:J119" si="17">E114-1</f>
        <v>45</v>
      </c>
      <c r="G114" s="32">
        <f t="shared" si="17"/>
        <v>44</v>
      </c>
      <c r="H114" s="32">
        <f t="shared" si="17"/>
        <v>43</v>
      </c>
      <c r="I114" s="32">
        <f t="shared" si="17"/>
        <v>42</v>
      </c>
      <c r="J114" s="32">
        <f t="shared" si="17"/>
        <v>41</v>
      </c>
      <c r="K114" s="95"/>
      <c r="L114" s="50"/>
      <c r="M114" s="15"/>
    </row>
    <row r="115" spans="1:13">
      <c r="A115" s="50">
        <v>2</v>
      </c>
      <c r="B115" s="50"/>
      <c r="C115" s="50" t="s">
        <v>237</v>
      </c>
      <c r="D115" s="50"/>
      <c r="E115" s="129">
        <f>Inputs!$C$7+$A115</f>
        <v>47</v>
      </c>
      <c r="F115" s="32">
        <f t="shared" si="17"/>
        <v>46</v>
      </c>
      <c r="G115" s="32">
        <f t="shared" si="17"/>
        <v>45</v>
      </c>
      <c r="H115" s="32">
        <f t="shared" si="17"/>
        <v>44</v>
      </c>
      <c r="I115" s="32">
        <f t="shared" si="17"/>
        <v>43</v>
      </c>
      <c r="J115" s="32">
        <f t="shared" si="17"/>
        <v>42</v>
      </c>
      <c r="K115" s="95"/>
      <c r="L115" s="50"/>
      <c r="M115" s="15"/>
    </row>
    <row r="116" spans="1:13">
      <c r="A116" s="50">
        <v>3</v>
      </c>
      <c r="B116" s="50"/>
      <c r="C116" s="50" t="s">
        <v>238</v>
      </c>
      <c r="D116" s="50"/>
      <c r="E116" s="129">
        <f>Inputs!$C$7+$A116</f>
        <v>48</v>
      </c>
      <c r="F116" s="32">
        <f t="shared" si="17"/>
        <v>47</v>
      </c>
      <c r="G116" s="32">
        <f t="shared" si="17"/>
        <v>46</v>
      </c>
      <c r="H116" s="32">
        <f t="shared" si="17"/>
        <v>45</v>
      </c>
      <c r="I116" s="32">
        <f t="shared" si="17"/>
        <v>44</v>
      </c>
      <c r="J116" s="32">
        <f t="shared" si="17"/>
        <v>43</v>
      </c>
      <c r="K116" s="95"/>
      <c r="L116" s="50"/>
      <c r="M116" s="15"/>
    </row>
    <row r="117" spans="1:13">
      <c r="A117" s="50">
        <v>4</v>
      </c>
      <c r="B117" s="50"/>
      <c r="C117" s="50" t="s">
        <v>239</v>
      </c>
      <c r="D117" s="50"/>
      <c r="E117" s="129">
        <f>Inputs!$C$7+$A117</f>
        <v>49</v>
      </c>
      <c r="F117" s="32">
        <f t="shared" si="17"/>
        <v>48</v>
      </c>
      <c r="G117" s="32">
        <f t="shared" si="17"/>
        <v>47</v>
      </c>
      <c r="H117" s="32">
        <f t="shared" si="17"/>
        <v>46</v>
      </c>
      <c r="I117" s="32">
        <f t="shared" si="17"/>
        <v>45</v>
      </c>
      <c r="J117" s="32">
        <f t="shared" si="17"/>
        <v>44</v>
      </c>
      <c r="K117" s="95"/>
      <c r="L117" s="50"/>
      <c r="M117" s="15"/>
    </row>
    <row r="118" spans="1:13">
      <c r="A118" s="50">
        <v>5</v>
      </c>
      <c r="B118" s="50"/>
      <c r="C118" s="50" t="s">
        <v>240</v>
      </c>
      <c r="D118" s="50"/>
      <c r="E118" s="129">
        <f>Inputs!$C$7+$A118</f>
        <v>50</v>
      </c>
      <c r="F118" s="32">
        <f t="shared" si="17"/>
        <v>49</v>
      </c>
      <c r="G118" s="32">
        <f t="shared" si="17"/>
        <v>48</v>
      </c>
      <c r="H118" s="32">
        <f t="shared" si="17"/>
        <v>47</v>
      </c>
      <c r="I118" s="32">
        <f t="shared" si="17"/>
        <v>46</v>
      </c>
      <c r="J118" s="32">
        <f t="shared" si="17"/>
        <v>45</v>
      </c>
      <c r="K118" s="95"/>
      <c r="L118" s="50"/>
      <c r="M118" s="15"/>
    </row>
    <row r="119" spans="1:13">
      <c r="A119" s="50">
        <v>6</v>
      </c>
      <c r="B119" s="50"/>
      <c r="C119" s="50" t="s">
        <v>241</v>
      </c>
      <c r="D119" s="50"/>
      <c r="E119" s="129">
        <f>Inputs!$C$7+$A119</f>
        <v>51</v>
      </c>
      <c r="F119" s="32">
        <f t="shared" si="17"/>
        <v>50</v>
      </c>
      <c r="G119" s="32">
        <f t="shared" si="17"/>
        <v>49</v>
      </c>
      <c r="H119" s="32">
        <f t="shared" si="17"/>
        <v>48</v>
      </c>
      <c r="I119" s="32">
        <f t="shared" si="17"/>
        <v>47</v>
      </c>
      <c r="J119" s="32">
        <f t="shared" si="17"/>
        <v>46</v>
      </c>
      <c r="K119" s="95"/>
      <c r="L119" s="50"/>
      <c r="M119" s="15"/>
    </row>
    <row r="120" spans="1:13">
      <c r="A120" s="50">
        <v>1</v>
      </c>
      <c r="B120" s="50"/>
      <c r="C120" s="50" t="s">
        <v>242</v>
      </c>
      <c r="D120" s="50"/>
      <c r="E120" s="32">
        <f t="shared" ref="E120:J125" si="18">E108/E114</f>
        <v>0</v>
      </c>
      <c r="F120" s="32">
        <f t="shared" si="18"/>
        <v>27.525333333333336</v>
      </c>
      <c r="G120" s="32">
        <f t="shared" si="18"/>
        <v>27.525333333333336</v>
      </c>
      <c r="H120" s="32">
        <f t="shared" si="18"/>
        <v>27.525333333333339</v>
      </c>
      <c r="I120" s="32">
        <f t="shared" si="18"/>
        <v>27.525333333333339</v>
      </c>
      <c r="J120" s="32">
        <f t="shared" si="18"/>
        <v>27.525333333333343</v>
      </c>
      <c r="K120" s="95"/>
      <c r="L120" s="50"/>
      <c r="M120" s="15"/>
    </row>
    <row r="121" spans="1:13">
      <c r="A121" s="50">
        <v>2</v>
      </c>
      <c r="B121" s="50"/>
      <c r="C121" s="50" t="s">
        <v>243</v>
      </c>
      <c r="D121" s="50"/>
      <c r="E121" s="32">
        <f t="shared" si="18"/>
        <v>0</v>
      </c>
      <c r="F121" s="32">
        <f t="shared" si="18"/>
        <v>0</v>
      </c>
      <c r="G121" s="32">
        <f t="shared" si="18"/>
        <v>136.87147323266547</v>
      </c>
      <c r="H121" s="32">
        <f t="shared" si="18"/>
        <v>136.87147323266547</v>
      </c>
      <c r="I121" s="32">
        <f t="shared" si="18"/>
        <v>136.87147323266547</v>
      </c>
      <c r="J121" s="32">
        <f t="shared" si="18"/>
        <v>136.87147323266549</v>
      </c>
      <c r="K121" s="95"/>
      <c r="L121" s="50"/>
      <c r="M121" s="15"/>
    </row>
    <row r="122" spans="1:13">
      <c r="A122" s="50">
        <v>3</v>
      </c>
      <c r="B122" s="50"/>
      <c r="C122" s="50" t="s">
        <v>244</v>
      </c>
      <c r="D122" s="50"/>
      <c r="E122" s="32">
        <f t="shared" si="18"/>
        <v>0</v>
      </c>
      <c r="F122" s="32">
        <f t="shared" si="18"/>
        <v>0</v>
      </c>
      <c r="G122" s="32">
        <f t="shared" si="18"/>
        <v>0</v>
      </c>
      <c r="H122" s="32">
        <f t="shared" si="18"/>
        <v>140.96110303405638</v>
      </c>
      <c r="I122" s="32">
        <f t="shared" si="18"/>
        <v>140.96110303405638</v>
      </c>
      <c r="J122" s="32">
        <f t="shared" si="18"/>
        <v>140.96110303405638</v>
      </c>
      <c r="K122" s="95"/>
      <c r="L122" s="50"/>
      <c r="M122" s="15"/>
    </row>
    <row r="123" spans="1:13">
      <c r="A123" s="50">
        <v>4</v>
      </c>
      <c r="B123" s="50"/>
      <c r="C123" s="50" t="s">
        <v>245</v>
      </c>
      <c r="D123" s="50"/>
      <c r="E123" s="32">
        <f t="shared" si="18"/>
        <v>0</v>
      </c>
      <c r="F123" s="32">
        <f t="shared" si="18"/>
        <v>0</v>
      </c>
      <c r="G123" s="32">
        <f t="shared" si="18"/>
        <v>0</v>
      </c>
      <c r="H123" s="32">
        <f t="shared" si="18"/>
        <v>0</v>
      </c>
      <c r="I123" s="32">
        <f t="shared" si="18"/>
        <v>42.350751434875576</v>
      </c>
      <c r="J123" s="32">
        <f t="shared" si="18"/>
        <v>42.350751434875576</v>
      </c>
      <c r="K123" s="95"/>
      <c r="L123" s="50"/>
      <c r="M123" s="15"/>
    </row>
    <row r="124" spans="1:13">
      <c r="A124" s="50">
        <v>5</v>
      </c>
      <c r="B124" s="50"/>
      <c r="C124" s="50" t="s">
        <v>246</v>
      </c>
      <c r="D124" s="50"/>
      <c r="E124" s="32">
        <f t="shared" si="18"/>
        <v>0</v>
      </c>
      <c r="F124" s="32">
        <f t="shared" si="18"/>
        <v>0</v>
      </c>
      <c r="G124" s="32">
        <f t="shared" si="18"/>
        <v>0</v>
      </c>
      <c r="H124" s="32">
        <f t="shared" si="18"/>
        <v>0</v>
      </c>
      <c r="I124" s="32">
        <f t="shared" si="18"/>
        <v>0</v>
      </c>
      <c r="J124" s="32">
        <f t="shared" si="18"/>
        <v>34.632185273681699</v>
      </c>
      <c r="K124" s="95"/>
      <c r="L124" s="50"/>
      <c r="M124" s="15"/>
    </row>
    <row r="125" spans="1:13">
      <c r="A125" s="50">
        <v>6</v>
      </c>
      <c r="B125" s="50"/>
      <c r="C125" s="50" t="s">
        <v>247</v>
      </c>
      <c r="D125" s="50"/>
      <c r="E125" s="32">
        <f t="shared" si="18"/>
        <v>0</v>
      </c>
      <c r="F125" s="32">
        <f t="shared" si="18"/>
        <v>0</v>
      </c>
      <c r="G125" s="32">
        <f t="shared" si="18"/>
        <v>0</v>
      </c>
      <c r="H125" s="32">
        <f t="shared" si="18"/>
        <v>0</v>
      </c>
      <c r="I125" s="32">
        <f t="shared" si="18"/>
        <v>0</v>
      </c>
      <c r="J125" s="32">
        <f t="shared" si="18"/>
        <v>0</v>
      </c>
      <c r="K125" s="95"/>
      <c r="L125" s="50"/>
      <c r="M125" s="15"/>
    </row>
    <row r="126" spans="1:13">
      <c r="A126" s="50">
        <v>1</v>
      </c>
      <c r="B126" s="50"/>
      <c r="C126" s="50" t="s">
        <v>248</v>
      </c>
      <c r="D126" s="50"/>
      <c r="E126" s="32">
        <f t="shared" ref="E126:J131" si="19">E108-E120+IF($A126=E$106,E$107,0)</f>
        <v>1238.6400000000001</v>
      </c>
      <c r="F126" s="32">
        <f t="shared" si="19"/>
        <v>1211.1146666666668</v>
      </c>
      <c r="G126" s="32">
        <f t="shared" si="19"/>
        <v>1183.5893333333336</v>
      </c>
      <c r="H126" s="32">
        <f t="shared" si="19"/>
        <v>1156.0640000000003</v>
      </c>
      <c r="I126" s="32">
        <f t="shared" si="19"/>
        <v>1128.538666666667</v>
      </c>
      <c r="J126" s="32">
        <f t="shared" si="19"/>
        <v>1101.0133333333338</v>
      </c>
      <c r="K126" s="95"/>
      <c r="L126" s="50"/>
      <c r="M126" s="15"/>
    </row>
    <row r="127" spans="1:13">
      <c r="A127" s="50">
        <v>2</v>
      </c>
      <c r="B127" s="50"/>
      <c r="C127" s="50" t="s">
        <v>249</v>
      </c>
      <c r="D127" s="50"/>
      <c r="E127" s="32">
        <f t="shared" si="19"/>
        <v>0</v>
      </c>
      <c r="F127" s="32">
        <f t="shared" si="19"/>
        <v>6159.2162954699461</v>
      </c>
      <c r="G127" s="32">
        <f t="shared" si="19"/>
        <v>6022.3448222372808</v>
      </c>
      <c r="H127" s="32">
        <f t="shared" si="19"/>
        <v>5885.4733490046156</v>
      </c>
      <c r="I127" s="32">
        <f t="shared" si="19"/>
        <v>5748.6018757719503</v>
      </c>
      <c r="J127" s="32">
        <f t="shared" si="19"/>
        <v>5611.730402539285</v>
      </c>
      <c r="K127" s="95"/>
      <c r="L127" s="50"/>
      <c r="M127" s="15"/>
    </row>
    <row r="128" spans="1:13">
      <c r="A128" s="50">
        <v>3</v>
      </c>
      <c r="B128" s="50"/>
      <c r="C128" s="50" t="s">
        <v>250</v>
      </c>
      <c r="D128" s="50"/>
      <c r="E128" s="32">
        <f t="shared" si="19"/>
        <v>0</v>
      </c>
      <c r="F128" s="32">
        <f t="shared" si="19"/>
        <v>0</v>
      </c>
      <c r="G128" s="32">
        <f t="shared" si="19"/>
        <v>6343.2496365325369</v>
      </c>
      <c r="H128" s="32">
        <f t="shared" si="19"/>
        <v>6202.2885334984803</v>
      </c>
      <c r="I128" s="32">
        <f t="shared" si="19"/>
        <v>6061.3274304644237</v>
      </c>
      <c r="J128" s="32">
        <f t="shared" si="19"/>
        <v>5920.3663274303672</v>
      </c>
      <c r="K128" s="95"/>
      <c r="L128" s="50"/>
      <c r="M128" s="15"/>
    </row>
    <row r="129" spans="1:13">
      <c r="A129" s="50">
        <v>4</v>
      </c>
      <c r="B129" s="50"/>
      <c r="C129" s="50" t="s">
        <v>251</v>
      </c>
      <c r="D129" s="50"/>
      <c r="E129" s="32">
        <f t="shared" si="19"/>
        <v>0</v>
      </c>
      <c r="F129" s="32">
        <f t="shared" si="19"/>
        <v>0</v>
      </c>
      <c r="G129" s="32">
        <f t="shared" si="19"/>
        <v>0</v>
      </c>
      <c r="H129" s="32">
        <f t="shared" si="19"/>
        <v>1905.7838145694009</v>
      </c>
      <c r="I129" s="32">
        <f t="shared" si="19"/>
        <v>1863.4330631345254</v>
      </c>
      <c r="J129" s="32">
        <f t="shared" si="19"/>
        <v>1821.0823116996498</v>
      </c>
      <c r="K129" s="95"/>
      <c r="L129" s="50"/>
      <c r="M129" s="15"/>
    </row>
    <row r="130" spans="1:13">
      <c r="A130" s="50">
        <v>5</v>
      </c>
      <c r="B130" s="50"/>
      <c r="C130" s="50" t="s">
        <v>252</v>
      </c>
      <c r="D130" s="50"/>
      <c r="E130" s="32">
        <f t="shared" si="19"/>
        <v>0</v>
      </c>
      <c r="F130" s="32">
        <f t="shared" si="19"/>
        <v>0</v>
      </c>
      <c r="G130" s="32">
        <f t="shared" si="19"/>
        <v>0</v>
      </c>
      <c r="H130" s="32">
        <f t="shared" si="19"/>
        <v>0</v>
      </c>
      <c r="I130" s="32">
        <f t="shared" si="19"/>
        <v>1558.4483373156763</v>
      </c>
      <c r="J130" s="32">
        <f t="shared" si="19"/>
        <v>1523.8161520419947</v>
      </c>
      <c r="K130" s="95"/>
      <c r="L130" s="50"/>
      <c r="M130" s="15"/>
    </row>
    <row r="131" spans="1:13">
      <c r="A131" s="50">
        <v>6</v>
      </c>
      <c r="B131" s="50"/>
      <c r="C131" s="50" t="s">
        <v>253</v>
      </c>
      <c r="D131" s="50"/>
      <c r="E131" s="32">
        <f t="shared" si="19"/>
        <v>0</v>
      </c>
      <c r="F131" s="32">
        <f t="shared" si="19"/>
        <v>0</v>
      </c>
      <c r="G131" s="32">
        <f t="shared" si="19"/>
        <v>0</v>
      </c>
      <c r="H131" s="32">
        <f t="shared" si="19"/>
        <v>0</v>
      </c>
      <c r="I131" s="32">
        <f t="shared" si="19"/>
        <v>0</v>
      </c>
      <c r="J131" s="32">
        <f t="shared" si="19"/>
        <v>1729.7715949268061</v>
      </c>
      <c r="K131" s="95"/>
      <c r="L131" s="50"/>
      <c r="M131" s="15"/>
    </row>
    <row r="132" spans="1:13">
      <c r="A132" s="50"/>
      <c r="B132" s="50"/>
      <c r="C132" s="50" t="s">
        <v>62</v>
      </c>
      <c r="D132" s="50"/>
      <c r="E132" s="32">
        <f t="shared" ref="E132:J132" si="20">SUM(E120:E125)</f>
        <v>0</v>
      </c>
      <c r="F132" s="32">
        <f t="shared" si="20"/>
        <v>27.525333333333336</v>
      </c>
      <c r="G132" s="32">
        <f t="shared" si="20"/>
        <v>164.39680656599882</v>
      </c>
      <c r="H132" s="32">
        <f t="shared" si="20"/>
        <v>305.35790960005522</v>
      </c>
      <c r="I132" s="32">
        <f t="shared" si="20"/>
        <v>347.7086610349308</v>
      </c>
      <c r="J132" s="32">
        <f t="shared" si="20"/>
        <v>382.34084630861253</v>
      </c>
      <c r="K132" s="95"/>
      <c r="L132" s="27"/>
      <c r="M132" s="15"/>
    </row>
    <row r="133" spans="1:13" s="15" customFormat="1">
      <c r="A133" s="50"/>
      <c r="B133" s="50"/>
      <c r="C133" s="50"/>
      <c r="D133" s="50"/>
      <c r="E133" s="32"/>
      <c r="F133" s="32"/>
      <c r="G133" s="32"/>
      <c r="H133" s="32"/>
      <c r="I133" s="32"/>
      <c r="J133" s="32"/>
      <c r="K133" s="95"/>
      <c r="L133" s="50"/>
    </row>
    <row r="134" spans="1:13" ht="15.75">
      <c r="A134" s="50"/>
      <c r="B134" s="50"/>
      <c r="C134" s="162" t="s">
        <v>63</v>
      </c>
      <c r="D134" s="50"/>
      <c r="E134" s="50"/>
      <c r="F134" s="50"/>
      <c r="G134" s="50"/>
      <c r="H134" s="50"/>
      <c r="I134" s="50"/>
      <c r="J134" s="50"/>
      <c r="K134" s="95"/>
      <c r="L134" s="50"/>
      <c r="M134" s="15"/>
    </row>
    <row r="135" spans="1:13">
      <c r="A135" s="50"/>
      <c r="B135" s="50"/>
      <c r="C135" s="50" t="s">
        <v>65</v>
      </c>
      <c r="D135" s="50"/>
      <c r="E135" s="129">
        <f>E59</f>
        <v>27058.117302182734</v>
      </c>
      <c r="F135" s="32">
        <f>E140</f>
        <v>25973.517099067081</v>
      </c>
      <c r="G135" s="32">
        <f>F140</f>
        <v>24888.916895951428</v>
      </c>
      <c r="H135" s="32">
        <f>G140</f>
        <v>23804.316692835775</v>
      </c>
      <c r="I135" s="32">
        <f>H140</f>
        <v>22719.716489720122</v>
      </c>
      <c r="J135" s="32">
        <f>I140</f>
        <v>21635.116286604469</v>
      </c>
      <c r="K135" s="95"/>
      <c r="L135" s="50"/>
      <c r="M135" s="15"/>
    </row>
    <row r="136" spans="1:13">
      <c r="A136" s="50"/>
      <c r="B136" s="50"/>
      <c r="C136" s="50" t="s">
        <v>40</v>
      </c>
      <c r="D136" s="50"/>
      <c r="E136" s="32">
        <f t="shared" ref="E136:J136" si="21">E56</f>
        <v>0</v>
      </c>
      <c r="F136" s="32">
        <f t="shared" si="21"/>
        <v>0</v>
      </c>
      <c r="G136" s="32">
        <f t="shared" si="21"/>
        <v>0</v>
      </c>
      <c r="H136" s="32">
        <f t="shared" si="21"/>
        <v>0</v>
      </c>
      <c r="I136" s="32">
        <f t="shared" si="21"/>
        <v>0</v>
      </c>
      <c r="J136" s="32">
        <f t="shared" si="21"/>
        <v>0</v>
      </c>
      <c r="K136" s="95"/>
      <c r="L136" s="50"/>
      <c r="M136" s="15"/>
    </row>
    <row r="137" spans="1:13">
      <c r="A137" s="50"/>
      <c r="B137" s="50"/>
      <c r="C137" s="50" t="s">
        <v>312</v>
      </c>
      <c r="D137" s="50"/>
      <c r="E137" s="32">
        <f>Nel!E12</f>
        <v>0</v>
      </c>
      <c r="F137" s="32"/>
      <c r="G137" s="32"/>
      <c r="H137" s="32"/>
      <c r="I137" s="32"/>
      <c r="J137" s="32"/>
      <c r="K137" s="95"/>
      <c r="L137" s="50"/>
      <c r="M137" s="15"/>
    </row>
    <row r="138" spans="1:13">
      <c r="A138" s="50"/>
      <c r="B138" s="50"/>
      <c r="C138" s="50" t="s">
        <v>313</v>
      </c>
      <c r="D138" s="50"/>
      <c r="E138" s="32">
        <f>Nel!E13</f>
        <v>0</v>
      </c>
      <c r="F138" s="32"/>
      <c r="G138" s="32"/>
      <c r="H138" s="32"/>
      <c r="I138" s="32"/>
      <c r="J138" s="32"/>
      <c r="K138" s="95"/>
      <c r="L138" s="50"/>
      <c r="M138" s="15"/>
    </row>
    <row r="139" spans="1:13">
      <c r="A139" s="50"/>
      <c r="B139" s="50"/>
      <c r="C139" s="50" t="s">
        <v>64</v>
      </c>
      <c r="D139" s="50"/>
      <c r="E139" s="32">
        <f t="shared" ref="E139:J139" si="22">E135/E$54</f>
        <v>1084.6002031156527</v>
      </c>
      <c r="F139" s="32">
        <f t="shared" si="22"/>
        <v>1084.6002031156527</v>
      </c>
      <c r="G139" s="32">
        <f t="shared" si="22"/>
        <v>1084.6002031156527</v>
      </c>
      <c r="H139" s="32">
        <f t="shared" si="22"/>
        <v>1084.6002031156527</v>
      </c>
      <c r="I139" s="32">
        <f t="shared" si="22"/>
        <v>1084.6002031156527</v>
      </c>
      <c r="J139" s="32">
        <f t="shared" si="22"/>
        <v>1084.6002031156524</v>
      </c>
      <c r="K139" s="95"/>
      <c r="L139" s="50"/>
      <c r="M139" s="15"/>
    </row>
    <row r="140" spans="1:13">
      <c r="A140" s="50"/>
      <c r="B140" s="50"/>
      <c r="C140" s="50" t="s">
        <v>61</v>
      </c>
      <c r="D140" s="50"/>
      <c r="E140" s="129">
        <f>E135-E136-E137+E138-E139</f>
        <v>25973.517099067081</v>
      </c>
      <c r="F140" s="32">
        <f>F135-F136-F139</f>
        <v>24888.916895951428</v>
      </c>
      <c r="G140" s="32">
        <f>G135-G136-G139</f>
        <v>23804.316692835775</v>
      </c>
      <c r="H140" s="32">
        <f>H135-H136-H139</f>
        <v>22719.716489720122</v>
      </c>
      <c r="I140" s="32">
        <f>I135-I136-I139</f>
        <v>21635.116286604469</v>
      </c>
      <c r="J140" s="32">
        <f>J135-J136-J139</f>
        <v>20550.516083488816</v>
      </c>
      <c r="K140" s="95"/>
      <c r="L140" s="50"/>
      <c r="M140" s="15"/>
    </row>
    <row r="141" spans="1:13">
      <c r="A141" s="50"/>
      <c r="B141" s="50"/>
      <c r="C141" s="50"/>
      <c r="D141" s="50"/>
      <c r="E141" s="32"/>
      <c r="F141" s="32"/>
      <c r="G141" s="32"/>
      <c r="H141" s="32"/>
      <c r="I141" s="32"/>
      <c r="J141" s="32"/>
      <c r="K141" s="95"/>
      <c r="L141" s="27"/>
      <c r="M141" s="15"/>
    </row>
    <row r="142" spans="1:13" ht="15.75">
      <c r="A142" s="50"/>
      <c r="B142" s="50"/>
      <c r="C142" s="162" t="s">
        <v>66</v>
      </c>
      <c r="D142" s="50"/>
      <c r="E142" s="50"/>
      <c r="F142" s="50"/>
      <c r="G142" s="50"/>
      <c r="H142" s="50"/>
      <c r="I142" s="50"/>
      <c r="J142" s="50"/>
      <c r="K142" s="95"/>
      <c r="L142" s="27"/>
      <c r="M142" s="15"/>
    </row>
    <row r="143" spans="1:13">
      <c r="A143" s="50"/>
      <c r="B143" s="50"/>
      <c r="C143" s="50" t="s">
        <v>155</v>
      </c>
      <c r="D143" s="50"/>
      <c r="E143" s="32">
        <f t="shared" ref="E143:J143" si="23">E59+E100</f>
        <v>27058.117302182734</v>
      </c>
      <c r="F143" s="32">
        <f t="shared" si="23"/>
        <v>27678.006319000848</v>
      </c>
      <c r="G143" s="32">
        <f t="shared" si="23"/>
        <v>33253.482819011857</v>
      </c>
      <c r="H143" s="32">
        <f t="shared" si="23"/>
        <v>39113.677113802667</v>
      </c>
      <c r="I143" s="32">
        <f t="shared" si="23"/>
        <v>40448.791663028678</v>
      </c>
      <c r="J143" s="32">
        <f t="shared" si="23"/>
        <v>41331.370281838448</v>
      </c>
      <c r="K143" s="95"/>
      <c r="L143" s="27"/>
      <c r="M143" s="15"/>
    </row>
    <row r="144" spans="1:13">
      <c r="A144" s="50"/>
      <c r="B144" s="50"/>
      <c r="C144" s="50" t="s">
        <v>154</v>
      </c>
      <c r="D144" s="50"/>
      <c r="E144" s="32">
        <f t="shared" ref="E144:J146" si="24">E63+E101</f>
        <v>465.84921993376776</v>
      </c>
      <c r="F144" s="32">
        <f t="shared" si="24"/>
        <v>547.83863820971908</v>
      </c>
      <c r="G144" s="32">
        <f t="shared" si="24"/>
        <v>808.75640682441076</v>
      </c>
      <c r="H144" s="32">
        <f t="shared" si="24"/>
        <v>894.85875055857196</v>
      </c>
      <c r="I144" s="32">
        <f t="shared" si="24"/>
        <v>866.95858735322508</v>
      </c>
      <c r="J144" s="32">
        <f t="shared" si="24"/>
        <v>826.1447486699808</v>
      </c>
      <c r="K144" s="95"/>
      <c r="L144" s="50"/>
      <c r="M144" s="15"/>
    </row>
    <row r="145" spans="1:13">
      <c r="A145" s="50"/>
      <c r="B145" s="50"/>
      <c r="C145" s="50" t="s">
        <v>153</v>
      </c>
      <c r="D145" s="50"/>
      <c r="E145" s="32">
        <f t="shared" si="24"/>
        <v>1084.6002031156527</v>
      </c>
      <c r="F145" s="32">
        <f t="shared" si="24"/>
        <v>1131.5784336686536</v>
      </c>
      <c r="G145" s="32">
        <f t="shared" si="24"/>
        <v>1291.8117485661351</v>
      </c>
      <c r="H145" s="32">
        <f t="shared" si="24"/>
        <v>1465.5280159019594</v>
      </c>
      <c r="I145" s="32">
        <f t="shared" si="24"/>
        <v>1542.8283058591337</v>
      </c>
      <c r="J145" s="32">
        <f t="shared" si="24"/>
        <v>1611.9757310166692</v>
      </c>
      <c r="K145" s="95"/>
      <c r="L145" s="50"/>
      <c r="M145" s="15"/>
    </row>
    <row r="146" spans="1:13">
      <c r="A146" s="50"/>
      <c r="B146" s="50"/>
      <c r="C146" s="50" t="s">
        <v>156</v>
      </c>
      <c r="D146" s="50"/>
      <c r="E146" s="32">
        <f t="shared" si="24"/>
        <v>27678.006319000848</v>
      </c>
      <c r="F146" s="32">
        <f t="shared" si="24"/>
        <v>33253.482819011857</v>
      </c>
      <c r="G146" s="32">
        <f t="shared" si="24"/>
        <v>39113.677113802667</v>
      </c>
      <c r="H146" s="32">
        <f t="shared" si="24"/>
        <v>40448.791663028678</v>
      </c>
      <c r="I146" s="32">
        <f t="shared" si="24"/>
        <v>41331.370281838448</v>
      </c>
      <c r="J146" s="32">
        <f t="shared" si="24"/>
        <v>42275.310894418566</v>
      </c>
      <c r="K146" s="95"/>
      <c r="L146" s="50"/>
      <c r="M146" s="15"/>
    </row>
    <row r="147" spans="1:13">
      <c r="A147" s="50"/>
      <c r="B147" s="50"/>
      <c r="C147" s="50" t="s">
        <v>45</v>
      </c>
      <c r="D147" s="50"/>
      <c r="E147" s="32">
        <f t="shared" ref="E147:J147" si="25">E132+E139</f>
        <v>1084.6002031156527</v>
      </c>
      <c r="F147" s="32">
        <f t="shared" si="25"/>
        <v>1112.1255364489859</v>
      </c>
      <c r="G147" s="32">
        <f t="shared" si="25"/>
        <v>1248.9970096816514</v>
      </c>
      <c r="H147" s="32">
        <f t="shared" si="25"/>
        <v>1389.958112715708</v>
      </c>
      <c r="I147" s="32">
        <f t="shared" si="25"/>
        <v>1432.3088641505835</v>
      </c>
      <c r="J147" s="32">
        <f t="shared" si="25"/>
        <v>1466.941049424265</v>
      </c>
      <c r="K147" s="95"/>
      <c r="L147" s="50"/>
      <c r="M147" s="15"/>
    </row>
    <row r="148" spans="1:13">
      <c r="A148" s="50"/>
      <c r="B148" s="50"/>
      <c r="C148" s="50" t="s">
        <v>178</v>
      </c>
      <c r="D148" s="50"/>
      <c r="E148" s="128"/>
      <c r="F148" s="165">
        <f>F143+F107+F144-F145-F56-F146</f>
        <v>0</v>
      </c>
      <c r="G148" s="165">
        <f>G143+G107+G144-G145-G56-G146</f>
        <v>0</v>
      </c>
      <c r="H148" s="165">
        <f>H143+H107+H144-H145-H56-H146</f>
        <v>0</v>
      </c>
      <c r="I148" s="165">
        <f>I143+I107+I144-I145-I56-I146</f>
        <v>0</v>
      </c>
      <c r="J148" s="165">
        <f>J143+J107+J144-J145-J56-J146</f>
        <v>0</v>
      </c>
      <c r="K148" s="95"/>
      <c r="L148" s="50"/>
      <c r="M148" s="15"/>
    </row>
    <row r="149" spans="1:13">
      <c r="A149" s="50"/>
      <c r="B149" s="50"/>
      <c r="C149" s="50"/>
      <c r="D149" s="50"/>
      <c r="E149" s="50"/>
      <c r="F149" s="32"/>
      <c r="G149" s="32"/>
      <c r="H149" s="50"/>
      <c r="I149" s="50"/>
      <c r="J149" s="50"/>
      <c r="K149" s="95"/>
      <c r="L149" s="50"/>
      <c r="M149" s="15"/>
    </row>
    <row r="150" spans="1:13" ht="15.75">
      <c r="A150" s="50"/>
      <c r="B150" s="50"/>
      <c r="C150" s="162" t="s">
        <v>90</v>
      </c>
      <c r="D150" s="50"/>
      <c r="E150" s="50"/>
      <c r="F150" s="50"/>
      <c r="G150" s="50"/>
      <c r="H150" s="50"/>
      <c r="I150" s="50"/>
      <c r="J150" s="50"/>
      <c r="K150" s="95"/>
      <c r="L150" s="50"/>
      <c r="M150" s="15"/>
    </row>
    <row r="151" spans="1:13" ht="15.75">
      <c r="A151" s="50"/>
      <c r="B151" s="50"/>
      <c r="C151" s="158" t="s">
        <v>160</v>
      </c>
      <c r="D151" s="50"/>
      <c r="E151" s="129"/>
      <c r="F151" s="166">
        <f>F143/$E143</f>
        <v>1.0229095398580488</v>
      </c>
      <c r="G151" s="166">
        <f>G143/$E143</f>
        <v>1.2289651363263678</v>
      </c>
      <c r="H151" s="166">
        <f>H143/$E143</f>
        <v>1.4455431867998971</v>
      </c>
      <c r="I151" s="166">
        <f>I143/$E143</f>
        <v>1.4948856644865582</v>
      </c>
      <c r="J151" s="166">
        <f>J143/$E143</f>
        <v>1.5275035517162281</v>
      </c>
      <c r="K151" s="95"/>
      <c r="L151" s="50"/>
      <c r="M151" s="15"/>
    </row>
    <row r="152" spans="1:13">
      <c r="A152" s="50"/>
      <c r="B152" s="50"/>
      <c r="C152" s="50" t="s">
        <v>90</v>
      </c>
      <c r="D152" s="50"/>
      <c r="E152" s="129">
        <f>IF(E20&gt;0,E20,0)</f>
        <v>0</v>
      </c>
      <c r="F152" s="32">
        <f>$E152*F151</f>
        <v>0</v>
      </c>
      <c r="G152" s="32">
        <f>$E152*G151</f>
        <v>0</v>
      </c>
      <c r="H152" s="32">
        <f>$E152*H151</f>
        <v>0</v>
      </c>
      <c r="I152" s="32">
        <f>$E152*I151</f>
        <v>0</v>
      </c>
      <c r="J152" s="32">
        <f>$E152*J151</f>
        <v>0</v>
      </c>
      <c r="K152" s="95"/>
      <c r="L152" s="50"/>
      <c r="M152" s="15"/>
    </row>
    <row r="153" spans="1:13">
      <c r="A153" s="50"/>
      <c r="B153" s="50"/>
      <c r="C153" s="50"/>
      <c r="D153" s="50"/>
      <c r="E153" s="50"/>
      <c r="F153" s="50"/>
      <c r="G153" s="50"/>
      <c r="H153" s="50"/>
      <c r="I153" s="50"/>
      <c r="J153" s="50"/>
      <c r="K153" s="95"/>
      <c r="L153" s="50"/>
      <c r="M153" s="15"/>
    </row>
    <row r="154" spans="1:13" ht="15.75">
      <c r="A154" s="50"/>
      <c r="B154" s="50"/>
      <c r="C154" s="162" t="s">
        <v>46</v>
      </c>
      <c r="D154" s="50"/>
      <c r="E154" s="50"/>
      <c r="F154" s="50"/>
      <c r="G154" s="50"/>
      <c r="H154" s="50"/>
      <c r="I154" s="50"/>
      <c r="J154" s="50"/>
      <c r="K154" s="95"/>
      <c r="L154" s="27"/>
      <c r="M154" s="15"/>
    </row>
    <row r="155" spans="1:13">
      <c r="A155" s="50"/>
      <c r="B155" s="50"/>
      <c r="C155" s="50" t="s">
        <v>157</v>
      </c>
      <c r="D155" s="49">
        <f>E17/E18</f>
        <v>9.4292803970223327E-2</v>
      </c>
      <c r="E155" s="50"/>
      <c r="F155" s="50"/>
      <c r="G155" s="50"/>
      <c r="H155" s="50"/>
      <c r="I155" s="50"/>
      <c r="J155" s="50"/>
      <c r="K155" s="95"/>
      <c r="L155" s="125"/>
      <c r="M155" s="15"/>
    </row>
    <row r="156" spans="1:13">
      <c r="A156" s="50"/>
      <c r="B156" s="50"/>
      <c r="C156" s="50" t="s">
        <v>167</v>
      </c>
      <c r="D156" s="50"/>
      <c r="E156" s="129">
        <f>E18</f>
        <v>6448</v>
      </c>
      <c r="F156" s="32">
        <f>E159</f>
        <v>7078.64</v>
      </c>
      <c r="G156" s="32">
        <f>F159</f>
        <v>12570.391481574165</v>
      </c>
      <c r="H156" s="32">
        <f>G159</f>
        <v>17728.343658305661</v>
      </c>
      <c r="I156" s="32">
        <f>H159</f>
        <v>17962.472239585695</v>
      </c>
      <c r="J156" s="32">
        <f>I159</f>
        <v>17827.18870319354</v>
      </c>
      <c r="K156" s="95"/>
      <c r="L156" s="125"/>
      <c r="M156" s="15"/>
    </row>
    <row r="157" spans="1:13">
      <c r="A157" s="50"/>
      <c r="B157" s="50"/>
      <c r="C157" s="50" t="s">
        <v>34</v>
      </c>
      <c r="D157" s="50"/>
      <c r="E157" s="129">
        <f>E17</f>
        <v>608</v>
      </c>
      <c r="F157" s="32">
        <f>F156*$D155</f>
        <v>667.46481389578173</v>
      </c>
      <c r="G157" s="32">
        <f>G156*$D155</f>
        <v>1185.2974598010378</v>
      </c>
      <c r="H157" s="32">
        <f>H156*$D155</f>
        <v>1671.6552332893675</v>
      </c>
      <c r="I157" s="32">
        <f>I156*$D155</f>
        <v>1693.7318737078324</v>
      </c>
      <c r="J157" s="32">
        <f>J156*$D155</f>
        <v>1680.9756097304082</v>
      </c>
      <c r="K157" s="95"/>
      <c r="L157" s="50"/>
      <c r="M157" s="15"/>
    </row>
    <row r="158" spans="1:13">
      <c r="A158" s="50"/>
      <c r="B158" s="50"/>
      <c r="C158" s="50" t="s">
        <v>98</v>
      </c>
      <c r="D158" s="50"/>
      <c r="E158" s="32">
        <f t="shared" ref="E158:J158" si="26">E29</f>
        <v>1238.6400000000001</v>
      </c>
      <c r="F158" s="32">
        <f t="shared" si="26"/>
        <v>6159.2162954699461</v>
      </c>
      <c r="G158" s="32">
        <f t="shared" si="26"/>
        <v>6343.2496365325369</v>
      </c>
      <c r="H158" s="32">
        <f t="shared" si="26"/>
        <v>1905.7838145694009</v>
      </c>
      <c r="I158" s="32">
        <f t="shared" si="26"/>
        <v>1558.4483373156763</v>
      </c>
      <c r="J158" s="32">
        <f t="shared" si="26"/>
        <v>1729.7715949268061</v>
      </c>
      <c r="K158" s="95"/>
      <c r="L158" s="125"/>
      <c r="M158" s="15"/>
    </row>
    <row r="159" spans="1:13">
      <c r="A159" s="50"/>
      <c r="B159" s="50"/>
      <c r="C159" s="50" t="s">
        <v>127</v>
      </c>
      <c r="D159" s="50"/>
      <c r="E159" s="32">
        <f t="shared" ref="E159:J159" si="27">E156-E157+E158</f>
        <v>7078.64</v>
      </c>
      <c r="F159" s="32">
        <f t="shared" si="27"/>
        <v>12570.391481574165</v>
      </c>
      <c r="G159" s="32">
        <f t="shared" si="27"/>
        <v>17728.343658305661</v>
      </c>
      <c r="H159" s="32">
        <f t="shared" si="27"/>
        <v>17962.472239585695</v>
      </c>
      <c r="I159" s="32">
        <f t="shared" si="27"/>
        <v>17827.18870319354</v>
      </c>
      <c r="J159" s="32">
        <f t="shared" si="27"/>
        <v>17875.984688389937</v>
      </c>
      <c r="K159" s="95"/>
      <c r="L159" s="125"/>
      <c r="M159" s="15"/>
    </row>
    <row r="160" spans="1:13">
      <c r="A160" s="50"/>
      <c r="B160" s="50"/>
      <c r="C160" s="50"/>
      <c r="D160" s="50"/>
      <c r="E160" s="50"/>
      <c r="F160" s="50"/>
      <c r="G160" s="50"/>
      <c r="H160" s="50"/>
      <c r="I160" s="50"/>
      <c r="J160" s="50"/>
      <c r="K160" s="95"/>
      <c r="L160" s="27"/>
      <c r="M160" s="15"/>
    </row>
    <row r="161" spans="1:13" ht="15.75">
      <c r="A161" s="50"/>
      <c r="B161" s="50"/>
      <c r="C161" s="162" t="s">
        <v>128</v>
      </c>
      <c r="D161" s="50"/>
      <c r="E161" s="50"/>
      <c r="F161" s="50"/>
      <c r="G161" s="50"/>
      <c r="H161" s="50"/>
      <c r="I161" s="50"/>
      <c r="J161" s="50"/>
      <c r="K161" s="95"/>
      <c r="L161" s="27"/>
      <c r="M161" s="15"/>
    </row>
    <row r="162" spans="1:13">
      <c r="A162" s="50"/>
      <c r="B162" s="50"/>
      <c r="C162" s="50" t="s">
        <v>126</v>
      </c>
      <c r="D162" s="50"/>
      <c r="E162" s="32">
        <f t="shared" ref="E162:J162" si="28">E147-E157</f>
        <v>476.60020311565268</v>
      </c>
      <c r="F162" s="32">
        <f t="shared" si="28"/>
        <v>444.66072255320421</v>
      </c>
      <c r="G162" s="32">
        <f t="shared" si="28"/>
        <v>63.699549880613631</v>
      </c>
      <c r="H162" s="32">
        <f t="shared" si="28"/>
        <v>-281.6971205736595</v>
      </c>
      <c r="I162" s="32">
        <f t="shared" si="28"/>
        <v>-261.42300955724886</v>
      </c>
      <c r="J162" s="32">
        <f t="shared" si="28"/>
        <v>-214.03456030614325</v>
      </c>
      <c r="K162" s="95"/>
      <c r="L162" s="50"/>
      <c r="M162" s="15"/>
    </row>
    <row r="163" spans="1:13">
      <c r="A163" s="50"/>
      <c r="B163" s="50"/>
      <c r="C163" s="50"/>
      <c r="D163" s="50"/>
      <c r="E163" s="50"/>
      <c r="F163" s="50"/>
      <c r="G163" s="50"/>
      <c r="H163" s="50"/>
      <c r="I163" s="50"/>
      <c r="J163" s="50"/>
      <c r="K163" s="95"/>
      <c r="L163" s="50"/>
      <c r="M163" s="15"/>
    </row>
    <row r="164" spans="1:13" ht="15.75">
      <c r="A164" s="50"/>
      <c r="B164" s="50"/>
      <c r="C164" s="162" t="s">
        <v>47</v>
      </c>
      <c r="D164" s="50"/>
      <c r="E164" s="50"/>
      <c r="F164" s="50"/>
      <c r="G164" s="50"/>
      <c r="H164" s="50"/>
      <c r="I164" s="50"/>
      <c r="J164" s="50"/>
      <c r="K164" s="95"/>
      <c r="L164" s="50"/>
      <c r="M164" s="15"/>
    </row>
    <row r="165" spans="1:13">
      <c r="A165" s="50"/>
      <c r="B165" s="50"/>
      <c r="C165" s="50" t="s">
        <v>151</v>
      </c>
      <c r="D165" s="50"/>
      <c r="E165" s="193">
        <v>0</v>
      </c>
      <c r="F165" s="31">
        <f>E168</f>
        <v>-54.927640523322665</v>
      </c>
      <c r="G165" s="31">
        <f>F168</f>
        <v>-119.43712521537987</v>
      </c>
      <c r="H165" s="31">
        <f>G168</f>
        <v>-286.31510594295867</v>
      </c>
      <c r="I165" s="31">
        <f>H168</f>
        <v>-549.90415439773392</v>
      </c>
      <c r="J165" s="31">
        <f>I168</f>
        <v>-807.81645176791426</v>
      </c>
      <c r="K165" s="95"/>
      <c r="L165" s="50"/>
      <c r="M165" s="15"/>
    </row>
    <row r="166" spans="1:13">
      <c r="A166" s="50"/>
      <c r="B166" s="50"/>
      <c r="C166" s="50" t="s">
        <v>126</v>
      </c>
      <c r="D166" s="50"/>
      <c r="E166" s="32">
        <f t="shared" ref="E166:J166" si="29">E162</f>
        <v>476.60020311565268</v>
      </c>
      <c r="F166" s="32">
        <f t="shared" si="29"/>
        <v>444.66072255320421</v>
      </c>
      <c r="G166" s="32">
        <f t="shared" si="29"/>
        <v>63.699549880613631</v>
      </c>
      <c r="H166" s="32">
        <f t="shared" si="29"/>
        <v>-281.6971205736595</v>
      </c>
      <c r="I166" s="32">
        <f t="shared" si="29"/>
        <v>-261.42300955724886</v>
      </c>
      <c r="J166" s="32">
        <f t="shared" si="29"/>
        <v>-214.03456030614325</v>
      </c>
      <c r="K166" s="95"/>
      <c r="L166" s="50"/>
      <c r="M166" s="15"/>
    </row>
    <row r="167" spans="1:13">
      <c r="A167" s="50"/>
      <c r="B167" s="50"/>
      <c r="C167" s="50" t="s">
        <v>48</v>
      </c>
      <c r="D167" s="50"/>
      <c r="E167" s="129">
        <f>(E11-E18)/E19</f>
        <v>659.6923381933949</v>
      </c>
      <c r="F167" s="32">
        <f>E167</f>
        <v>659.6923381933949</v>
      </c>
      <c r="G167" s="32">
        <f>F167</f>
        <v>659.6923381933949</v>
      </c>
      <c r="H167" s="32">
        <f>G167</f>
        <v>659.6923381933949</v>
      </c>
      <c r="I167" s="32">
        <f>H167</f>
        <v>659.6923381933949</v>
      </c>
      <c r="J167" s="32">
        <f>I167</f>
        <v>659.6923381933949</v>
      </c>
      <c r="K167" s="95"/>
      <c r="L167" s="50"/>
      <c r="M167" s="15"/>
    </row>
    <row r="168" spans="1:13">
      <c r="A168" s="50"/>
      <c r="B168" s="50"/>
      <c r="C168" s="50" t="s">
        <v>152</v>
      </c>
      <c r="D168" s="50"/>
      <c r="E168" s="31">
        <f t="shared" ref="E168:J168" si="30">E165+(E166-E167)*E53</f>
        <v>-54.927640523322665</v>
      </c>
      <c r="F168" s="31">
        <f t="shared" si="30"/>
        <v>-119.43712521537987</v>
      </c>
      <c r="G168" s="31">
        <f t="shared" si="30"/>
        <v>-286.31510594295867</v>
      </c>
      <c r="H168" s="31">
        <f t="shared" si="30"/>
        <v>-549.90415439773392</v>
      </c>
      <c r="I168" s="31">
        <f t="shared" si="30"/>
        <v>-807.81645176791426</v>
      </c>
      <c r="J168" s="31">
        <f t="shared" si="30"/>
        <v>-1052.4599833477851</v>
      </c>
      <c r="K168" s="95"/>
      <c r="L168" s="50"/>
      <c r="M168" s="15"/>
    </row>
    <row r="169" spans="1:13">
      <c r="A169" s="50"/>
      <c r="B169" s="50"/>
      <c r="C169" s="50"/>
      <c r="D169" s="50"/>
      <c r="E169" s="31"/>
      <c r="F169" s="31"/>
      <c r="G169" s="31"/>
      <c r="H169" s="31"/>
      <c r="I169" s="31"/>
      <c r="J169" s="31"/>
      <c r="K169" s="95"/>
      <c r="L169" s="27"/>
      <c r="M169" s="15"/>
    </row>
    <row r="170" spans="1:13" ht="15.75">
      <c r="A170" s="50"/>
      <c r="B170" s="50"/>
      <c r="C170" s="162" t="s">
        <v>196</v>
      </c>
      <c r="D170" s="50"/>
      <c r="E170" s="50"/>
      <c r="F170" s="50"/>
      <c r="G170" s="50"/>
      <c r="H170" s="50"/>
      <c r="I170" s="50"/>
      <c r="J170" s="50"/>
      <c r="K170" s="95"/>
      <c r="L170" s="27"/>
      <c r="M170" s="15"/>
    </row>
    <row r="171" spans="1:13">
      <c r="A171" s="50"/>
      <c r="B171" s="50"/>
      <c r="C171" s="50" t="s">
        <v>106</v>
      </c>
      <c r="D171" s="50"/>
      <c r="E171" s="32">
        <f t="shared" ref="E171:J171" si="31">E143+E165</f>
        <v>27058.117302182734</v>
      </c>
      <c r="F171" s="32">
        <f t="shared" si="31"/>
        <v>27623.078678477526</v>
      </c>
      <c r="G171" s="32">
        <f t="shared" si="31"/>
        <v>33134.045693796477</v>
      </c>
      <c r="H171" s="32">
        <f t="shared" si="31"/>
        <v>38827.362007859709</v>
      </c>
      <c r="I171" s="32">
        <f t="shared" si="31"/>
        <v>39898.887508630942</v>
      </c>
      <c r="J171" s="32">
        <f t="shared" si="31"/>
        <v>40523.553830070538</v>
      </c>
      <c r="K171" s="95"/>
      <c r="L171" s="50"/>
      <c r="M171" s="15"/>
    </row>
    <row r="172" spans="1:13">
      <c r="A172" s="50"/>
      <c r="B172" s="50"/>
      <c r="C172" s="50" t="s">
        <v>98</v>
      </c>
      <c r="D172" s="50"/>
      <c r="E172" s="32">
        <f t="shared" ref="E172:J172" si="32">E29</f>
        <v>1238.6400000000001</v>
      </c>
      <c r="F172" s="32">
        <f t="shared" si="32"/>
        <v>6159.2162954699461</v>
      </c>
      <c r="G172" s="32">
        <f t="shared" si="32"/>
        <v>6343.2496365325369</v>
      </c>
      <c r="H172" s="32">
        <f t="shared" si="32"/>
        <v>1905.7838145694009</v>
      </c>
      <c r="I172" s="32">
        <f t="shared" si="32"/>
        <v>1558.4483373156763</v>
      </c>
      <c r="J172" s="32">
        <f t="shared" si="32"/>
        <v>1729.7715949268061</v>
      </c>
      <c r="K172" s="95"/>
      <c r="L172" s="50"/>
      <c r="M172" s="15"/>
    </row>
    <row r="173" spans="1:13">
      <c r="A173" s="50"/>
      <c r="B173" s="50"/>
      <c r="C173" s="50" t="s">
        <v>111</v>
      </c>
      <c r="D173" s="50"/>
      <c r="E173" s="96">
        <f t="shared" ref="E173:J173" si="33">E152</f>
        <v>0</v>
      </c>
      <c r="F173" s="96">
        <f t="shared" si="33"/>
        <v>0</v>
      </c>
      <c r="G173" s="96">
        <f t="shared" si="33"/>
        <v>0</v>
      </c>
      <c r="H173" s="96">
        <f t="shared" si="33"/>
        <v>0</v>
      </c>
      <c r="I173" s="96">
        <f t="shared" si="33"/>
        <v>0</v>
      </c>
      <c r="J173" s="96">
        <f t="shared" si="33"/>
        <v>0</v>
      </c>
      <c r="K173" s="95"/>
      <c r="L173" s="50"/>
      <c r="M173" s="15"/>
    </row>
    <row r="174" spans="1:13">
      <c r="A174" s="50"/>
      <c r="B174" s="50"/>
      <c r="C174" s="50" t="s">
        <v>44</v>
      </c>
      <c r="D174" s="50"/>
      <c r="E174" s="96">
        <f t="shared" ref="E174:J174" si="34">E144</f>
        <v>465.84921993376776</v>
      </c>
      <c r="F174" s="96">
        <f t="shared" si="34"/>
        <v>547.83863820971908</v>
      </c>
      <c r="G174" s="96">
        <f t="shared" si="34"/>
        <v>808.75640682441076</v>
      </c>
      <c r="H174" s="96">
        <f t="shared" si="34"/>
        <v>894.85875055857196</v>
      </c>
      <c r="I174" s="96">
        <f t="shared" si="34"/>
        <v>866.95858735322508</v>
      </c>
      <c r="J174" s="96">
        <f t="shared" si="34"/>
        <v>826.1447486699808</v>
      </c>
      <c r="K174" s="95"/>
      <c r="L174" s="50"/>
      <c r="M174" s="15"/>
    </row>
    <row r="175" spans="1:13">
      <c r="A175" s="50"/>
      <c r="B175" s="50"/>
      <c r="C175" s="50" t="s">
        <v>196</v>
      </c>
      <c r="D175" s="50"/>
      <c r="E175" s="32">
        <f t="shared" ref="E175:J175" si="35">E171*WACC+E172*($D$48-1)+E173-E174</f>
        <v>1960.1719560489767</v>
      </c>
      <c r="F175" s="32">
        <f t="shared" si="35"/>
        <v>2138.3720142580619</v>
      </c>
      <c r="G175" s="32">
        <f t="shared" si="35"/>
        <v>2368.6442394342548</v>
      </c>
      <c r="H175" s="32">
        <f t="shared" si="35"/>
        <v>2591.8845949386346</v>
      </c>
      <c r="I175" s="32">
        <f t="shared" si="35"/>
        <v>2698.8886427173129</v>
      </c>
      <c r="J175" s="32">
        <f t="shared" si="35"/>
        <v>2801.8198050577025</v>
      </c>
      <c r="K175" s="95"/>
      <c r="L175" s="50"/>
      <c r="M175" s="15"/>
    </row>
    <row r="176" spans="1:13">
      <c r="A176" s="50"/>
      <c r="B176" s="50"/>
      <c r="C176" s="50"/>
      <c r="D176" s="50"/>
      <c r="E176" s="31"/>
      <c r="F176" s="31"/>
      <c r="G176" s="31"/>
      <c r="H176" s="31"/>
      <c r="I176" s="31"/>
      <c r="J176" s="31"/>
      <c r="K176" s="95"/>
      <c r="L176" s="27"/>
      <c r="M176" s="15"/>
    </row>
    <row r="177" spans="1:13" ht="15.75">
      <c r="A177" s="50"/>
      <c r="B177" s="50"/>
      <c r="C177" s="162" t="s">
        <v>49</v>
      </c>
      <c r="D177" s="50"/>
      <c r="E177" s="50"/>
      <c r="F177" s="50"/>
      <c r="G177" s="50"/>
      <c r="H177" s="50"/>
      <c r="I177" s="50"/>
      <c r="J177" s="50"/>
      <c r="K177" s="95"/>
      <c r="L177" s="27"/>
      <c r="M177" s="15"/>
    </row>
    <row r="178" spans="1:13">
      <c r="A178" s="50"/>
      <c r="B178" s="50"/>
      <c r="C178" s="50" t="s">
        <v>50</v>
      </c>
      <c r="D178" s="50"/>
      <c r="E178" s="31">
        <f t="shared" ref="E178:J178" si="36">E171*Leverage*Debt+E152</f>
        <v>944.1118289077599</v>
      </c>
      <c r="F178" s="31">
        <f t="shared" si="36"/>
        <v>963.82446124943783</v>
      </c>
      <c r="G178" s="31">
        <f t="shared" si="36"/>
        <v>1156.1131223479465</v>
      </c>
      <c r="H178" s="31">
        <f t="shared" si="36"/>
        <v>1354.7643151782408</v>
      </c>
      <c r="I178" s="31">
        <f t="shared" si="36"/>
        <v>1392.1519829511508</v>
      </c>
      <c r="J178" s="31">
        <f t="shared" si="36"/>
        <v>1413.9478402388211</v>
      </c>
      <c r="K178" s="95"/>
      <c r="L178" s="50"/>
      <c r="M178" s="15"/>
    </row>
    <row r="179" spans="1:13">
      <c r="A179" s="50"/>
      <c r="B179" s="50"/>
      <c r="C179" s="50" t="s">
        <v>51</v>
      </c>
      <c r="D179" s="50"/>
      <c r="E179" s="31">
        <f t="shared" ref="E179:J179" si="37">E145-E147</f>
        <v>0</v>
      </c>
      <c r="F179" s="31">
        <f t="shared" si="37"/>
        <v>19.452897219667648</v>
      </c>
      <c r="G179" s="31">
        <f t="shared" si="37"/>
        <v>42.814738884483631</v>
      </c>
      <c r="H179" s="31">
        <f t="shared" si="37"/>
        <v>75.569903186251395</v>
      </c>
      <c r="I179" s="31">
        <f t="shared" si="37"/>
        <v>110.51944170855018</v>
      </c>
      <c r="J179" s="31">
        <f t="shared" si="37"/>
        <v>145.03468159240424</v>
      </c>
      <c r="K179" s="95"/>
      <c r="L179" s="50"/>
      <c r="M179" s="15"/>
    </row>
    <row r="180" spans="1:13">
      <c r="A180" s="50"/>
      <c r="B180" s="50"/>
      <c r="C180" s="50" t="s">
        <v>52</v>
      </c>
      <c r="D180" s="50"/>
      <c r="E180" s="31">
        <f t="shared" ref="E180:J180" si="38">E167+E179-E178</f>
        <v>-284.419490714365</v>
      </c>
      <c r="F180" s="31">
        <f t="shared" si="38"/>
        <v>-284.67922583637528</v>
      </c>
      <c r="G180" s="31">
        <f t="shared" si="38"/>
        <v>-453.60604527006797</v>
      </c>
      <c r="H180" s="31">
        <f t="shared" si="38"/>
        <v>-619.50207379859455</v>
      </c>
      <c r="I180" s="31">
        <f t="shared" si="38"/>
        <v>-621.94020304920571</v>
      </c>
      <c r="J180" s="31">
        <f t="shared" si="38"/>
        <v>-609.22082045302193</v>
      </c>
      <c r="K180" s="95"/>
      <c r="L180" s="50"/>
      <c r="M180" s="15"/>
    </row>
    <row r="181" spans="1:13">
      <c r="A181" s="50"/>
      <c r="B181" s="50"/>
      <c r="C181" s="50"/>
      <c r="D181" s="50"/>
      <c r="E181" s="50"/>
      <c r="F181" s="167"/>
      <c r="G181" s="32"/>
      <c r="H181" s="32"/>
      <c r="I181" s="32"/>
      <c r="J181" s="32"/>
      <c r="K181" s="95"/>
      <c r="L181" s="50"/>
      <c r="M181" s="15"/>
    </row>
    <row r="182" spans="1:13" ht="15.75">
      <c r="A182" s="50"/>
      <c r="B182" s="50"/>
      <c r="C182" s="162" t="s">
        <v>107</v>
      </c>
      <c r="D182" s="50"/>
      <c r="E182" s="50"/>
      <c r="F182" s="167"/>
      <c r="G182" s="32"/>
      <c r="H182" s="32"/>
      <c r="I182" s="32"/>
      <c r="J182" s="32"/>
      <c r="K182" s="95"/>
      <c r="L182" s="27"/>
      <c r="M182" s="15"/>
    </row>
    <row r="183" spans="1:13">
      <c r="A183" s="50"/>
      <c r="B183" s="50"/>
      <c r="C183" s="50" t="s">
        <v>153</v>
      </c>
      <c r="D183" s="50"/>
      <c r="E183" s="32">
        <f t="shared" ref="E183:J183" si="39">E145</f>
        <v>1084.6002031156527</v>
      </c>
      <c r="F183" s="32">
        <f t="shared" si="39"/>
        <v>1131.5784336686536</v>
      </c>
      <c r="G183" s="32">
        <f t="shared" si="39"/>
        <v>1291.8117485661351</v>
      </c>
      <c r="H183" s="32">
        <f t="shared" si="39"/>
        <v>1465.5280159019594</v>
      </c>
      <c r="I183" s="32">
        <f t="shared" si="39"/>
        <v>1542.8283058591337</v>
      </c>
      <c r="J183" s="32">
        <f t="shared" si="39"/>
        <v>1611.9757310166692</v>
      </c>
      <c r="K183" s="95"/>
      <c r="L183" s="50"/>
      <c r="M183" s="15"/>
    </row>
    <row r="184" spans="1:13">
      <c r="A184" s="50"/>
      <c r="B184" s="50"/>
      <c r="C184" s="50" t="s">
        <v>107</v>
      </c>
      <c r="D184" s="50"/>
      <c r="E184" s="96">
        <f t="shared" ref="E184:J184" si="40">E183</f>
        <v>1084.6002031156527</v>
      </c>
      <c r="F184" s="96">
        <f t="shared" si="40"/>
        <v>1131.5784336686536</v>
      </c>
      <c r="G184" s="96">
        <f t="shared" si="40"/>
        <v>1291.8117485661351</v>
      </c>
      <c r="H184" s="96">
        <f t="shared" si="40"/>
        <v>1465.5280159019594</v>
      </c>
      <c r="I184" s="96">
        <f t="shared" si="40"/>
        <v>1542.8283058591337</v>
      </c>
      <c r="J184" s="96">
        <f t="shared" si="40"/>
        <v>1611.9757310166692</v>
      </c>
      <c r="K184" s="95"/>
      <c r="L184" s="50"/>
      <c r="M184" s="15"/>
    </row>
    <row r="185" spans="1:13">
      <c r="A185" s="50"/>
      <c r="B185" s="50"/>
      <c r="C185" s="50"/>
      <c r="D185" s="50"/>
      <c r="E185" s="50"/>
      <c r="F185" s="96"/>
      <c r="G185" s="96"/>
      <c r="H185" s="96"/>
      <c r="I185" s="96"/>
      <c r="J185" s="96"/>
      <c r="K185" s="95"/>
      <c r="L185" s="50"/>
      <c r="M185" s="15"/>
    </row>
    <row r="186" spans="1:13" ht="15.75">
      <c r="A186" s="50"/>
      <c r="B186" s="50"/>
      <c r="C186" s="121" t="s">
        <v>122</v>
      </c>
      <c r="D186" s="50"/>
      <c r="E186" s="50"/>
      <c r="F186" s="96"/>
      <c r="G186" s="96"/>
      <c r="H186" s="96"/>
      <c r="I186" s="96"/>
      <c r="J186" s="96"/>
      <c r="K186" s="95"/>
      <c r="L186" s="27"/>
      <c r="M186" s="15"/>
    </row>
    <row r="187" spans="1:13">
      <c r="A187" s="50"/>
      <c r="B187" s="50"/>
      <c r="C187" s="50" t="s">
        <v>122</v>
      </c>
      <c r="D187" s="50"/>
      <c r="E187" s="32">
        <f t="shared" ref="E187:J187" si="41">E43</f>
        <v>0</v>
      </c>
      <c r="F187" s="32">
        <f t="shared" si="41"/>
        <v>0</v>
      </c>
      <c r="G187" s="32">
        <f t="shared" si="41"/>
        <v>0</v>
      </c>
      <c r="H187" s="32">
        <f t="shared" si="41"/>
        <v>0</v>
      </c>
      <c r="I187" s="32">
        <f t="shared" si="41"/>
        <v>0</v>
      </c>
      <c r="J187" s="32">
        <f t="shared" si="41"/>
        <v>0</v>
      </c>
      <c r="K187" s="95"/>
      <c r="L187" s="125"/>
      <c r="M187" s="15"/>
    </row>
    <row r="188" spans="1:13">
      <c r="A188" s="50"/>
      <c r="B188" s="50"/>
      <c r="C188" s="50"/>
      <c r="D188" s="50"/>
      <c r="E188" s="50"/>
      <c r="F188" s="96"/>
      <c r="G188" s="96"/>
      <c r="H188" s="96"/>
      <c r="I188" s="96"/>
      <c r="J188" s="96"/>
      <c r="K188" s="95"/>
      <c r="L188" s="27"/>
      <c r="M188" s="15"/>
    </row>
    <row r="189" spans="1:13" ht="15.75">
      <c r="A189" s="50"/>
      <c r="B189" s="50"/>
      <c r="C189" s="162" t="s">
        <v>179</v>
      </c>
      <c r="D189" s="50"/>
      <c r="E189" s="32">
        <f t="shared" ref="E189:J189" si="42">E28</f>
        <v>2092.9300000000003</v>
      </c>
      <c r="F189" s="32">
        <f t="shared" si="42"/>
        <v>2159.0527302088258</v>
      </c>
      <c r="G189" s="32">
        <f t="shared" si="42"/>
        <v>2261.7125727096982</v>
      </c>
      <c r="H189" s="32">
        <f t="shared" si="42"/>
        <v>2325.766556585826</v>
      </c>
      <c r="I189" s="32">
        <f t="shared" si="42"/>
        <v>2409.7780385106776</v>
      </c>
      <c r="J189" s="32">
        <f t="shared" si="42"/>
        <v>2484.1294160849757</v>
      </c>
      <c r="K189" s="95"/>
      <c r="L189" s="125"/>
      <c r="M189" s="15"/>
    </row>
    <row r="190" spans="1:13">
      <c r="A190" s="50"/>
      <c r="B190" s="50"/>
      <c r="C190" s="50" t="s">
        <v>180</v>
      </c>
      <c r="D190" s="50"/>
      <c r="E190" s="32">
        <f t="shared" ref="E190:J190" si="43">E189*$D$46</f>
        <v>2182.5251400733864</v>
      </c>
      <c r="F190" s="32">
        <f t="shared" si="43"/>
        <v>2251.4784834776337</v>
      </c>
      <c r="G190" s="32">
        <f t="shared" si="43"/>
        <v>2358.5330372057224</v>
      </c>
      <c r="H190" s="32">
        <f t="shared" si="43"/>
        <v>2425.3290744030983</v>
      </c>
      <c r="I190" s="32">
        <f t="shared" si="43"/>
        <v>2512.936959691096</v>
      </c>
      <c r="J190" s="32">
        <f t="shared" si="43"/>
        <v>2590.4712062999147</v>
      </c>
      <c r="K190" s="95"/>
      <c r="L190" s="125"/>
      <c r="M190" s="15"/>
    </row>
    <row r="191" spans="1:13">
      <c r="A191" s="50"/>
      <c r="B191" s="50"/>
      <c r="C191" s="50"/>
      <c r="D191" s="50"/>
      <c r="E191" s="50"/>
      <c r="F191" s="96"/>
      <c r="G191" s="32"/>
      <c r="H191" s="32"/>
      <c r="I191" s="32"/>
      <c r="J191" s="32"/>
      <c r="K191" s="95"/>
      <c r="L191" s="27"/>
      <c r="M191" s="15"/>
    </row>
    <row r="192" spans="1:13" ht="15.75">
      <c r="A192" s="50"/>
      <c r="B192" s="50"/>
      <c r="C192" s="162" t="s">
        <v>229</v>
      </c>
      <c r="D192" s="50"/>
      <c r="E192" s="50"/>
      <c r="F192" s="50"/>
      <c r="G192" s="50"/>
      <c r="H192" s="50"/>
      <c r="I192" s="50"/>
      <c r="J192" s="50"/>
      <c r="K192" s="95"/>
      <c r="L192" s="125"/>
      <c r="M192" s="15"/>
    </row>
    <row r="193" spans="1:15">
      <c r="A193" s="50"/>
      <c r="B193" s="50"/>
      <c r="C193" s="50" t="s">
        <v>169</v>
      </c>
      <c r="D193" s="50"/>
      <c r="E193" s="31">
        <f t="shared" ref="E193:J193" si="44">E168-E165</f>
        <v>-54.927640523322665</v>
      </c>
      <c r="F193" s="31">
        <f t="shared" si="44"/>
        <v>-64.5094846920572</v>
      </c>
      <c r="G193" s="31">
        <f t="shared" si="44"/>
        <v>-166.8779807275788</v>
      </c>
      <c r="H193" s="31">
        <f t="shared" si="44"/>
        <v>-263.58904845477525</v>
      </c>
      <c r="I193" s="31">
        <f t="shared" si="44"/>
        <v>-257.91229737018034</v>
      </c>
      <c r="J193" s="31">
        <f t="shared" si="44"/>
        <v>-244.6435315798708</v>
      </c>
      <c r="K193" s="95"/>
      <c r="L193" s="125"/>
      <c r="M193" s="15"/>
    </row>
    <row r="194" spans="1:15">
      <c r="A194" s="50"/>
      <c r="B194" s="50"/>
      <c r="C194" s="50" t="s">
        <v>170</v>
      </c>
      <c r="D194" s="50"/>
      <c r="E194" s="50"/>
      <c r="F194" s="31">
        <f>(F175+F184+F190+((F187-F189-F145-F152+F180)*F53+F193)*$D47-F193-F187*$D49)/($D50-F53*$D47)</f>
        <v>6095.8215897196178</v>
      </c>
      <c r="G194" s="31">
        <f>(G175+G184+G190+((G187-G189-G145-G152+G180)*G53+G193)*$D47-G193-G187*$D49)/($D50-G53*$D47)</f>
        <v>6519.315826999532</v>
      </c>
      <c r="H194" s="31">
        <f>(H175+H184+H190+((H187-H189-H145-H152+H180)*H53+H193)*$D47-H193-H187*$D49)/($D50-H53*$D47)</f>
        <v>6979.4653704080847</v>
      </c>
      <c r="I194" s="31">
        <f>(I175+I184+I190+((I187-I189-I145-I152+I180)*I53+I193)*$D47-I193-I187*$D49)/($D50-I53*$D47)</f>
        <v>7281.5336547160659</v>
      </c>
      <c r="J194" s="31">
        <f>(J175+J184+J190+((J187-J189-J145-J152+J180)*J53+J193)*$D47-J193-J187*$D49)/($D50-J53*$D47)</f>
        <v>7566.9765797353157</v>
      </c>
      <c r="K194" s="95"/>
      <c r="L194" s="125"/>
      <c r="M194" s="15"/>
    </row>
    <row r="195" spans="1:15">
      <c r="A195" s="50"/>
      <c r="B195" s="50"/>
      <c r="C195" s="50" t="s">
        <v>177</v>
      </c>
      <c r="D195" s="50"/>
      <c r="E195" s="50"/>
      <c r="F195" s="31">
        <f>(F194+F187-F189-F183-F152+F180)*F53</f>
        <v>756.15336000172886</v>
      </c>
      <c r="G195" s="31">
        <f>(G194+G187-G189-G183-G152+G180)*G53</f>
        <v>703.41192892701667</v>
      </c>
      <c r="H195" s="31">
        <f>(H194+H187-H189-H183-H152+H180)*H53</f>
        <v>719.22724275407734</v>
      </c>
      <c r="I195" s="31">
        <f>(I194+I187-I189-I183-I152+I180)*I53</f>
        <v>757.95639004317366</v>
      </c>
      <c r="J195" s="31">
        <f>(J194+J187-J189-J183-J152+J180)*J53</f>
        <v>801.26217141058169</v>
      </c>
      <c r="K195" s="95"/>
      <c r="L195" s="125"/>
      <c r="M195" s="15"/>
    </row>
    <row r="196" spans="1:15">
      <c r="A196" s="50"/>
      <c r="B196" s="50"/>
      <c r="C196" s="50" t="s">
        <v>162</v>
      </c>
      <c r="D196" s="50"/>
      <c r="E196" s="50"/>
      <c r="F196" s="31">
        <f>IF(F195&lt;0,#N/A,F195)</f>
        <v>756.15336000172886</v>
      </c>
      <c r="G196" s="31">
        <f>IF(G195&lt;0,#N/A,G195)</f>
        <v>703.41192892701667</v>
      </c>
      <c r="H196" s="31">
        <f>IF(H195&lt;0,#N/A,H195)</f>
        <v>719.22724275407734</v>
      </c>
      <c r="I196" s="31">
        <f>IF(I195&lt;0,#N/A,I195)</f>
        <v>757.95639004317366</v>
      </c>
      <c r="J196" s="31">
        <f>IF(J195&lt;0,#N/A,J195)</f>
        <v>801.26217141058169</v>
      </c>
      <c r="K196" s="95"/>
      <c r="L196" s="50"/>
      <c r="M196" s="15"/>
    </row>
    <row r="197" spans="1:15">
      <c r="A197" s="50"/>
      <c r="B197" s="50"/>
      <c r="C197" s="50" t="s">
        <v>171</v>
      </c>
      <c r="D197" s="50"/>
      <c r="E197" s="50"/>
      <c r="F197" s="31">
        <f>F175+F184+F190+(F196+F193)*$D$47-F193-F187*$D$49</f>
        <v>6307.1905104527114</v>
      </c>
      <c r="G197" s="31">
        <f>G175+G184+G190+(G196+G193)*$D$47-G193-G187*$D$49</f>
        <v>6745.3691538545982</v>
      </c>
      <c r="H197" s="31">
        <f>H175+H184+H190+(H196+H193)*$D$47-H193-H187*$D$49</f>
        <v>7221.4741039191013</v>
      </c>
      <c r="I197" s="31">
        <f>I175+I184+I190+(I196+I193)*$D$47-I193-I187*$D$49</f>
        <v>7534.0164229904267</v>
      </c>
      <c r="J197" s="31">
        <f>J175+J184+J190+(J196+J193)*$D$47-J193-J187*$D$49</f>
        <v>7829.3569085114423</v>
      </c>
      <c r="K197" s="95"/>
      <c r="L197" s="27"/>
      <c r="M197" s="15"/>
    </row>
    <row r="198" spans="1:15">
      <c r="A198" s="50"/>
      <c r="B198" s="50"/>
      <c r="C198" s="50" t="s">
        <v>172</v>
      </c>
      <c r="D198" s="50"/>
      <c r="E198" s="50"/>
      <c r="F198" s="31">
        <f>F197/$D$50</f>
        <v>6095.8215897196187</v>
      </c>
      <c r="G198" s="31">
        <f>G197/$D$50</f>
        <v>6519.3158269995311</v>
      </c>
      <c r="H198" s="31">
        <f>H197/$D$50</f>
        <v>6979.4653704080856</v>
      </c>
      <c r="I198" s="31">
        <f>I197/$D$50</f>
        <v>7281.533654716065</v>
      </c>
      <c r="J198" s="31">
        <f>J197/$D$50</f>
        <v>7566.9765797353157</v>
      </c>
      <c r="K198" s="95"/>
      <c r="L198" s="50"/>
      <c r="M198" s="15"/>
    </row>
    <row r="199" spans="1:15">
      <c r="A199" s="50"/>
      <c r="B199" s="50"/>
      <c r="C199" s="50" t="s">
        <v>173</v>
      </c>
      <c r="D199" s="50"/>
      <c r="E199" s="50"/>
      <c r="F199" s="31">
        <f>F194-F198</f>
        <v>0</v>
      </c>
      <c r="G199" s="31">
        <f>G194-G198</f>
        <v>0</v>
      </c>
      <c r="H199" s="31">
        <f>H194-H198</f>
        <v>0</v>
      </c>
      <c r="I199" s="31">
        <f>I194-I198</f>
        <v>0</v>
      </c>
      <c r="J199" s="31">
        <f>J194-J198</f>
        <v>0</v>
      </c>
      <c r="K199" s="95"/>
      <c r="L199" s="27"/>
      <c r="M199" s="15"/>
    </row>
    <row r="200" spans="1:15">
      <c r="A200" s="50"/>
      <c r="B200" s="50"/>
      <c r="C200" s="50"/>
      <c r="D200" s="50"/>
      <c r="E200" s="50"/>
      <c r="F200" s="50"/>
      <c r="G200" s="50"/>
      <c r="H200" s="50"/>
      <c r="I200" s="50"/>
      <c r="J200" s="50"/>
      <c r="K200" s="50"/>
      <c r="L200" s="50"/>
      <c r="M200" s="15"/>
    </row>
    <row r="201" spans="1:15" ht="15.75">
      <c r="A201" s="50"/>
      <c r="B201" s="50"/>
      <c r="C201" s="162" t="s">
        <v>174</v>
      </c>
      <c r="D201" s="50"/>
      <c r="E201" s="50"/>
      <c r="F201" s="31"/>
      <c r="G201" s="31"/>
      <c r="H201" s="31"/>
      <c r="I201" s="31"/>
      <c r="J201" s="50"/>
      <c r="K201" s="95"/>
      <c r="L201" s="27"/>
      <c r="M201" s="15"/>
    </row>
    <row r="202" spans="1:15">
      <c r="A202" s="50"/>
      <c r="B202" s="50"/>
      <c r="C202" s="95" t="s">
        <v>103</v>
      </c>
      <c r="D202" s="50"/>
      <c r="E202" s="50"/>
      <c r="F202" s="31"/>
      <c r="G202" s="31"/>
      <c r="H202" s="31"/>
      <c r="I202" s="31"/>
      <c r="J202" s="50"/>
      <c r="K202" s="95"/>
      <c r="L202" s="50"/>
      <c r="M202" s="15"/>
      <c r="O202" s="8"/>
    </row>
    <row r="203" spans="1:15">
      <c r="A203" s="50"/>
      <c r="B203" s="50"/>
      <c r="C203" s="50" t="s">
        <v>175</v>
      </c>
      <c r="D203" s="50"/>
      <c r="E203" s="50"/>
      <c r="F203" s="50"/>
      <c r="G203" s="50"/>
      <c r="H203" s="31">
        <v>1</v>
      </c>
      <c r="I203" s="31">
        <v>2</v>
      </c>
      <c r="J203" s="31">
        <v>3</v>
      </c>
      <c r="K203" s="95"/>
      <c r="L203" s="27"/>
      <c r="M203" s="15"/>
    </row>
    <row r="204" spans="1:15">
      <c r="A204" s="50"/>
      <c r="B204" s="50" t="s">
        <v>135</v>
      </c>
      <c r="C204" s="50" t="s">
        <v>136</v>
      </c>
      <c r="D204" s="50"/>
      <c r="E204" s="50"/>
      <c r="F204" s="31"/>
      <c r="G204" s="31"/>
      <c r="H204" s="31">
        <f>H197</f>
        <v>7221.4741039191013</v>
      </c>
      <c r="I204" s="31">
        <f>I197</f>
        <v>7534.0164229904267</v>
      </c>
      <c r="J204" s="31">
        <f>J197</f>
        <v>7829.3569085114423</v>
      </c>
      <c r="K204" s="95"/>
      <c r="L204" s="50"/>
      <c r="M204" s="15"/>
    </row>
    <row r="205" spans="1:15">
      <c r="A205" s="50"/>
      <c r="B205" s="50" t="s">
        <v>135</v>
      </c>
      <c r="C205" s="50" t="s">
        <v>137</v>
      </c>
      <c r="D205" s="50"/>
      <c r="E205" s="50"/>
      <c r="F205" s="31"/>
      <c r="G205" s="31"/>
      <c r="H205" s="31">
        <f>H204/(1+WACC)^H$203</f>
        <v>6639.2149525780105</v>
      </c>
      <c r="I205" s="31">
        <f>I204/(1+WACC)^I$203</f>
        <v>6368.0769917513544</v>
      </c>
      <c r="J205" s="31">
        <f>J204/(1+WACC)^J$203</f>
        <v>6084.1330898331053</v>
      </c>
      <c r="K205" s="95"/>
      <c r="L205" s="50"/>
      <c r="M205" s="15"/>
    </row>
    <row r="206" spans="1:15">
      <c r="A206" s="50"/>
      <c r="B206" s="50" t="s">
        <v>135</v>
      </c>
      <c r="C206" s="50" t="s">
        <v>101</v>
      </c>
      <c r="D206" s="31">
        <f>SUM(H205:J205)</f>
        <v>19091.425034162472</v>
      </c>
      <c r="E206" s="50"/>
      <c r="F206" s="31"/>
      <c r="G206" s="31"/>
      <c r="H206" s="31"/>
      <c r="I206" s="31"/>
      <c r="J206" s="31"/>
      <c r="K206" s="95"/>
      <c r="L206" s="50"/>
      <c r="M206" s="15"/>
    </row>
    <row r="207" spans="1:15">
      <c r="A207" s="50"/>
      <c r="B207" s="50"/>
      <c r="C207" s="50"/>
      <c r="D207" s="50"/>
      <c r="E207" s="50"/>
      <c r="F207" s="123"/>
      <c r="G207" s="50"/>
      <c r="H207" s="50"/>
      <c r="I207" s="50"/>
      <c r="J207" s="50"/>
      <c r="K207" s="95"/>
      <c r="L207" s="50"/>
      <c r="M207" s="15"/>
    </row>
    <row r="208" spans="1:15" ht="21">
      <c r="A208" s="50"/>
      <c r="B208" s="50"/>
      <c r="C208" s="155" t="s">
        <v>104</v>
      </c>
      <c r="D208" s="50"/>
      <c r="E208" s="50"/>
      <c r="F208" s="123"/>
      <c r="G208" s="50"/>
      <c r="H208" s="50"/>
      <c r="I208" s="50"/>
      <c r="J208" s="50"/>
      <c r="K208" s="95"/>
      <c r="L208" s="50"/>
      <c r="M208" s="15"/>
    </row>
    <row r="209" spans="1:13" ht="15.75">
      <c r="A209" s="50"/>
      <c r="B209" s="50"/>
      <c r="C209" s="50"/>
      <c r="D209" s="50"/>
      <c r="E209" s="162" t="str">
        <f>Inputs!D$11</f>
        <v>2009/10</v>
      </c>
      <c r="F209" s="168" t="str">
        <f>Inputs!E$11</f>
        <v>2010/11</v>
      </c>
      <c r="G209" s="162" t="str">
        <f>Inputs!F$11</f>
        <v>2011/12</v>
      </c>
      <c r="H209" s="162" t="str">
        <f>Inputs!G$11</f>
        <v>2012/13</v>
      </c>
      <c r="I209" s="162" t="str">
        <f>Inputs!H$11</f>
        <v>2013/14</v>
      </c>
      <c r="J209" s="162" t="str">
        <f>Inputs!I$11</f>
        <v>2014/15</v>
      </c>
      <c r="K209" s="95"/>
      <c r="L209" s="50"/>
      <c r="M209" s="15"/>
    </row>
    <row r="210" spans="1:13">
      <c r="A210" s="50"/>
      <c r="B210" s="50"/>
      <c r="C210" s="50" t="s">
        <v>53</v>
      </c>
      <c r="D210" s="32">
        <f>D206</f>
        <v>19091.425034162472</v>
      </c>
      <c r="E210" s="50"/>
      <c r="F210" s="169"/>
      <c r="G210" s="32"/>
      <c r="H210" s="32"/>
      <c r="I210" s="32"/>
      <c r="J210" s="32"/>
      <c r="K210" s="95"/>
      <c r="L210" s="50"/>
      <c r="M210" s="15"/>
    </row>
    <row r="211" spans="1:13">
      <c r="A211" s="50"/>
      <c r="B211" s="50"/>
      <c r="C211" s="50" t="s">
        <v>143</v>
      </c>
      <c r="D211" s="50"/>
      <c r="E211" s="50"/>
      <c r="F211" s="113"/>
      <c r="G211" s="113"/>
      <c r="H211" s="170">
        <v>1</v>
      </c>
      <c r="I211" s="113">
        <f>H211*(1+I$35)*(1+I$30)*(1-X_industry_wide)</f>
        <v>1.0291681442404366</v>
      </c>
      <c r="J211" s="113">
        <f>I211*(1+J$35)*(1+J$30)*(1-X_industry_wide)</f>
        <v>1.0575364862032179</v>
      </c>
      <c r="K211" s="95"/>
      <c r="L211" s="50" t="s">
        <v>290</v>
      </c>
    </row>
    <row r="212" spans="1:13">
      <c r="A212" s="50"/>
      <c r="B212" s="50"/>
      <c r="C212" s="50" t="s">
        <v>102</v>
      </c>
      <c r="D212" s="50"/>
      <c r="E212" s="50"/>
      <c r="F212" s="171"/>
      <c r="G212" s="113"/>
      <c r="H212" s="113">
        <f>H211/(1+WACC)^H$203</f>
        <v>0.91937115013330895</v>
      </c>
      <c r="I212" s="113">
        <f>I211/(1+WACC)^I$203</f>
        <v>0.86989749053129861</v>
      </c>
      <c r="J212" s="113">
        <f>J211/(1+WACC)^J$203</f>
        <v>0.82180347691393363</v>
      </c>
      <c r="K212" s="95"/>
      <c r="L212" s="50" t="s">
        <v>165</v>
      </c>
    </row>
    <row r="213" spans="1:13">
      <c r="A213" s="50"/>
      <c r="B213" s="50"/>
      <c r="C213" s="50" t="s">
        <v>91</v>
      </c>
      <c r="D213" s="113">
        <f>SUM(H212:J212)</f>
        <v>2.6110721175785412</v>
      </c>
      <c r="E213" s="50"/>
      <c r="F213" s="171"/>
      <c r="G213" s="113"/>
      <c r="H213" s="113"/>
      <c r="I213" s="113"/>
      <c r="J213" s="113"/>
      <c r="K213" s="95"/>
      <c r="L213" s="50" t="s">
        <v>279</v>
      </c>
    </row>
    <row r="214" spans="1:13">
      <c r="A214" s="50"/>
      <c r="B214" s="50"/>
      <c r="C214" s="50" t="s">
        <v>142</v>
      </c>
      <c r="D214" s="32">
        <f>D210/D213</f>
        <v>7311.7187785174992</v>
      </c>
      <c r="E214" s="50"/>
      <c r="F214" s="171"/>
      <c r="G214" s="113"/>
      <c r="H214" s="31"/>
      <c r="I214" s="31"/>
      <c r="J214" s="31"/>
      <c r="K214" s="95"/>
      <c r="L214" s="31"/>
    </row>
    <row r="215" spans="1:13">
      <c r="A215" s="50"/>
      <c r="B215" s="50"/>
      <c r="C215" s="50" t="s">
        <v>138</v>
      </c>
      <c r="D215" s="32"/>
      <c r="E215" s="50"/>
      <c r="F215" s="171"/>
      <c r="G215" s="113"/>
      <c r="H215" s="31">
        <f>$D214*H211</f>
        <v>7311.7187785174992</v>
      </c>
      <c r="I215" s="31">
        <f>$D214*I211</f>
        <v>7524.9880464948064</v>
      </c>
      <c r="J215" s="31">
        <f>$D214*J211</f>
        <v>7732.4093851394809</v>
      </c>
      <c r="K215" s="95"/>
      <c r="L215" s="50" t="s">
        <v>131</v>
      </c>
    </row>
    <row r="216" spans="1:13">
      <c r="A216" s="50"/>
      <c r="B216" s="50"/>
      <c r="C216" s="50" t="s">
        <v>139</v>
      </c>
      <c r="D216" s="32"/>
      <c r="E216" s="50"/>
      <c r="F216" s="171"/>
      <c r="G216" s="113"/>
      <c r="H216" s="54">
        <f>H215/$D$50</f>
        <v>7066.6857318134444</v>
      </c>
      <c r="I216" s="54">
        <f>I215/$D$50</f>
        <v>7272.8078405408141</v>
      </c>
      <c r="J216" s="54">
        <f>J215/$D$50</f>
        <v>7473.2779979244051</v>
      </c>
      <c r="K216" s="95"/>
      <c r="L216" s="50" t="s">
        <v>133</v>
      </c>
    </row>
    <row r="217" spans="1:13">
      <c r="A217" s="50"/>
      <c r="B217" s="50"/>
      <c r="C217" s="50" t="s">
        <v>140</v>
      </c>
      <c r="D217" s="50"/>
      <c r="E217" s="50"/>
      <c r="F217" s="171"/>
      <c r="G217" s="113"/>
      <c r="H217" s="31">
        <f>H215/(1+WACC)^H$203</f>
        <v>6722.1833028569454</v>
      </c>
      <c r="I217" s="31">
        <f>I215/(1+WACC)^I$203</f>
        <v>6360.4458169029449</v>
      </c>
      <c r="J217" s="31">
        <f>J215/(1+WACC)^J$203</f>
        <v>6008.7959144025808</v>
      </c>
      <c r="K217" s="95"/>
      <c r="L217" s="50" t="s">
        <v>181</v>
      </c>
    </row>
    <row r="218" spans="1:13">
      <c r="A218" s="50"/>
      <c r="B218" s="50"/>
      <c r="C218" s="50" t="s">
        <v>141</v>
      </c>
      <c r="D218" s="32">
        <f>SUM(H217:J217)</f>
        <v>19091.425034162472</v>
      </c>
      <c r="E218" s="50"/>
      <c r="F218" s="171"/>
      <c r="G218" s="113"/>
      <c r="H218" s="31"/>
      <c r="I218" s="31"/>
      <c r="J218" s="31"/>
      <c r="K218" s="95"/>
      <c r="L218" s="50" t="s">
        <v>134</v>
      </c>
      <c r="M218" s="15"/>
    </row>
    <row r="219" spans="1:13">
      <c r="A219" s="50"/>
      <c r="B219" s="50"/>
      <c r="C219" s="50" t="s">
        <v>132</v>
      </c>
      <c r="D219" s="172">
        <f>D210-D218</f>
        <v>0</v>
      </c>
      <c r="E219" s="50"/>
      <c r="F219" s="171"/>
      <c r="G219" s="113"/>
      <c r="H219" s="31"/>
      <c r="I219" s="31"/>
      <c r="J219" s="31"/>
      <c r="K219" s="95"/>
      <c r="L219" s="50"/>
      <c r="M219" s="15"/>
    </row>
    <row r="220" spans="1:13">
      <c r="A220" s="50"/>
      <c r="B220" s="50"/>
      <c r="C220" s="50" t="s">
        <v>202</v>
      </c>
      <c r="D220" s="32">
        <f>SUM(I217:J217)</f>
        <v>12369.241731305527</v>
      </c>
      <c r="E220" s="50"/>
      <c r="F220" s="171"/>
      <c r="G220" s="113"/>
      <c r="H220" s="31"/>
      <c r="I220" s="31"/>
      <c r="J220" s="31"/>
      <c r="K220" s="95"/>
      <c r="L220" s="27"/>
      <c r="M220" s="15"/>
    </row>
    <row r="221" spans="1:13">
      <c r="A221" s="50"/>
      <c r="B221" s="50"/>
      <c r="C221" s="50"/>
      <c r="D221" s="31"/>
      <c r="E221" s="50"/>
      <c r="F221" s="123"/>
      <c r="G221" s="50"/>
      <c r="H221" s="50"/>
      <c r="I221" s="50"/>
      <c r="J221" s="50"/>
      <c r="K221" s="95"/>
      <c r="L221" s="50"/>
      <c r="M221" s="15"/>
    </row>
    <row r="222" spans="1:13" ht="21">
      <c r="A222" s="50"/>
      <c r="B222" s="50"/>
      <c r="C222" s="155" t="s">
        <v>113</v>
      </c>
      <c r="D222" s="155"/>
      <c r="E222" s="155"/>
      <c r="F222" s="155"/>
      <c r="G222" s="155"/>
      <c r="H222" s="50"/>
      <c r="I222" s="50"/>
      <c r="J222" s="50"/>
      <c r="K222" s="173"/>
      <c r="L222" s="174"/>
      <c r="M222" s="53"/>
    </row>
    <row r="223" spans="1:13" ht="15.75">
      <c r="A223" s="50"/>
      <c r="B223" s="50"/>
      <c r="C223" s="50"/>
      <c r="D223" s="50"/>
      <c r="E223" s="162" t="str">
        <f>Inputs!D$11</f>
        <v>2009/10</v>
      </c>
      <c r="F223" s="168" t="str">
        <f>Inputs!E$11</f>
        <v>2010/11</v>
      </c>
      <c r="G223" s="162" t="str">
        <f>Inputs!F$11</f>
        <v>2011/12</v>
      </c>
      <c r="H223" s="162" t="str">
        <f>Inputs!G$11</f>
        <v>2012/13</v>
      </c>
      <c r="I223" s="162" t="str">
        <f>Inputs!H$11</f>
        <v>2013/14</v>
      </c>
      <c r="J223" s="162" t="str">
        <f>Inputs!I$11</f>
        <v>2014/15</v>
      </c>
      <c r="K223" s="95"/>
      <c r="L223" s="50"/>
      <c r="M223" s="15"/>
    </row>
    <row r="224" spans="1:13" ht="15.75">
      <c r="A224" s="50"/>
      <c r="B224" s="50"/>
      <c r="C224" s="175" t="s">
        <v>318</v>
      </c>
      <c r="D224" s="50"/>
      <c r="E224" s="162"/>
      <c r="F224" s="95"/>
      <c r="G224" s="95"/>
      <c r="H224" s="95"/>
      <c r="I224" s="95"/>
      <c r="J224" s="95"/>
      <c r="K224" s="95"/>
      <c r="L224" s="50"/>
      <c r="M224" s="15"/>
    </row>
    <row r="225" spans="1:13" ht="15.75">
      <c r="A225" s="50"/>
      <c r="B225" s="50"/>
      <c r="C225" s="175" t="s">
        <v>204</v>
      </c>
      <c r="D225" s="50"/>
      <c r="E225" s="162"/>
      <c r="F225" s="95"/>
      <c r="G225" s="95"/>
      <c r="H225" s="95"/>
      <c r="I225" s="95"/>
      <c r="J225" s="95"/>
      <c r="K225" s="95"/>
      <c r="L225" s="50"/>
      <c r="M225" s="15"/>
    </row>
    <row r="226" spans="1:13">
      <c r="A226" s="50"/>
      <c r="B226" s="50" t="s">
        <v>150</v>
      </c>
      <c r="C226" s="50" t="s">
        <v>203</v>
      </c>
      <c r="D226" s="32">
        <f>D220</f>
        <v>12369.241731305527</v>
      </c>
      <c r="E226" s="50"/>
      <c r="F226" s="169"/>
      <c r="G226" s="32"/>
      <c r="H226" s="32"/>
      <c r="I226" s="32"/>
      <c r="J226" s="32"/>
      <c r="K226" s="95"/>
      <c r="L226" s="50"/>
      <c r="M226" s="15"/>
    </row>
    <row r="227" spans="1:13">
      <c r="A227" s="32"/>
      <c r="B227" s="50" t="s">
        <v>150</v>
      </c>
      <c r="C227" s="50" t="s">
        <v>319</v>
      </c>
      <c r="D227" s="49">
        <f>IF(E26="IWX",X_industry_wide,E26)</f>
        <v>0</v>
      </c>
      <c r="E227" s="32"/>
      <c r="F227" s="49"/>
      <c r="G227" s="49"/>
      <c r="H227" s="49"/>
      <c r="I227" s="49"/>
      <c r="J227" s="49"/>
      <c r="K227" s="95"/>
      <c r="L227" s="50"/>
      <c r="M227" s="15"/>
    </row>
    <row r="228" spans="1:13">
      <c r="A228" s="50"/>
      <c r="B228" s="50" t="s">
        <v>150</v>
      </c>
      <c r="C228" s="50" t="s">
        <v>143</v>
      </c>
      <c r="D228" s="50"/>
      <c r="E228" s="50"/>
      <c r="F228" s="171"/>
      <c r="G228" s="113"/>
      <c r="H228" s="113"/>
      <c r="I228" s="113">
        <v>1</v>
      </c>
      <c r="J228" s="113">
        <f>I228*(1+J$35)*(1+J$30)*(1-D227)</f>
        <v>1.0275643412804216</v>
      </c>
      <c r="K228" s="95"/>
      <c r="L228" s="50" t="s">
        <v>278</v>
      </c>
    </row>
    <row r="229" spans="1:13">
      <c r="A229" s="50"/>
      <c r="B229" s="50" t="s">
        <v>150</v>
      </c>
      <c r="C229" s="50" t="s">
        <v>102</v>
      </c>
      <c r="D229" s="50"/>
      <c r="E229" s="50"/>
      <c r="F229" s="171"/>
      <c r="G229" s="113"/>
      <c r="H229" s="113"/>
      <c r="I229" s="113">
        <f>I228/(1+WACC)^I$203</f>
        <v>0.84524331169744327</v>
      </c>
      <c r="J229" s="113">
        <f>J228/(1+WACC)^J$203</f>
        <v>0.79851235341184656</v>
      </c>
      <c r="K229" s="95"/>
      <c r="L229" s="50" t="s">
        <v>165</v>
      </c>
    </row>
    <row r="230" spans="1:13">
      <c r="A230" s="50"/>
      <c r="B230" s="50" t="s">
        <v>150</v>
      </c>
      <c r="C230" s="50" t="s">
        <v>91</v>
      </c>
      <c r="D230" s="113">
        <f>SUM(I229:J229)</f>
        <v>1.6437556651092899</v>
      </c>
      <c r="E230" s="50"/>
      <c r="F230" s="171"/>
      <c r="G230" s="113"/>
      <c r="H230" s="113"/>
      <c r="I230" s="113"/>
      <c r="J230" s="113"/>
      <c r="K230" s="95"/>
      <c r="L230" s="50" t="s">
        <v>279</v>
      </c>
    </row>
    <row r="231" spans="1:13">
      <c r="A231" s="50"/>
      <c r="B231" s="50" t="s">
        <v>150</v>
      </c>
      <c r="C231" s="50" t="s">
        <v>142</v>
      </c>
      <c r="D231" s="32">
        <f>D226/D230</f>
        <v>7524.9880464948064</v>
      </c>
      <c r="E231" s="50"/>
      <c r="F231" s="171"/>
      <c r="G231" s="113"/>
      <c r="H231" s="31"/>
      <c r="I231" s="31"/>
      <c r="J231" s="31"/>
      <c r="K231" s="95"/>
      <c r="L231" s="50"/>
    </row>
    <row r="232" spans="1:13">
      <c r="A232" s="50"/>
      <c r="B232" s="50" t="s">
        <v>150</v>
      </c>
      <c r="C232" s="50" t="s">
        <v>138</v>
      </c>
      <c r="D232" s="32"/>
      <c r="E232" s="50"/>
      <c r="F232" s="171"/>
      <c r="G232" s="113"/>
      <c r="H232" s="31">
        <f>H215</f>
        <v>7311.7187785174992</v>
      </c>
      <c r="I232" s="31">
        <f>$D231*I228</f>
        <v>7524.9880464948064</v>
      </c>
      <c r="J232" s="31">
        <f>$D231*J228</f>
        <v>7732.4093851394828</v>
      </c>
      <c r="K232" s="95"/>
      <c r="L232" s="50" t="s">
        <v>131</v>
      </c>
    </row>
    <row r="233" spans="1:13">
      <c r="A233" s="50"/>
      <c r="B233" s="50" t="s">
        <v>150</v>
      </c>
      <c r="C233" s="50" t="s">
        <v>139</v>
      </c>
      <c r="D233" s="32"/>
      <c r="E233" s="50"/>
      <c r="F233" s="171"/>
      <c r="G233" s="113"/>
      <c r="H233" s="54">
        <f>H232/$D$50</f>
        <v>7066.6857318134444</v>
      </c>
      <c r="I233" s="54">
        <f>I232/$D$50</f>
        <v>7272.8078405408141</v>
      </c>
      <c r="J233" s="54">
        <f>J232/$D$50</f>
        <v>7473.2779979244069</v>
      </c>
      <c r="K233" s="95"/>
      <c r="L233" s="50" t="s">
        <v>133</v>
      </c>
    </row>
    <row r="234" spans="1:13">
      <c r="A234" s="50"/>
      <c r="B234" s="50" t="s">
        <v>150</v>
      </c>
      <c r="C234" s="50" t="s">
        <v>209</v>
      </c>
      <c r="D234" s="50"/>
      <c r="E234" s="50"/>
      <c r="F234" s="171"/>
      <c r="G234" s="113"/>
      <c r="H234" s="31"/>
      <c r="I234" s="31">
        <f>I232/(1+WACC)^I$203</f>
        <v>6360.4458169029449</v>
      </c>
      <c r="J234" s="31">
        <f>J232/(1+WACC)^J$203</f>
        <v>6008.7959144025817</v>
      </c>
      <c r="K234" s="95"/>
      <c r="L234" s="50" t="s">
        <v>181</v>
      </c>
    </row>
    <row r="235" spans="1:13">
      <c r="A235" s="50"/>
      <c r="B235" s="50" t="s">
        <v>150</v>
      </c>
      <c r="C235" s="50" t="s">
        <v>390</v>
      </c>
      <c r="D235" s="32">
        <f>SUM(I234:J234)</f>
        <v>12369.241731305527</v>
      </c>
      <c r="E235" s="50"/>
      <c r="F235" s="50"/>
      <c r="G235" s="113"/>
      <c r="H235" s="31"/>
      <c r="I235" s="31"/>
      <c r="J235" s="31"/>
      <c r="K235" s="95"/>
      <c r="L235" s="50" t="s">
        <v>134</v>
      </c>
    </row>
    <row r="236" spans="1:13">
      <c r="A236" s="50"/>
      <c r="B236" s="50" t="s">
        <v>150</v>
      </c>
      <c r="C236" s="50" t="s">
        <v>132</v>
      </c>
      <c r="D236" s="172">
        <f>D226-D235</f>
        <v>0</v>
      </c>
      <c r="E236" s="50"/>
      <c r="F236" s="171"/>
      <c r="G236" s="113"/>
      <c r="H236" s="31"/>
      <c r="I236" s="31"/>
      <c r="J236" s="31"/>
      <c r="K236" s="95"/>
      <c r="L236" s="50"/>
      <c r="M236" s="15"/>
    </row>
    <row r="237" spans="1:13">
      <c r="A237" s="50"/>
      <c r="B237" s="119" t="s">
        <v>150</v>
      </c>
      <c r="C237" s="119" t="s">
        <v>190</v>
      </c>
      <c r="D237" s="119"/>
      <c r="E237" s="50"/>
      <c r="F237" s="176"/>
      <c r="G237" s="177"/>
      <c r="H237" s="178">
        <f>(H233+H187-H$189-H$183-H152+H$180)*H$53</f>
        <v>743.64894394757812</v>
      </c>
      <c r="I237" s="178">
        <f>(I233+I187-I$189-I$183-I152+I$180)*I$53</f>
        <v>755.51316207410321</v>
      </c>
      <c r="J237" s="178">
        <f>(J233+J187-J$189-J$183-J152+J$180)*J$53</f>
        <v>775.0265685035273</v>
      </c>
      <c r="K237" s="54"/>
      <c r="L237" s="50"/>
      <c r="M237" s="15"/>
    </row>
    <row r="238" spans="1:13">
      <c r="A238" s="50"/>
      <c r="B238" s="119"/>
      <c r="C238" s="119"/>
      <c r="D238" s="119"/>
      <c r="E238" s="178"/>
      <c r="F238" s="176"/>
      <c r="G238" s="177"/>
      <c r="H238" s="178"/>
      <c r="I238" s="178"/>
      <c r="J238" s="178"/>
      <c r="K238" s="95"/>
      <c r="L238" s="50"/>
      <c r="M238" s="15"/>
    </row>
    <row r="239" spans="1:13" ht="21">
      <c r="A239" s="50"/>
      <c r="B239" s="50"/>
      <c r="C239" s="155" t="s">
        <v>199</v>
      </c>
      <c r="D239" s="155"/>
      <c r="E239" s="155"/>
      <c r="F239" s="155"/>
      <c r="G239" s="155"/>
      <c r="H239" s="155"/>
      <c r="I239" s="155"/>
      <c r="J239" s="50"/>
      <c r="K239" s="50"/>
      <c r="L239" s="50"/>
      <c r="M239" s="15"/>
    </row>
    <row r="240" spans="1:13">
      <c r="A240" s="50"/>
      <c r="B240" s="50"/>
      <c r="C240" s="50" t="s">
        <v>197</v>
      </c>
      <c r="D240" s="179"/>
      <c r="E240" s="50"/>
      <c r="F240" s="31">
        <f>G240/((1+G35)*(1+G30)*(1-X_industry_wide))</f>
        <v>6736.0612084967033</v>
      </c>
      <c r="G240" s="31">
        <f>H240/((1+H35)*(1+H30)*(1-X_industry_wide))</f>
        <v>6886.7092002818154</v>
      </c>
      <c r="H240" s="31">
        <f>H233</f>
        <v>7066.6857318134444</v>
      </c>
      <c r="I240" s="50"/>
      <c r="J240" s="50"/>
      <c r="K240" s="50"/>
      <c r="L240" s="50"/>
      <c r="M240" s="15"/>
    </row>
    <row r="241" spans="1:13">
      <c r="A241" s="50"/>
      <c r="B241" s="50"/>
      <c r="C241" s="50"/>
      <c r="D241" s="179"/>
      <c r="E241" s="50"/>
      <c r="F241" s="31"/>
      <c r="G241" s="31"/>
      <c r="H241" s="31"/>
      <c r="I241" s="50"/>
      <c r="J241" s="50"/>
      <c r="K241" s="50"/>
      <c r="L241" s="50"/>
      <c r="M241" s="15"/>
    </row>
    <row r="242" spans="1:13" ht="21">
      <c r="A242" s="50"/>
      <c r="B242" s="50"/>
      <c r="C242" s="155" t="s">
        <v>198</v>
      </c>
      <c r="D242" s="179"/>
      <c r="E242" s="50"/>
      <c r="F242" s="123"/>
      <c r="G242" s="50"/>
      <c r="H242" s="50"/>
      <c r="I242" s="50"/>
      <c r="J242" s="50"/>
      <c r="K242" s="50"/>
      <c r="L242" s="27"/>
      <c r="M242" s="15"/>
    </row>
    <row r="243" spans="1:13">
      <c r="A243" s="50"/>
      <c r="B243" s="50"/>
      <c r="C243" s="180" t="s">
        <v>212</v>
      </c>
      <c r="D243" s="179"/>
      <c r="E243" s="181">
        <f>(1+H30)*(1+I30)</f>
        <v>1.0105935218357434</v>
      </c>
      <c r="F243" s="123"/>
      <c r="G243" s="50"/>
      <c r="H243" s="50"/>
      <c r="I243" s="50"/>
      <c r="J243" s="50"/>
      <c r="K243" s="50"/>
      <c r="L243" s="27"/>
      <c r="M243" s="15"/>
    </row>
    <row r="244" spans="1:13">
      <c r="A244" s="50"/>
      <c r="B244" s="50"/>
      <c r="C244" s="50"/>
      <c r="D244" s="127"/>
      <c r="E244" s="50"/>
      <c r="F244" s="123"/>
      <c r="G244" s="50"/>
      <c r="H244" s="50"/>
      <c r="I244" s="50"/>
      <c r="J244" s="50"/>
      <c r="K244" s="50"/>
      <c r="L244" s="27"/>
    </row>
    <row r="245" spans="1:13" ht="21">
      <c r="A245" s="50"/>
      <c r="B245" s="50"/>
      <c r="C245" s="155" t="s">
        <v>315</v>
      </c>
      <c r="D245" s="162" t="s">
        <v>342</v>
      </c>
      <c r="E245" s="50"/>
      <c r="F245" s="123"/>
      <c r="G245" s="50"/>
      <c r="H245" s="50"/>
      <c r="I245" s="50"/>
      <c r="J245" s="50"/>
      <c r="K245" s="50"/>
      <c r="L245" s="27"/>
    </row>
    <row r="246" spans="1:13">
      <c r="A246" s="50"/>
      <c r="B246" s="50"/>
      <c r="C246" s="50"/>
      <c r="D246" s="50"/>
      <c r="E246" s="99" t="str">
        <f>Inputs!D$11</f>
        <v>2009/10</v>
      </c>
      <c r="F246" s="99" t="str">
        <f>Inputs!E$11</f>
        <v>2010/11</v>
      </c>
      <c r="G246" s="99" t="str">
        <f>Inputs!F$11</f>
        <v>2011/12</v>
      </c>
      <c r="H246" s="99" t="str">
        <f>Inputs!G$11</f>
        <v>2012/13</v>
      </c>
      <c r="I246" s="99" t="str">
        <f>Inputs!H$11</f>
        <v>2013/14</v>
      </c>
      <c r="J246" s="99" t="str">
        <f>Inputs!I$11</f>
        <v>2014/15</v>
      </c>
      <c r="K246" s="50"/>
      <c r="L246" s="27"/>
    </row>
    <row r="247" spans="1:13">
      <c r="A247" s="50"/>
      <c r="B247" s="50"/>
      <c r="C247" s="122" t="str">
        <f>C35</f>
        <v>2009 ΔCPI, 8 index, lagged, no GST adjustment</v>
      </c>
      <c r="D247" s="50"/>
      <c r="E247" s="50"/>
      <c r="F247" s="50"/>
      <c r="G247" s="50"/>
      <c r="H247" s="50"/>
      <c r="I247" s="100">
        <f>I35</f>
        <v>2.3759818812291389E-2</v>
      </c>
      <c r="J247" s="100">
        <f>J35</f>
        <v>2.2164443909808984E-2</v>
      </c>
      <c r="K247" s="50"/>
      <c r="L247" s="27"/>
    </row>
    <row r="248" spans="1:13">
      <c r="A248" s="50"/>
      <c r="B248" s="50"/>
      <c r="C248" s="122" t="str">
        <f>C37</f>
        <v>2012 ΔCPI, 8 index, lagged, with GST adjustment</v>
      </c>
      <c r="D248" s="50"/>
      <c r="E248" s="99"/>
      <c r="F248" s="100"/>
      <c r="G248" s="100"/>
      <c r="H248" s="100"/>
      <c r="I248" s="100">
        <f>I$37</f>
        <v>1.2820512820512775E-2</v>
      </c>
      <c r="J248" s="101">
        <f>J$37</f>
        <v>1.9725095732576747E-2</v>
      </c>
      <c r="K248" s="50"/>
      <c r="L248" s="27"/>
    </row>
    <row r="249" spans="1:13">
      <c r="A249" s="50"/>
      <c r="B249" s="50"/>
      <c r="C249" s="50" t="s">
        <v>200</v>
      </c>
      <c r="D249" s="50"/>
      <c r="E249" s="99"/>
      <c r="F249" s="100"/>
      <c r="G249" s="100">
        <f>G$30</f>
        <v>5.2828068935345121E-3</v>
      </c>
      <c r="H249" s="100">
        <f>H$30</f>
        <v>5.2828068935345121E-3</v>
      </c>
      <c r="I249" s="100">
        <f>I$30</f>
        <v>5.2828068935345121E-3</v>
      </c>
      <c r="J249" s="100">
        <f>J$30</f>
        <v>5.2828068935345121E-3</v>
      </c>
      <c r="K249" s="50"/>
      <c r="L249" s="27"/>
    </row>
    <row r="250" spans="1:13">
      <c r="A250" s="50"/>
      <c r="B250" s="50"/>
      <c r="C250" s="50" t="s">
        <v>309</v>
      </c>
      <c r="D250" s="54">
        <f>E25</f>
        <v>2765</v>
      </c>
      <c r="E250" s="50"/>
      <c r="F250" s="123"/>
      <c r="G250" s="50"/>
      <c r="H250" s="50"/>
      <c r="I250" s="50"/>
      <c r="J250" s="50"/>
      <c r="K250" s="50"/>
      <c r="L250" s="27"/>
    </row>
    <row r="251" spans="1:13">
      <c r="A251" s="50"/>
      <c r="B251" s="50"/>
      <c r="C251" s="119" t="s">
        <v>335</v>
      </c>
      <c r="D251" s="32">
        <f>E24</f>
        <v>6939</v>
      </c>
      <c r="E251" s="50"/>
      <c r="F251" s="123"/>
      <c r="G251" s="50"/>
      <c r="H251" s="50"/>
      <c r="I251" s="50"/>
      <c r="J251" s="50"/>
      <c r="K251" s="50"/>
      <c r="L251" s="27"/>
    </row>
    <row r="252" spans="1:13">
      <c r="A252" s="50"/>
      <c r="B252" s="50"/>
      <c r="C252" s="50" t="s">
        <v>383</v>
      </c>
      <c r="D252" s="50"/>
      <c r="E252" s="50"/>
      <c r="F252" s="123"/>
      <c r="G252" s="50"/>
      <c r="H252" s="124">
        <f>(D251+D250)*(1+G$249)*(1+H$249)-D250</f>
        <v>7041.7995358940534</v>
      </c>
      <c r="I252" s="124">
        <f>H252*(1+I249)*(1+I248)</f>
        <v>7169.7564133203559</v>
      </c>
      <c r="J252" s="124">
        <f>I252*(1+J249)*(1+J248)</f>
        <v>7349.8040999351051</v>
      </c>
      <c r="K252" s="50"/>
      <c r="L252" s="27"/>
    </row>
    <row r="253" spans="1:13">
      <c r="A253" s="50"/>
      <c r="B253" s="50"/>
      <c r="C253" s="50" t="s">
        <v>314</v>
      </c>
      <c r="D253" s="50"/>
      <c r="E253" s="50"/>
      <c r="F253" s="123"/>
      <c r="G253" s="50"/>
      <c r="H253" s="124">
        <f>$D$250</f>
        <v>2765</v>
      </c>
      <c r="I253" s="124">
        <f>H253*(1+I34)</f>
        <v>2814.0000000000005</v>
      </c>
      <c r="J253" s="124"/>
      <c r="K253" s="50"/>
      <c r="L253" s="27"/>
    </row>
    <row r="254" spans="1:13">
      <c r="A254" s="50"/>
      <c r="B254" s="50"/>
      <c r="C254" s="119" t="s">
        <v>336</v>
      </c>
      <c r="D254" s="50"/>
      <c r="E254" s="50"/>
      <c r="F254" s="123"/>
      <c r="G254" s="50"/>
      <c r="H254" s="124">
        <f>D251</f>
        <v>6939</v>
      </c>
      <c r="I254" s="124">
        <f>((H254+H253)*(1+G249)-H253)*(1+I248)*(1-X_industry_wide)</f>
        <v>7079.8831319165874</v>
      </c>
      <c r="J254" s="97"/>
      <c r="K254" s="50"/>
      <c r="L254" s="27"/>
    </row>
    <row r="255" spans="1:13">
      <c r="A255" s="50"/>
      <c r="B255" s="50"/>
      <c r="C255" s="50" t="s">
        <v>337</v>
      </c>
      <c r="D255" s="50"/>
      <c r="E255" s="50"/>
      <c r="F255" s="123"/>
      <c r="G255" s="50"/>
      <c r="H255" s="124">
        <f>H216</f>
        <v>7066.6857318134444</v>
      </c>
      <c r="I255" s="124">
        <f>I216</f>
        <v>7272.8078405408141</v>
      </c>
      <c r="J255" s="124">
        <f>J216</f>
        <v>7473.2779979244051</v>
      </c>
      <c r="K255" s="50"/>
      <c r="L255" s="27"/>
    </row>
    <row r="256" spans="1:13">
      <c r="A256" s="50"/>
      <c r="B256" s="50"/>
      <c r="C256" s="119" t="s">
        <v>371</v>
      </c>
      <c r="D256" s="50"/>
      <c r="E256" s="50"/>
      <c r="F256" s="123"/>
      <c r="G256" s="50"/>
      <c r="H256" s="124"/>
      <c r="I256" s="124">
        <f>(I255+I253)/((1+H249)*(1+I249))-I253</f>
        <v>7167.0731244527724</v>
      </c>
      <c r="J256" s="124"/>
      <c r="K256" s="50"/>
      <c r="L256" s="27"/>
    </row>
    <row r="257" spans="1:12">
      <c r="A257" s="50"/>
      <c r="B257" s="50"/>
      <c r="C257" s="50" t="s">
        <v>344</v>
      </c>
      <c r="D257" s="50"/>
      <c r="E257" s="50"/>
      <c r="F257" s="123"/>
      <c r="G257" s="50"/>
      <c r="H257" s="124">
        <f>H255</f>
        <v>7066.6857318134444</v>
      </c>
      <c r="I257" s="124">
        <f>I255*(1+I248)/(1+I247)</f>
        <v>7195.0948175005242</v>
      </c>
      <c r="J257" s="124">
        <f>I257*(1+J$248)*(1+J$249)*(1-X_industry_wide)</f>
        <v>7375.7788048195316</v>
      </c>
      <c r="K257" s="50"/>
      <c r="L257" s="27"/>
    </row>
    <row r="258" spans="1:12">
      <c r="A258" s="50"/>
      <c r="B258" s="50"/>
      <c r="C258" s="119" t="s">
        <v>346</v>
      </c>
      <c r="D258" s="50"/>
      <c r="E258" s="50"/>
      <c r="F258" s="123"/>
      <c r="G258" s="50"/>
      <c r="H258" s="124"/>
      <c r="I258" s="124">
        <f>(I257+I253)/((1+H249)*(1+I249))-I253</f>
        <v>7090.1747262727367</v>
      </c>
      <c r="J258" s="97"/>
      <c r="K258" s="50"/>
      <c r="L258" s="27"/>
    </row>
    <row r="259" spans="1:12">
      <c r="A259" s="50"/>
      <c r="B259" s="50"/>
      <c r="C259" s="50" t="s">
        <v>338</v>
      </c>
      <c r="D259" s="50"/>
      <c r="E259" s="50"/>
      <c r="F259" s="123"/>
      <c r="G259" s="50"/>
      <c r="H259" s="124">
        <f>H233</f>
        <v>7066.6857318134444</v>
      </c>
      <c r="I259" s="124">
        <f>I233</f>
        <v>7272.8078405408141</v>
      </c>
      <c r="J259" s="124">
        <f>J233</f>
        <v>7473.2779979244069</v>
      </c>
      <c r="K259" s="50"/>
      <c r="L259" s="27"/>
    </row>
    <row r="260" spans="1:12">
      <c r="A260" s="50"/>
      <c r="B260" s="50"/>
      <c r="C260" s="50" t="s">
        <v>345</v>
      </c>
      <c r="D260" s="50"/>
      <c r="E260" s="50"/>
      <c r="F260" s="123"/>
      <c r="G260" s="50"/>
      <c r="H260" s="124">
        <f>H259</f>
        <v>7066.6857318134444</v>
      </c>
      <c r="I260" s="124">
        <f>I259*(1+I248)/(1+I247)</f>
        <v>7195.0948175005242</v>
      </c>
      <c r="J260" s="124">
        <f>I260*(1+J$248)*(1+J$249)*(1-D227)</f>
        <v>7375.7788048195316</v>
      </c>
      <c r="K260" s="50"/>
      <c r="L260" s="27"/>
    </row>
    <row r="261" spans="1:12">
      <c r="A261" s="50"/>
      <c r="B261" s="50"/>
      <c r="C261" s="119" t="s">
        <v>347</v>
      </c>
      <c r="D261" s="50"/>
      <c r="E261" s="50"/>
      <c r="F261" s="123"/>
      <c r="G261" s="50"/>
      <c r="H261" s="97"/>
      <c r="I261" s="124">
        <f>(I260+I253)/((1+H249)*(1+I249))-I253</f>
        <v>7090.1747262727367</v>
      </c>
      <c r="J261" s="97"/>
      <c r="K261" s="50"/>
      <c r="L261" s="27"/>
    </row>
    <row r="262" spans="1:12">
      <c r="A262" s="50"/>
      <c r="B262" s="50"/>
      <c r="C262" s="50" t="s">
        <v>317</v>
      </c>
      <c r="D262" s="126">
        <f>E27</f>
        <v>0.2</v>
      </c>
      <c r="E262" s="50"/>
      <c r="F262" s="123"/>
      <c r="G262" s="50"/>
      <c r="H262" s="125"/>
      <c r="I262" s="125"/>
      <c r="J262" s="125"/>
      <c r="K262" s="50"/>
      <c r="L262" s="27"/>
    </row>
    <row r="263" spans="1:12" ht="18">
      <c r="A263" s="50"/>
      <c r="B263" s="50"/>
      <c r="C263" s="50" t="s">
        <v>339</v>
      </c>
      <c r="D263" s="127"/>
      <c r="E263" s="50"/>
      <c r="F263" s="123"/>
      <c r="G263" s="50"/>
      <c r="H263" s="124">
        <f>(D251+H253)*(1+G$249)*(1+H$249)-H253</f>
        <v>7041.7995358940534</v>
      </c>
      <c r="I263" s="124">
        <f>H263*(1+$D262)*(1+I$247)*(1+I$249)</f>
        <v>8696.6349125631004</v>
      </c>
      <c r="J263" s="124">
        <f>I264*(1+$D262)*(1+J247)*(1+J249)</f>
        <v>8872.1074399141216</v>
      </c>
      <c r="K263" s="50"/>
      <c r="L263" s="27"/>
    </row>
    <row r="264" spans="1:12">
      <c r="A264" s="50"/>
      <c r="B264" s="50"/>
      <c r="C264" s="50" t="s">
        <v>367</v>
      </c>
      <c r="D264" s="127"/>
      <c r="E264" s="50"/>
      <c r="F264" s="123"/>
      <c r="G264" s="50"/>
      <c r="H264" s="124">
        <f>H260</f>
        <v>7066.6857318134444</v>
      </c>
      <c r="I264" s="124">
        <f>MIN(I260,I263)</f>
        <v>7195.0948175005242</v>
      </c>
      <c r="J264" s="124">
        <f>MIN(J260,J263)</f>
        <v>7375.7788048195316</v>
      </c>
      <c r="K264" s="50"/>
      <c r="L264" s="27"/>
    </row>
    <row r="265" spans="1:12">
      <c r="A265" s="50"/>
      <c r="B265" s="50"/>
      <c r="C265" s="50" t="s">
        <v>373</v>
      </c>
      <c r="D265" s="31">
        <f>NPV(WACC,H255:J255)*D50</f>
        <v>19091.425034162472</v>
      </c>
      <c r="E265" s="50"/>
      <c r="F265" s="123"/>
      <c r="G265" s="50"/>
      <c r="H265" s="50"/>
      <c r="I265" s="50"/>
      <c r="J265" s="50"/>
      <c r="K265" s="50"/>
      <c r="L265" s="27"/>
    </row>
    <row r="266" spans="1:12">
      <c r="A266" s="50"/>
      <c r="B266" s="50"/>
      <c r="C266" s="50" t="s">
        <v>372</v>
      </c>
      <c r="D266" s="31">
        <f>NPV(WACC,H252:J252)*D50</f>
        <v>18878.350606999906</v>
      </c>
      <c r="E266" s="50"/>
      <c r="F266" s="123"/>
      <c r="G266" s="50"/>
      <c r="H266" s="50"/>
      <c r="I266" s="50"/>
      <c r="J266" s="50"/>
      <c r="K266" s="50"/>
      <c r="L266" s="27"/>
    </row>
    <row r="267" spans="1:12">
      <c r="A267" s="50"/>
      <c r="B267" s="50"/>
      <c r="C267" s="50" t="s">
        <v>340</v>
      </c>
      <c r="D267" s="31">
        <f>NPV(WACC,H259:J259)*D50</f>
        <v>19091.425034162472</v>
      </c>
      <c r="E267" s="50"/>
      <c r="F267" s="123"/>
      <c r="G267" s="50"/>
      <c r="H267" s="50"/>
      <c r="I267" s="50"/>
      <c r="J267" s="50"/>
      <c r="K267" s="50"/>
      <c r="L267" s="27"/>
    </row>
    <row r="268" spans="1:12">
      <c r="A268" s="50"/>
      <c r="B268" s="50"/>
      <c r="C268" s="50" t="s">
        <v>351</v>
      </c>
      <c r="D268" s="31">
        <f>NPV(WACC,H264:J264)*D50</f>
        <v>18945.067975116679</v>
      </c>
      <c r="E268" s="50"/>
      <c r="F268" s="123"/>
      <c r="G268" s="50"/>
      <c r="H268" s="50"/>
      <c r="I268" s="50"/>
      <c r="J268" s="50"/>
      <c r="K268" s="50"/>
      <c r="L268" s="27"/>
    </row>
    <row r="269" spans="1:12">
      <c r="A269" s="50"/>
      <c r="B269" s="50"/>
      <c r="C269" s="50" t="s">
        <v>348</v>
      </c>
      <c r="D269" s="31">
        <f>NPV(WACC,H257:J257)*D50</f>
        <v>18945.067975116679</v>
      </c>
      <c r="E269" s="50"/>
      <c r="F269" s="123"/>
      <c r="G269" s="50"/>
      <c r="H269" s="50"/>
      <c r="I269" s="50"/>
      <c r="J269" s="50"/>
      <c r="K269" s="50"/>
      <c r="L269" s="27"/>
    </row>
    <row r="270" spans="1:12">
      <c r="A270" s="50"/>
      <c r="B270" s="50"/>
      <c r="C270" s="50" t="s">
        <v>349</v>
      </c>
      <c r="D270" s="31">
        <f>NPV(WACC,H260:J260)*D50</f>
        <v>18945.067975116679</v>
      </c>
      <c r="E270" s="50"/>
      <c r="F270" s="123"/>
      <c r="G270" s="50"/>
      <c r="H270" s="50"/>
      <c r="I270" s="50"/>
      <c r="J270" s="50"/>
      <c r="K270" s="50"/>
      <c r="L270" s="27"/>
    </row>
    <row r="271" spans="1:12">
      <c r="A271" s="50"/>
      <c r="B271" s="50"/>
      <c r="C271" s="50" t="s">
        <v>368</v>
      </c>
      <c r="D271" s="31" t="b">
        <f>OR(I260&gt;I263,J260&gt;J263)</f>
        <v>0</v>
      </c>
      <c r="E271" s="50"/>
      <c r="F271" s="123"/>
      <c r="G271" s="50"/>
      <c r="H271" s="50"/>
      <c r="I271" s="50"/>
      <c r="J271" s="50"/>
      <c r="K271" s="50"/>
      <c r="L271" s="27"/>
    </row>
    <row r="272" spans="1:12">
      <c r="A272" s="50"/>
      <c r="B272" s="50"/>
      <c r="C272" s="50"/>
      <c r="D272" s="31"/>
      <c r="E272" s="50"/>
      <c r="F272" s="123"/>
      <c r="G272" s="50"/>
      <c r="H272" s="50"/>
      <c r="I272" s="50"/>
      <c r="J272" s="50"/>
      <c r="K272" s="50"/>
      <c r="L272" s="27"/>
    </row>
    <row r="273" spans="1:12" ht="21">
      <c r="A273" s="50"/>
      <c r="B273" s="50"/>
      <c r="C273" s="155" t="s">
        <v>343</v>
      </c>
      <c r="D273" s="127"/>
      <c r="E273" s="50"/>
      <c r="F273" s="123"/>
      <c r="G273" s="50"/>
      <c r="H273" s="50"/>
      <c r="I273" s="50"/>
      <c r="J273" s="50"/>
      <c r="K273" s="50"/>
      <c r="L273" s="27"/>
    </row>
    <row r="274" spans="1:12" ht="30">
      <c r="A274" s="50"/>
      <c r="B274" s="50"/>
      <c r="C274" s="123" t="s">
        <v>370</v>
      </c>
      <c r="D274" s="126">
        <f>I$261/(D$251*(1+I$249)*(1+I$248))-1</f>
        <v>3.5506735294974501E-3</v>
      </c>
      <c r="E274" s="50"/>
      <c r="F274" s="123"/>
      <c r="G274" s="50"/>
      <c r="H274" s="50"/>
      <c r="I274" s="50"/>
      <c r="J274" s="50"/>
      <c r="K274" s="50"/>
      <c r="L274" s="27"/>
    </row>
    <row r="275" spans="1:12" ht="30">
      <c r="A275" s="50"/>
      <c r="B275" s="50"/>
      <c r="C275" s="123" t="s">
        <v>350</v>
      </c>
      <c r="D275" s="31">
        <f>D265-D268</f>
        <v>146.35705904579299</v>
      </c>
      <c r="E275" s="50"/>
      <c r="F275" s="123"/>
      <c r="G275" s="50"/>
      <c r="H275" s="50"/>
      <c r="I275" s="50"/>
      <c r="J275" s="50"/>
      <c r="K275" s="50"/>
      <c r="L275" s="27"/>
    </row>
    <row r="276" spans="1:12">
      <c r="A276" s="50"/>
      <c r="B276" s="50"/>
      <c r="C276" s="123" t="s">
        <v>366</v>
      </c>
      <c r="D276" s="31">
        <f>ROUNDUP(I264,0)</f>
        <v>7196</v>
      </c>
      <c r="E276" s="50"/>
      <c r="F276" s="123"/>
      <c r="G276" s="50"/>
      <c r="H276" s="50"/>
      <c r="I276" s="50"/>
      <c r="J276" s="50"/>
      <c r="K276" s="50"/>
      <c r="L276" s="27"/>
    </row>
    <row r="277" spans="1:12">
      <c r="A277" s="50"/>
      <c r="B277" s="50"/>
      <c r="C277" s="123" t="s">
        <v>378</v>
      </c>
      <c r="D277" s="31">
        <f>ROUNDUP(H233,0)</f>
        <v>7067</v>
      </c>
      <c r="E277" s="50"/>
      <c r="F277" s="123"/>
      <c r="G277" s="50"/>
      <c r="H277" s="50"/>
      <c r="I277" s="50"/>
      <c r="J277" s="50"/>
      <c r="K277" s="50"/>
      <c r="L277" s="27"/>
    </row>
    <row r="278" spans="1:12">
      <c r="A278" s="50"/>
      <c r="B278" s="50"/>
      <c r="C278" s="114" t="s">
        <v>382</v>
      </c>
      <c r="D278" s="31">
        <f>D269-D266</f>
        <v>66.717368116773287</v>
      </c>
      <c r="E278" s="50"/>
      <c r="F278" s="123"/>
      <c r="G278" s="50"/>
      <c r="H278" s="50"/>
      <c r="I278" s="50"/>
      <c r="J278" s="50"/>
      <c r="K278" s="50"/>
      <c r="L278" s="27"/>
    </row>
    <row r="279" spans="1:12">
      <c r="A279" s="15"/>
      <c r="B279" s="15"/>
      <c r="C279" s="15"/>
      <c r="D279" s="15"/>
      <c r="E279" s="120"/>
      <c r="F279" s="15"/>
      <c r="G279" s="15"/>
      <c r="H279" s="15"/>
      <c r="I279" s="15"/>
      <c r="J279" s="15"/>
      <c r="K279" s="15"/>
    </row>
    <row r="280" spans="1:12">
      <c r="A280" s="15"/>
      <c r="B280" s="15"/>
      <c r="C280" s="15"/>
      <c r="D280" s="15"/>
      <c r="E280" s="120"/>
      <c r="F280" s="15"/>
      <c r="G280" s="15"/>
      <c r="H280" s="15"/>
      <c r="I280" s="15"/>
      <c r="J280" s="15"/>
      <c r="K280" s="15"/>
    </row>
    <row r="281" spans="1:12">
      <c r="A281" s="15"/>
      <c r="B281" s="15"/>
      <c r="C281" s="15"/>
      <c r="D281" s="15"/>
      <c r="E281" s="120"/>
      <c r="F281" s="15"/>
      <c r="G281" s="15"/>
      <c r="H281" s="15"/>
      <c r="I281" s="15"/>
      <c r="J281" s="15"/>
      <c r="K281" s="15"/>
    </row>
    <row r="282" spans="1:12">
      <c r="A282" s="15"/>
      <c r="B282" s="15"/>
      <c r="C282" s="15"/>
      <c r="D282" s="15"/>
      <c r="E282" s="120"/>
      <c r="F282" s="15"/>
      <c r="G282" s="15"/>
      <c r="H282" s="15"/>
      <c r="I282" s="15"/>
      <c r="J282" s="15"/>
      <c r="K282" s="15"/>
    </row>
    <row r="283" spans="1:12">
      <c r="A283" s="15"/>
      <c r="B283" s="15"/>
      <c r="C283" s="15"/>
      <c r="D283" s="15"/>
      <c r="E283" s="120"/>
      <c r="F283" s="15"/>
      <c r="G283" s="15"/>
      <c r="H283" s="15"/>
      <c r="I283" s="15"/>
      <c r="J283" s="15"/>
      <c r="K283" s="15"/>
    </row>
    <row r="284" spans="1:12">
      <c r="A284" s="15"/>
      <c r="B284" s="15"/>
      <c r="C284" s="15"/>
      <c r="D284" s="15"/>
      <c r="E284" s="120"/>
      <c r="F284" s="15"/>
      <c r="G284" s="15"/>
      <c r="H284" s="15"/>
      <c r="I284" s="15"/>
      <c r="J284" s="15"/>
      <c r="K284" s="15"/>
    </row>
    <row r="285" spans="1:12">
      <c r="A285" s="15"/>
      <c r="B285" s="15"/>
      <c r="C285" s="15"/>
      <c r="D285" s="15"/>
      <c r="E285" s="120"/>
      <c r="F285" s="15"/>
      <c r="G285" s="15"/>
      <c r="H285" s="15"/>
      <c r="I285" s="15"/>
      <c r="J285" s="15"/>
      <c r="K285" s="15"/>
    </row>
    <row r="286" spans="1:12">
      <c r="A286" s="15"/>
      <c r="B286" s="15"/>
      <c r="C286" s="15"/>
      <c r="D286" s="15"/>
      <c r="E286" s="120"/>
      <c r="F286" s="15"/>
      <c r="G286" s="15"/>
      <c r="H286" s="15"/>
      <c r="I286" s="15"/>
      <c r="J286" s="15"/>
      <c r="K286" s="15"/>
    </row>
    <row r="287" spans="1:12">
      <c r="A287" s="15"/>
      <c r="B287" s="15"/>
      <c r="C287" s="15"/>
      <c r="D287" s="15"/>
      <c r="E287" s="120"/>
      <c r="F287" s="15"/>
      <c r="G287" s="15"/>
      <c r="H287" s="15"/>
      <c r="I287" s="15"/>
      <c r="J287" s="15"/>
      <c r="K287" s="15"/>
    </row>
    <row r="288" spans="1:12">
      <c r="A288" s="15"/>
      <c r="B288" s="15"/>
      <c r="C288" s="15"/>
      <c r="D288" s="15"/>
      <c r="E288" s="120"/>
      <c r="F288" s="15"/>
      <c r="G288" s="15"/>
      <c r="H288" s="15"/>
      <c r="I288" s="15"/>
      <c r="J288" s="15"/>
      <c r="K288" s="15"/>
    </row>
    <row r="289" spans="1:11">
      <c r="A289" s="15"/>
      <c r="B289" s="15"/>
      <c r="C289" s="15"/>
      <c r="D289" s="15"/>
      <c r="E289" s="120"/>
      <c r="F289" s="15"/>
      <c r="G289" s="15"/>
      <c r="H289" s="15"/>
      <c r="I289" s="15"/>
      <c r="J289" s="15"/>
      <c r="K289" s="15"/>
    </row>
    <row r="290" spans="1:11">
      <c r="A290" s="15"/>
      <c r="B290" s="15"/>
      <c r="C290" s="15"/>
      <c r="D290" s="15"/>
      <c r="E290" s="120"/>
      <c r="F290" s="15"/>
      <c r="G290" s="15"/>
      <c r="H290" s="15"/>
      <c r="I290" s="15"/>
      <c r="J290" s="15"/>
      <c r="K290" s="15"/>
    </row>
    <row r="291" spans="1:11">
      <c r="A291" s="15"/>
      <c r="B291" s="15"/>
      <c r="C291" s="15"/>
      <c r="D291" s="15"/>
      <c r="E291" s="120"/>
      <c r="F291" s="15"/>
      <c r="G291" s="15"/>
      <c r="H291" s="15"/>
      <c r="I291" s="15"/>
      <c r="J291" s="15"/>
      <c r="K291" s="15"/>
    </row>
    <row r="292" spans="1:11">
      <c r="A292" s="15"/>
      <c r="B292" s="15"/>
      <c r="C292" s="15"/>
      <c r="D292" s="15"/>
      <c r="E292" s="120"/>
      <c r="F292" s="15"/>
      <c r="G292" s="15"/>
      <c r="H292" s="15"/>
      <c r="I292" s="15"/>
      <c r="J292" s="15"/>
      <c r="K292" s="15"/>
    </row>
    <row r="293" spans="1:11">
      <c r="A293" s="15"/>
      <c r="B293" s="15"/>
      <c r="C293" s="15"/>
      <c r="D293" s="15"/>
      <c r="E293" s="120"/>
      <c r="F293" s="15"/>
      <c r="G293" s="15"/>
      <c r="H293" s="15"/>
      <c r="I293" s="15"/>
      <c r="J293" s="15"/>
      <c r="K293" s="15"/>
    </row>
    <row r="294" spans="1:11">
      <c r="A294" s="15"/>
      <c r="B294" s="15"/>
      <c r="C294" s="15"/>
      <c r="D294" s="15"/>
      <c r="E294" s="120"/>
      <c r="F294" s="15"/>
      <c r="G294" s="15"/>
      <c r="H294" s="15"/>
      <c r="I294" s="15"/>
      <c r="J294" s="15"/>
      <c r="K294" s="15"/>
    </row>
    <row r="295" spans="1:11">
      <c r="A295" s="15"/>
      <c r="B295" s="15"/>
      <c r="C295" s="15"/>
      <c r="D295" s="15"/>
      <c r="E295" s="120"/>
      <c r="F295" s="15"/>
      <c r="G295" s="15"/>
      <c r="H295" s="15"/>
      <c r="I295" s="15"/>
      <c r="J295" s="15"/>
      <c r="K295" s="15"/>
    </row>
    <row r="296" spans="1:11">
      <c r="A296" s="15"/>
      <c r="B296" s="15"/>
      <c r="C296" s="15"/>
      <c r="D296" s="15"/>
      <c r="E296" s="120"/>
      <c r="F296" s="15"/>
      <c r="G296" s="15"/>
      <c r="H296" s="15"/>
      <c r="I296" s="15"/>
      <c r="J296" s="15"/>
      <c r="K296" s="15"/>
    </row>
    <row r="297" spans="1:11">
      <c r="A297" s="15"/>
      <c r="B297" s="15"/>
      <c r="C297" s="15"/>
      <c r="D297" s="15"/>
      <c r="E297" s="120"/>
      <c r="F297" s="15"/>
      <c r="G297" s="15"/>
      <c r="H297" s="15"/>
      <c r="I297" s="15"/>
      <c r="J297" s="15"/>
      <c r="K297" s="15"/>
    </row>
    <row r="298" spans="1:11">
      <c r="A298" s="15"/>
      <c r="B298" s="15"/>
      <c r="C298" s="15"/>
      <c r="D298" s="15"/>
      <c r="E298" s="120"/>
      <c r="F298" s="15"/>
      <c r="G298" s="15"/>
      <c r="H298" s="15"/>
      <c r="I298" s="15"/>
      <c r="J298" s="15"/>
      <c r="K298" s="15"/>
    </row>
    <row r="299" spans="1:11">
      <c r="A299" s="15"/>
      <c r="B299" s="15"/>
      <c r="C299" s="15"/>
      <c r="D299" s="15"/>
      <c r="E299" s="120"/>
      <c r="F299" s="15"/>
      <c r="G299" s="15"/>
      <c r="H299" s="15"/>
      <c r="I299" s="15"/>
      <c r="J299" s="15"/>
    </row>
    <row r="300" spans="1:11">
      <c r="A300" s="15"/>
      <c r="B300" s="15"/>
      <c r="C300" s="15"/>
      <c r="D300" s="15"/>
      <c r="E300" s="120"/>
      <c r="F300" s="15"/>
      <c r="G300" s="15"/>
      <c r="H300" s="15"/>
      <c r="I300" s="15"/>
      <c r="J300" s="15"/>
    </row>
    <row r="301" spans="1:11">
      <c r="A301" s="15"/>
      <c r="B301" s="15"/>
      <c r="C301" s="15"/>
      <c r="D301" s="15"/>
      <c r="E301" s="120"/>
      <c r="F301" s="15"/>
      <c r="G301" s="15"/>
      <c r="H301" s="15"/>
      <c r="I301" s="15"/>
      <c r="J301" s="15"/>
    </row>
    <row r="302" spans="1:11">
      <c r="A302" s="15"/>
      <c r="B302" s="15"/>
      <c r="C302" s="15"/>
      <c r="D302" s="15"/>
      <c r="E302" s="120"/>
      <c r="F302" s="15"/>
      <c r="G302" s="15"/>
      <c r="H302" s="15"/>
      <c r="I302" s="15"/>
      <c r="J302" s="15"/>
    </row>
    <row r="303" spans="1:11">
      <c r="A303" s="15"/>
      <c r="B303" s="15"/>
      <c r="C303" s="15"/>
      <c r="D303" s="15"/>
      <c r="E303" s="120"/>
      <c r="F303" s="15"/>
      <c r="G303" s="15"/>
      <c r="H303" s="15"/>
      <c r="I303" s="15"/>
      <c r="J303" s="15"/>
    </row>
    <row r="304" spans="1:11">
      <c r="A304" s="15"/>
      <c r="B304" s="15"/>
      <c r="C304" s="15"/>
      <c r="D304" s="15"/>
      <c r="E304" s="120"/>
      <c r="F304" s="15"/>
      <c r="G304" s="15"/>
      <c r="H304" s="15"/>
      <c r="I304" s="15"/>
      <c r="J304" s="15"/>
    </row>
    <row r="305" spans="1:10">
      <c r="A305" s="15"/>
      <c r="B305" s="15"/>
      <c r="C305" s="15"/>
      <c r="D305" s="15"/>
      <c r="E305" s="120"/>
      <c r="F305" s="15"/>
      <c r="G305" s="15"/>
      <c r="H305" s="15"/>
      <c r="I305" s="15"/>
      <c r="J305" s="15"/>
    </row>
    <row r="306" spans="1:10">
      <c r="A306" s="15"/>
      <c r="B306" s="15"/>
      <c r="C306" s="15"/>
      <c r="D306" s="15"/>
      <c r="E306" s="120"/>
      <c r="F306" s="15"/>
      <c r="G306" s="15"/>
      <c r="H306" s="15"/>
      <c r="I306" s="15"/>
      <c r="J306" s="15"/>
    </row>
    <row r="307" spans="1:10">
      <c r="A307" s="15"/>
      <c r="B307" s="15"/>
      <c r="C307" s="15"/>
      <c r="D307" s="15"/>
      <c r="E307" s="120"/>
      <c r="F307" s="15"/>
      <c r="G307" s="15"/>
      <c r="H307" s="15"/>
      <c r="I307" s="15"/>
      <c r="J307" s="15"/>
    </row>
    <row r="308" spans="1:10">
      <c r="A308" s="15"/>
      <c r="B308" s="15"/>
      <c r="C308" s="15"/>
      <c r="D308" s="15"/>
      <c r="E308" s="120"/>
      <c r="F308" s="15"/>
      <c r="G308" s="15"/>
      <c r="H308" s="15"/>
      <c r="I308" s="15"/>
      <c r="J308" s="15"/>
    </row>
    <row r="309" spans="1:10">
      <c r="A309" s="15"/>
      <c r="B309" s="15"/>
      <c r="C309" s="15"/>
      <c r="D309" s="15"/>
      <c r="E309" s="120"/>
      <c r="F309" s="15"/>
      <c r="G309" s="15"/>
      <c r="H309" s="15"/>
      <c r="I309" s="15"/>
      <c r="J309" s="15"/>
    </row>
    <row r="310" spans="1:10">
      <c r="A310" s="15"/>
      <c r="B310" s="15"/>
      <c r="C310" s="15"/>
      <c r="D310" s="15"/>
      <c r="E310" s="120"/>
      <c r="F310" s="15"/>
      <c r="G310" s="15"/>
      <c r="H310" s="15"/>
      <c r="I310" s="15"/>
      <c r="J310" s="15"/>
    </row>
    <row r="311" spans="1:10">
      <c r="A311" s="15"/>
      <c r="B311" s="15"/>
      <c r="C311" s="15"/>
      <c r="D311" s="15"/>
      <c r="E311" s="120"/>
      <c r="F311" s="15"/>
      <c r="G311" s="15"/>
      <c r="H311" s="15"/>
      <c r="I311" s="15"/>
      <c r="J311" s="15"/>
    </row>
    <row r="312" spans="1:10">
      <c r="A312" s="15"/>
      <c r="B312" s="15"/>
      <c r="C312" s="15"/>
      <c r="D312" s="15"/>
      <c r="E312" s="120"/>
      <c r="F312" s="15"/>
      <c r="G312" s="15"/>
      <c r="H312" s="15"/>
      <c r="I312" s="15"/>
      <c r="J312" s="15"/>
    </row>
    <row r="313" spans="1:10">
      <c r="E313" s="19"/>
    </row>
    <row r="314" spans="1:10">
      <c r="E314" s="19"/>
    </row>
    <row r="315" spans="1:10">
      <c r="E315" s="19"/>
    </row>
    <row r="316" spans="1:10">
      <c r="E316" s="19"/>
    </row>
    <row r="317" spans="1:10">
      <c r="E317" s="19"/>
    </row>
    <row r="318" spans="1:10">
      <c r="E318" s="19"/>
    </row>
    <row r="319" spans="1:10">
      <c r="E319" s="19"/>
    </row>
    <row r="320" spans="1:10">
      <c r="E320" s="19"/>
    </row>
    <row r="321" spans="5:5">
      <c r="E321" s="19"/>
    </row>
    <row r="322" spans="5:5">
      <c r="E322" s="19"/>
    </row>
    <row r="323" spans="5:5">
      <c r="E323" s="19"/>
    </row>
    <row r="324" spans="5:5">
      <c r="E324" s="19"/>
    </row>
    <row r="325" spans="5:5">
      <c r="E325" s="19"/>
    </row>
    <row r="326" spans="5:5">
      <c r="E326" s="19"/>
    </row>
    <row r="327" spans="5:5">
      <c r="E327" s="19"/>
    </row>
    <row r="328" spans="5:5">
      <c r="E328" s="19"/>
    </row>
    <row r="329" spans="5:5">
      <c r="E329" s="19"/>
    </row>
    <row r="330" spans="5:5">
      <c r="E330" s="19"/>
    </row>
    <row r="331" spans="5:5">
      <c r="E331" s="19"/>
    </row>
    <row r="332" spans="5:5">
      <c r="E332" s="19"/>
    </row>
    <row r="333" spans="5:5">
      <c r="E333" s="19"/>
    </row>
    <row r="334" spans="5:5">
      <c r="E334" s="19"/>
    </row>
    <row r="335" spans="5:5">
      <c r="E335" s="19"/>
    </row>
    <row r="336" spans="5:5">
      <c r="E336" s="19"/>
    </row>
    <row r="337" spans="5:5">
      <c r="E337" s="19"/>
    </row>
    <row r="338" spans="5:5">
      <c r="E338" s="19"/>
    </row>
    <row r="339" spans="5:5">
      <c r="E339" s="19"/>
    </row>
    <row r="340" spans="5:5">
      <c r="E340" s="19"/>
    </row>
    <row r="341" spans="5:5">
      <c r="E341" s="19"/>
    </row>
    <row r="342" spans="5:5">
      <c r="E342" s="19"/>
    </row>
    <row r="343" spans="5:5">
      <c r="E343" s="19"/>
    </row>
    <row r="344" spans="5:5">
      <c r="E344" s="19"/>
    </row>
    <row r="345" spans="5:5">
      <c r="E345" s="19"/>
    </row>
    <row r="346" spans="5:5">
      <c r="E346" s="19"/>
    </row>
    <row r="347" spans="5:5">
      <c r="E347" s="19"/>
    </row>
    <row r="348" spans="5:5">
      <c r="E348" s="19"/>
    </row>
    <row r="349" spans="5:5">
      <c r="E349" s="19"/>
    </row>
    <row r="350" spans="5:5">
      <c r="E350" s="19"/>
    </row>
    <row r="351" spans="5:5">
      <c r="E351" s="19"/>
    </row>
    <row r="352" spans="5:5">
      <c r="E352" s="19"/>
    </row>
    <row r="353" spans="5:5">
      <c r="E353" s="19"/>
    </row>
    <row r="354" spans="5:5">
      <c r="E354" s="19"/>
    </row>
    <row r="355" spans="5:5">
      <c r="E355" s="19"/>
    </row>
    <row r="356" spans="5:5">
      <c r="E356" s="19"/>
    </row>
    <row r="357" spans="5:5">
      <c r="E357" s="19"/>
    </row>
    <row r="358" spans="5:5">
      <c r="E358" s="19"/>
    </row>
    <row r="359" spans="5:5">
      <c r="E359" s="19"/>
    </row>
    <row r="360" spans="5:5">
      <c r="E360" s="19"/>
    </row>
    <row r="361" spans="5:5">
      <c r="E361" s="19"/>
    </row>
    <row r="362" spans="5:5">
      <c r="E362" s="19"/>
    </row>
    <row r="363" spans="5:5">
      <c r="E363" s="19"/>
    </row>
    <row r="364" spans="5:5">
      <c r="E364" s="19"/>
    </row>
    <row r="365" spans="5:5">
      <c r="E365" s="19"/>
    </row>
    <row r="366" spans="5:5">
      <c r="E366" s="19"/>
    </row>
    <row r="367" spans="5:5">
      <c r="E367" s="19"/>
    </row>
    <row r="368" spans="5:5">
      <c r="E368" s="19"/>
    </row>
    <row r="369" spans="5:5">
      <c r="E369" s="19"/>
    </row>
    <row r="370" spans="5:5">
      <c r="E370" s="19"/>
    </row>
    <row r="371" spans="5:5">
      <c r="E371" s="19"/>
    </row>
    <row r="372" spans="5:5">
      <c r="E372" s="19"/>
    </row>
    <row r="373" spans="5:5">
      <c r="E373" s="19"/>
    </row>
    <row r="374" spans="5:5">
      <c r="E374" s="19"/>
    </row>
    <row r="375" spans="5:5">
      <c r="E375" s="19"/>
    </row>
    <row r="376" spans="5:5">
      <c r="E376" s="19"/>
    </row>
    <row r="377" spans="5:5">
      <c r="E377" s="19"/>
    </row>
    <row r="378" spans="5:5">
      <c r="E378" s="19"/>
    </row>
    <row r="379" spans="5:5">
      <c r="E379" s="19"/>
    </row>
    <row r="380" spans="5:5">
      <c r="E380" s="19"/>
    </row>
    <row r="381" spans="5:5">
      <c r="E381" s="19"/>
    </row>
    <row r="382" spans="5:5">
      <c r="E382" s="19"/>
    </row>
    <row r="383" spans="5:5">
      <c r="E383" s="19"/>
    </row>
    <row r="384" spans="5:5">
      <c r="E384" s="19"/>
    </row>
    <row r="385" spans="5:5">
      <c r="E385" s="19"/>
    </row>
    <row r="386" spans="5:5">
      <c r="E386" s="19"/>
    </row>
    <row r="387" spans="5:5">
      <c r="E387" s="19"/>
    </row>
    <row r="388" spans="5:5">
      <c r="E388" s="19"/>
    </row>
    <row r="389" spans="5:5">
      <c r="E389" s="19"/>
    </row>
    <row r="390" spans="5:5">
      <c r="E390" s="19"/>
    </row>
    <row r="391" spans="5:5">
      <c r="E391" s="19"/>
    </row>
    <row r="392" spans="5:5">
      <c r="E392" s="19"/>
    </row>
    <row r="393" spans="5:5">
      <c r="E393" s="19"/>
    </row>
    <row r="394" spans="5:5">
      <c r="E394" s="19"/>
    </row>
    <row r="395" spans="5:5">
      <c r="E395" s="19"/>
    </row>
    <row r="396" spans="5:5">
      <c r="E396" s="19"/>
    </row>
    <row r="397" spans="5:5">
      <c r="E397" s="19"/>
    </row>
    <row r="398" spans="5:5">
      <c r="E398" s="19"/>
    </row>
    <row r="399" spans="5:5">
      <c r="E399" s="19"/>
    </row>
    <row r="400" spans="5:5">
      <c r="E400" s="19"/>
    </row>
    <row r="401" spans="5:5">
      <c r="E401" s="19"/>
    </row>
    <row r="402" spans="5:5">
      <c r="E402" s="19"/>
    </row>
    <row r="403" spans="5:5">
      <c r="E403" s="19"/>
    </row>
    <row r="404" spans="5:5">
      <c r="E404" s="19"/>
    </row>
    <row r="405" spans="5:5">
      <c r="E405" s="19"/>
    </row>
    <row r="406" spans="5:5">
      <c r="E406" s="19"/>
    </row>
    <row r="407" spans="5:5">
      <c r="E407" s="19"/>
    </row>
    <row r="408" spans="5:5">
      <c r="E408" s="19"/>
    </row>
    <row r="409" spans="5:5">
      <c r="E409" s="19"/>
    </row>
    <row r="410" spans="5:5">
      <c r="E410" s="19"/>
    </row>
    <row r="411" spans="5:5">
      <c r="E411" s="19"/>
    </row>
    <row r="412" spans="5:5">
      <c r="E412" s="19"/>
    </row>
    <row r="413" spans="5:5">
      <c r="E413" s="19"/>
    </row>
    <row r="414" spans="5:5">
      <c r="E414" s="19"/>
    </row>
    <row r="415" spans="5:5">
      <c r="E415" s="19"/>
    </row>
    <row r="416" spans="5:5">
      <c r="E416" s="19"/>
    </row>
    <row r="417" spans="5:5">
      <c r="E417" s="19"/>
    </row>
    <row r="418" spans="5:5">
      <c r="E418" s="19"/>
    </row>
    <row r="419" spans="5:5">
      <c r="E419" s="19"/>
    </row>
    <row r="420" spans="5:5">
      <c r="E420" s="19"/>
    </row>
    <row r="421" spans="5:5">
      <c r="E421" s="19"/>
    </row>
    <row r="422" spans="5:5">
      <c r="E422" s="19"/>
    </row>
    <row r="423" spans="5:5">
      <c r="E423" s="19"/>
    </row>
    <row r="424" spans="5:5">
      <c r="E424" s="19"/>
    </row>
    <row r="425" spans="5:5">
      <c r="E425" s="19"/>
    </row>
    <row r="426" spans="5:5">
      <c r="E426" s="19"/>
    </row>
    <row r="427" spans="5:5">
      <c r="E427" s="19"/>
    </row>
    <row r="428" spans="5:5">
      <c r="E428" s="19"/>
    </row>
    <row r="429" spans="5:5">
      <c r="E429" s="19"/>
    </row>
    <row r="430" spans="5:5">
      <c r="E430" s="19"/>
    </row>
    <row r="431" spans="5:5">
      <c r="E431" s="19"/>
    </row>
    <row r="432" spans="5:5">
      <c r="E432" s="19"/>
    </row>
    <row r="433" spans="5:5">
      <c r="E433" s="19"/>
    </row>
    <row r="434" spans="5:5">
      <c r="E434" s="19"/>
    </row>
    <row r="435" spans="5:5">
      <c r="E435" s="19"/>
    </row>
    <row r="436" spans="5:5">
      <c r="E436" s="19"/>
    </row>
    <row r="437" spans="5:5">
      <c r="E437" s="19"/>
    </row>
    <row r="438" spans="5:5">
      <c r="E438" s="19"/>
    </row>
    <row r="439" spans="5:5">
      <c r="E439" s="19"/>
    </row>
    <row r="440" spans="5:5">
      <c r="E440" s="19"/>
    </row>
    <row r="441" spans="5:5">
      <c r="E441" s="19"/>
    </row>
    <row r="442" spans="5:5">
      <c r="E442" s="19"/>
    </row>
    <row r="443" spans="5:5">
      <c r="E443" s="19"/>
    </row>
    <row r="444" spans="5:5">
      <c r="E444" s="19"/>
    </row>
    <row r="445" spans="5:5">
      <c r="E445" s="19"/>
    </row>
    <row r="446" spans="5:5">
      <c r="E446" s="19"/>
    </row>
    <row r="447" spans="5:5">
      <c r="E447" s="19"/>
    </row>
    <row r="448" spans="5:5">
      <c r="E448" s="19"/>
    </row>
    <row r="449" spans="5:5">
      <c r="E449" s="19"/>
    </row>
    <row r="450" spans="5:5">
      <c r="E450" s="19"/>
    </row>
    <row r="451" spans="5:5">
      <c r="E451" s="19"/>
    </row>
    <row r="452" spans="5:5">
      <c r="E452" s="19"/>
    </row>
    <row r="453" spans="5:5">
      <c r="E453" s="19"/>
    </row>
    <row r="454" spans="5:5">
      <c r="E454" s="19"/>
    </row>
    <row r="455" spans="5:5">
      <c r="E455" s="19"/>
    </row>
    <row r="456" spans="5:5">
      <c r="E456" s="19"/>
    </row>
    <row r="457" spans="5:5">
      <c r="E457" s="19"/>
    </row>
    <row r="458" spans="5:5">
      <c r="E458" s="19"/>
    </row>
    <row r="459" spans="5:5">
      <c r="E459" s="19"/>
    </row>
    <row r="460" spans="5:5">
      <c r="E460" s="19"/>
    </row>
    <row r="461" spans="5:5">
      <c r="E461" s="19"/>
    </row>
    <row r="462" spans="5:5">
      <c r="E462" s="19"/>
    </row>
    <row r="463" spans="5:5">
      <c r="E463" s="19"/>
    </row>
    <row r="464" spans="5:5">
      <c r="E464" s="19"/>
    </row>
    <row r="465" spans="5:5">
      <c r="E465" s="19"/>
    </row>
    <row r="466" spans="5:5">
      <c r="E466" s="19"/>
    </row>
    <row r="467" spans="5:5">
      <c r="E467" s="19"/>
    </row>
    <row r="468" spans="5:5">
      <c r="E468" s="19"/>
    </row>
    <row r="469" spans="5:5">
      <c r="E469" s="19"/>
    </row>
    <row r="470" spans="5:5">
      <c r="E470" s="19"/>
    </row>
    <row r="471" spans="5:5">
      <c r="E471" s="19"/>
    </row>
    <row r="472" spans="5:5">
      <c r="E472" s="19"/>
    </row>
    <row r="473" spans="5:5">
      <c r="E473" s="19"/>
    </row>
    <row r="474" spans="5:5">
      <c r="E474" s="19"/>
    </row>
    <row r="475" spans="5:5">
      <c r="E475" s="19"/>
    </row>
    <row r="476" spans="5:5">
      <c r="E476" s="19"/>
    </row>
    <row r="477" spans="5:5">
      <c r="E477" s="19"/>
    </row>
    <row r="478" spans="5:5">
      <c r="E478" s="19"/>
    </row>
    <row r="479" spans="5:5">
      <c r="E479" s="19"/>
    </row>
    <row r="480" spans="5:5">
      <c r="E480" s="19"/>
    </row>
    <row r="481" spans="5:5">
      <c r="E481" s="19"/>
    </row>
    <row r="482" spans="5:5">
      <c r="E482" s="19"/>
    </row>
    <row r="483" spans="5:5">
      <c r="E483" s="19"/>
    </row>
    <row r="484" spans="5:5">
      <c r="E484" s="19"/>
    </row>
    <row r="485" spans="5:5">
      <c r="E485" s="19"/>
    </row>
    <row r="486" spans="5:5">
      <c r="E486" s="19"/>
    </row>
    <row r="487" spans="5:5">
      <c r="E487" s="19"/>
    </row>
    <row r="488" spans="5:5">
      <c r="E488" s="19"/>
    </row>
    <row r="489" spans="5:5">
      <c r="E489" s="19"/>
    </row>
    <row r="490" spans="5:5">
      <c r="E490" s="19"/>
    </row>
    <row r="491" spans="5:5">
      <c r="E491" s="19"/>
    </row>
    <row r="492" spans="5:5">
      <c r="E492" s="19"/>
    </row>
    <row r="493" spans="5:5">
      <c r="E493" s="19"/>
    </row>
    <row r="494" spans="5:5">
      <c r="E494" s="19"/>
    </row>
    <row r="495" spans="5:5">
      <c r="E495" s="19"/>
    </row>
    <row r="496" spans="5:5">
      <c r="E496" s="19"/>
    </row>
    <row r="497" spans="5:5">
      <c r="E497" s="19"/>
    </row>
    <row r="498" spans="5:5">
      <c r="E498" s="19"/>
    </row>
    <row r="499" spans="5:5">
      <c r="E499" s="19"/>
    </row>
    <row r="500" spans="5:5">
      <c r="E500" s="19"/>
    </row>
    <row r="501" spans="5:5">
      <c r="E501" s="19"/>
    </row>
    <row r="502" spans="5:5">
      <c r="E502" s="19"/>
    </row>
    <row r="503" spans="5:5">
      <c r="E503" s="19"/>
    </row>
    <row r="504" spans="5:5">
      <c r="E504" s="19"/>
    </row>
    <row r="505" spans="5:5">
      <c r="E505" s="19"/>
    </row>
    <row r="506" spans="5:5">
      <c r="E506" s="19"/>
    </row>
    <row r="507" spans="5:5">
      <c r="E507" s="19"/>
    </row>
    <row r="508" spans="5:5">
      <c r="E508" s="19"/>
    </row>
    <row r="509" spans="5:5">
      <c r="E509" s="19"/>
    </row>
    <row r="510" spans="5:5">
      <c r="E510" s="19"/>
    </row>
    <row r="511" spans="5:5">
      <c r="E511" s="19"/>
    </row>
    <row r="512" spans="5:5">
      <c r="E512" s="19"/>
    </row>
    <row r="513" spans="5:5">
      <c r="E513" s="19"/>
    </row>
    <row r="514" spans="5:5">
      <c r="E514" s="19"/>
    </row>
    <row r="515" spans="5:5">
      <c r="E515" s="19"/>
    </row>
    <row r="516" spans="5:5">
      <c r="E516" s="19"/>
    </row>
    <row r="517" spans="5:5">
      <c r="E517" s="19"/>
    </row>
    <row r="518" spans="5:5">
      <c r="E518" s="19"/>
    </row>
    <row r="519" spans="5:5">
      <c r="E519" s="19"/>
    </row>
    <row r="520" spans="5:5">
      <c r="E520" s="19"/>
    </row>
    <row r="521" spans="5:5">
      <c r="E521" s="19"/>
    </row>
    <row r="522" spans="5:5">
      <c r="E522" s="19"/>
    </row>
    <row r="523" spans="5:5">
      <c r="E523" s="19"/>
    </row>
    <row r="524" spans="5:5">
      <c r="E524" s="19"/>
    </row>
    <row r="525" spans="5:5">
      <c r="E525" s="19"/>
    </row>
    <row r="526" spans="5:5">
      <c r="E526" s="19"/>
    </row>
    <row r="527" spans="5:5">
      <c r="E527" s="19"/>
    </row>
    <row r="528" spans="5:5">
      <c r="E528" s="19"/>
    </row>
    <row r="529" spans="5:5">
      <c r="E529" s="19"/>
    </row>
    <row r="530" spans="5:5">
      <c r="E530" s="19"/>
    </row>
    <row r="531" spans="5:5">
      <c r="E531" s="19"/>
    </row>
    <row r="532" spans="5:5">
      <c r="E532" s="19"/>
    </row>
    <row r="533" spans="5:5">
      <c r="E533" s="19"/>
    </row>
    <row r="534" spans="5:5">
      <c r="E534" s="19"/>
    </row>
    <row r="535" spans="5:5">
      <c r="E535" s="19"/>
    </row>
    <row r="536" spans="5:5">
      <c r="E536" s="19"/>
    </row>
    <row r="537" spans="5:5">
      <c r="E537" s="19"/>
    </row>
    <row r="538" spans="5:5">
      <c r="E538" s="19"/>
    </row>
    <row r="539" spans="5:5">
      <c r="E539" s="19"/>
    </row>
    <row r="540" spans="5:5">
      <c r="E540" s="19"/>
    </row>
    <row r="541" spans="5:5">
      <c r="E541" s="19"/>
    </row>
    <row r="542" spans="5:5">
      <c r="E542" s="19"/>
    </row>
    <row r="543" spans="5:5">
      <c r="E543" s="19"/>
    </row>
    <row r="544" spans="5:5">
      <c r="E544" s="19"/>
    </row>
    <row r="545" spans="5:5">
      <c r="E545" s="19"/>
    </row>
    <row r="546" spans="5:5">
      <c r="E546" s="19"/>
    </row>
    <row r="547" spans="5:5">
      <c r="E547" s="19"/>
    </row>
    <row r="548" spans="5:5">
      <c r="E548" s="19"/>
    </row>
    <row r="549" spans="5:5">
      <c r="E549" s="19"/>
    </row>
    <row r="550" spans="5:5">
      <c r="E550" s="19"/>
    </row>
    <row r="551" spans="5:5">
      <c r="E551" s="19"/>
    </row>
    <row r="552" spans="5:5">
      <c r="E552" s="19"/>
    </row>
    <row r="553" spans="5:5">
      <c r="E553" s="19"/>
    </row>
    <row r="554" spans="5:5">
      <c r="E554" s="19"/>
    </row>
    <row r="555" spans="5:5">
      <c r="E555" s="19"/>
    </row>
    <row r="556" spans="5:5">
      <c r="E556" s="19"/>
    </row>
    <row r="557" spans="5:5">
      <c r="E557" s="19"/>
    </row>
    <row r="558" spans="5:5">
      <c r="E558" s="19"/>
    </row>
    <row r="559" spans="5:5">
      <c r="E559" s="19"/>
    </row>
    <row r="560" spans="5:5">
      <c r="E560" s="19"/>
    </row>
    <row r="561" spans="5:5">
      <c r="E561" s="19"/>
    </row>
    <row r="562" spans="5:5">
      <c r="E562" s="19"/>
    </row>
    <row r="563" spans="5:5">
      <c r="E563" s="19"/>
    </row>
    <row r="564" spans="5:5">
      <c r="E564" s="19"/>
    </row>
    <row r="565" spans="5:5">
      <c r="E565" s="19"/>
    </row>
    <row r="566" spans="5:5">
      <c r="E566" s="19"/>
    </row>
    <row r="567" spans="5:5">
      <c r="E567" s="19"/>
    </row>
    <row r="568" spans="5:5">
      <c r="E568" s="19"/>
    </row>
    <row r="569" spans="5:5">
      <c r="E569" s="19"/>
    </row>
    <row r="570" spans="5:5">
      <c r="E570" s="19"/>
    </row>
    <row r="571" spans="5:5">
      <c r="E571" s="19"/>
    </row>
    <row r="572" spans="5:5">
      <c r="E572" s="19"/>
    </row>
    <row r="573" spans="5:5">
      <c r="E573" s="19"/>
    </row>
    <row r="574" spans="5:5">
      <c r="E574" s="19"/>
    </row>
    <row r="575" spans="5:5">
      <c r="E575" s="19"/>
    </row>
    <row r="576" spans="5:5">
      <c r="E576" s="19"/>
    </row>
    <row r="577" spans="5:5">
      <c r="E577" s="19"/>
    </row>
    <row r="578" spans="5:5">
      <c r="E578" s="19"/>
    </row>
    <row r="579" spans="5:5">
      <c r="E579" s="19"/>
    </row>
    <row r="580" spans="5:5">
      <c r="E580" s="19"/>
    </row>
    <row r="581" spans="5:5">
      <c r="E581" s="19"/>
    </row>
    <row r="582" spans="5:5">
      <c r="E582" s="19"/>
    </row>
    <row r="583" spans="5:5">
      <c r="E583" s="19"/>
    </row>
    <row r="584" spans="5:5">
      <c r="E584" s="19"/>
    </row>
    <row r="585" spans="5:5">
      <c r="E585" s="19"/>
    </row>
    <row r="586" spans="5:5">
      <c r="E586" s="19"/>
    </row>
    <row r="587" spans="5:5">
      <c r="E587" s="19"/>
    </row>
    <row r="588" spans="5:5">
      <c r="E588" s="19"/>
    </row>
    <row r="589" spans="5:5">
      <c r="E589" s="19"/>
    </row>
    <row r="590" spans="5:5">
      <c r="E590" s="19"/>
    </row>
    <row r="591" spans="5:5">
      <c r="E591" s="19"/>
    </row>
    <row r="592" spans="5:5">
      <c r="E592" s="19"/>
    </row>
    <row r="593" spans="5:5">
      <c r="E593" s="19"/>
    </row>
    <row r="594" spans="5:5">
      <c r="E594" s="19"/>
    </row>
    <row r="595" spans="5:5">
      <c r="E595" s="19"/>
    </row>
    <row r="596" spans="5:5">
      <c r="E596" s="19"/>
    </row>
    <row r="597" spans="5:5">
      <c r="E597" s="19"/>
    </row>
    <row r="598" spans="5:5">
      <c r="E598" s="19"/>
    </row>
    <row r="599" spans="5:5">
      <c r="E599" s="19"/>
    </row>
    <row r="600" spans="5:5">
      <c r="E600" s="19"/>
    </row>
    <row r="601" spans="5:5">
      <c r="E601" s="19"/>
    </row>
    <row r="602" spans="5:5">
      <c r="E602" s="19"/>
    </row>
    <row r="603" spans="5:5">
      <c r="E603" s="19"/>
    </row>
    <row r="604" spans="5:5">
      <c r="E604" s="19"/>
    </row>
    <row r="605" spans="5:5">
      <c r="E605" s="19"/>
    </row>
    <row r="606" spans="5:5">
      <c r="E606" s="19"/>
    </row>
    <row r="607" spans="5:5">
      <c r="E607" s="19"/>
    </row>
    <row r="608" spans="5:5">
      <c r="E608" s="19"/>
    </row>
    <row r="609" spans="5:5">
      <c r="E609" s="19"/>
    </row>
    <row r="610" spans="5:5">
      <c r="E610" s="19"/>
    </row>
    <row r="611" spans="5:5">
      <c r="E611" s="19"/>
    </row>
    <row r="612" spans="5:5">
      <c r="E612" s="19"/>
    </row>
    <row r="613" spans="5:5">
      <c r="E613" s="19"/>
    </row>
    <row r="614" spans="5:5">
      <c r="E614" s="19"/>
    </row>
    <row r="615" spans="5:5">
      <c r="E615" s="19"/>
    </row>
    <row r="616" spans="5:5">
      <c r="E616" s="19"/>
    </row>
    <row r="617" spans="5:5">
      <c r="E617" s="19"/>
    </row>
    <row r="618" spans="5:5">
      <c r="E618" s="19"/>
    </row>
    <row r="619" spans="5:5">
      <c r="E619" s="19"/>
    </row>
    <row r="620" spans="5:5">
      <c r="E620" s="19"/>
    </row>
    <row r="621" spans="5:5">
      <c r="E621" s="19"/>
    </row>
    <row r="622" spans="5:5">
      <c r="E622" s="19"/>
    </row>
    <row r="623" spans="5:5">
      <c r="E623" s="19"/>
    </row>
    <row r="624" spans="5:5">
      <c r="E624" s="19"/>
    </row>
    <row r="625" spans="5:5">
      <c r="E625" s="19"/>
    </row>
    <row r="626" spans="5:5">
      <c r="E626" s="19"/>
    </row>
    <row r="627" spans="5:5">
      <c r="E627" s="19"/>
    </row>
    <row r="628" spans="5:5">
      <c r="E628" s="19"/>
    </row>
    <row r="629" spans="5:5">
      <c r="E629" s="19"/>
    </row>
    <row r="630" spans="5:5">
      <c r="E630" s="19"/>
    </row>
    <row r="631" spans="5:5">
      <c r="E631" s="19"/>
    </row>
    <row r="632" spans="5:5">
      <c r="E632" s="19"/>
    </row>
    <row r="633" spans="5:5">
      <c r="E633" s="19"/>
    </row>
    <row r="634" spans="5:5">
      <c r="E634" s="19"/>
    </row>
    <row r="635" spans="5:5">
      <c r="E635" s="19"/>
    </row>
    <row r="636" spans="5:5">
      <c r="E636" s="19"/>
    </row>
    <row r="637" spans="5:5">
      <c r="E637" s="19"/>
    </row>
    <row r="638" spans="5:5">
      <c r="E638" s="19"/>
    </row>
    <row r="639" spans="5:5">
      <c r="E639" s="19"/>
    </row>
    <row r="640" spans="5:5">
      <c r="E640" s="19"/>
    </row>
    <row r="641" spans="5:5">
      <c r="E641" s="19"/>
    </row>
    <row r="642" spans="5:5">
      <c r="E642" s="19"/>
    </row>
    <row r="643" spans="5:5">
      <c r="E643" s="19"/>
    </row>
    <row r="644" spans="5:5">
      <c r="E644" s="19"/>
    </row>
    <row r="645" spans="5:5">
      <c r="E645" s="19"/>
    </row>
    <row r="646" spans="5:5">
      <c r="E646" s="19"/>
    </row>
    <row r="647" spans="5:5">
      <c r="E647" s="19"/>
    </row>
    <row r="648" spans="5:5">
      <c r="E648" s="19"/>
    </row>
    <row r="649" spans="5:5">
      <c r="E649" s="19"/>
    </row>
    <row r="650" spans="5:5">
      <c r="E650" s="19"/>
    </row>
    <row r="651" spans="5:5">
      <c r="E651" s="19"/>
    </row>
    <row r="652" spans="5:5">
      <c r="E652" s="19"/>
    </row>
    <row r="653" spans="5:5">
      <c r="E653" s="19"/>
    </row>
    <row r="654" spans="5:5">
      <c r="E654" s="19"/>
    </row>
    <row r="655" spans="5:5">
      <c r="E655" s="19"/>
    </row>
    <row r="656" spans="5:5">
      <c r="E656" s="19"/>
    </row>
    <row r="657" spans="5:5">
      <c r="E657" s="19"/>
    </row>
    <row r="658" spans="5:5">
      <c r="E658" s="19"/>
    </row>
    <row r="659" spans="5:5">
      <c r="E659" s="19"/>
    </row>
    <row r="660" spans="5:5">
      <c r="E660" s="19"/>
    </row>
    <row r="661" spans="5:5">
      <c r="E661" s="19"/>
    </row>
    <row r="662" spans="5:5">
      <c r="E662" s="19"/>
    </row>
    <row r="663" spans="5:5">
      <c r="E663" s="19"/>
    </row>
    <row r="664" spans="5:5">
      <c r="E664" s="19"/>
    </row>
    <row r="665" spans="5:5">
      <c r="E665" s="19"/>
    </row>
    <row r="666" spans="5:5">
      <c r="E666" s="19"/>
    </row>
    <row r="667" spans="5:5">
      <c r="E667" s="19"/>
    </row>
    <row r="668" spans="5:5">
      <c r="E668" s="19"/>
    </row>
    <row r="669" spans="5:5">
      <c r="E669" s="19"/>
    </row>
    <row r="670" spans="5:5">
      <c r="E670" s="19"/>
    </row>
    <row r="671" spans="5:5">
      <c r="E671" s="19"/>
    </row>
    <row r="672" spans="5:5">
      <c r="E672" s="19"/>
    </row>
    <row r="673" spans="5:5">
      <c r="E673" s="19"/>
    </row>
    <row r="674" spans="5:5">
      <c r="E674" s="19"/>
    </row>
    <row r="675" spans="5:5">
      <c r="E675" s="19"/>
    </row>
    <row r="676" spans="5:5">
      <c r="E676" s="19"/>
    </row>
    <row r="677" spans="5:5">
      <c r="E677" s="19"/>
    </row>
    <row r="678" spans="5:5">
      <c r="E678" s="19"/>
    </row>
    <row r="679" spans="5:5">
      <c r="E679" s="19"/>
    </row>
    <row r="680" spans="5:5">
      <c r="E680" s="19"/>
    </row>
    <row r="681" spans="5:5">
      <c r="E681" s="19"/>
    </row>
    <row r="682" spans="5:5">
      <c r="E682" s="19"/>
    </row>
    <row r="683" spans="5:5">
      <c r="E683" s="19"/>
    </row>
    <row r="684" spans="5:5">
      <c r="E684" s="19"/>
    </row>
    <row r="685" spans="5:5">
      <c r="E685" s="19"/>
    </row>
    <row r="686" spans="5:5">
      <c r="E686" s="19"/>
    </row>
    <row r="687" spans="5:5">
      <c r="E687" s="19"/>
    </row>
    <row r="688" spans="5:5">
      <c r="E688" s="19"/>
    </row>
    <row r="689" spans="5:5">
      <c r="E689" s="19"/>
    </row>
    <row r="690" spans="5:5">
      <c r="E690" s="19"/>
    </row>
    <row r="691" spans="5:5">
      <c r="E691" s="19"/>
    </row>
    <row r="692" spans="5:5">
      <c r="E692" s="19"/>
    </row>
    <row r="693" spans="5:5">
      <c r="E693" s="19"/>
    </row>
    <row r="694" spans="5:5">
      <c r="E694" s="19"/>
    </row>
    <row r="695" spans="5:5">
      <c r="E695" s="19"/>
    </row>
    <row r="696" spans="5:5">
      <c r="E696" s="19"/>
    </row>
    <row r="697" spans="5:5">
      <c r="E697" s="19"/>
    </row>
    <row r="698" spans="5:5">
      <c r="E698" s="19"/>
    </row>
    <row r="699" spans="5:5">
      <c r="E699" s="19"/>
    </row>
    <row r="700" spans="5:5">
      <c r="E700" s="19"/>
    </row>
    <row r="701" spans="5:5">
      <c r="E701" s="19"/>
    </row>
    <row r="702" spans="5:5">
      <c r="E702" s="19"/>
    </row>
    <row r="703" spans="5:5">
      <c r="E703" s="19"/>
    </row>
    <row r="704" spans="5:5">
      <c r="E704" s="19"/>
    </row>
    <row r="705" spans="5:5">
      <c r="E705" s="19"/>
    </row>
    <row r="706" spans="5:5">
      <c r="E706" s="19"/>
    </row>
    <row r="707" spans="5:5">
      <c r="E707" s="19"/>
    </row>
    <row r="708" spans="5:5">
      <c r="E708" s="19"/>
    </row>
    <row r="709" spans="5:5">
      <c r="E709" s="19"/>
    </row>
    <row r="710" spans="5:5">
      <c r="E710" s="19"/>
    </row>
    <row r="711" spans="5:5">
      <c r="E711" s="19"/>
    </row>
    <row r="712" spans="5:5">
      <c r="E712" s="19"/>
    </row>
    <row r="713" spans="5:5">
      <c r="E713" s="19"/>
    </row>
    <row r="714" spans="5:5">
      <c r="E714" s="19"/>
    </row>
    <row r="715" spans="5:5">
      <c r="E715" s="19"/>
    </row>
    <row r="716" spans="5:5">
      <c r="E716" s="19"/>
    </row>
    <row r="717" spans="5:5">
      <c r="E717" s="19"/>
    </row>
    <row r="718" spans="5:5">
      <c r="E718" s="19"/>
    </row>
    <row r="719" spans="5:5">
      <c r="E719" s="19"/>
    </row>
    <row r="720" spans="5:5">
      <c r="E720" s="19"/>
    </row>
    <row r="721" spans="5:5">
      <c r="E721" s="19"/>
    </row>
    <row r="722" spans="5:5">
      <c r="E722" s="19"/>
    </row>
    <row r="723" spans="5:5">
      <c r="E723" s="19"/>
    </row>
    <row r="724" spans="5:5">
      <c r="E724" s="19"/>
    </row>
    <row r="725" spans="5:5">
      <c r="E725" s="19"/>
    </row>
    <row r="726" spans="5:5">
      <c r="E726" s="19"/>
    </row>
    <row r="727" spans="5:5">
      <c r="E727" s="19"/>
    </row>
    <row r="728" spans="5:5">
      <c r="E728" s="19"/>
    </row>
    <row r="729" spans="5:5">
      <c r="E729" s="19"/>
    </row>
    <row r="730" spans="5:5">
      <c r="E730" s="19"/>
    </row>
    <row r="731" spans="5:5">
      <c r="E731" s="19"/>
    </row>
    <row r="732" spans="5:5">
      <c r="E732" s="19"/>
    </row>
    <row r="733" spans="5:5">
      <c r="E733" s="19"/>
    </row>
    <row r="734" spans="5:5">
      <c r="E734" s="19"/>
    </row>
    <row r="735" spans="5:5">
      <c r="E735" s="19"/>
    </row>
    <row r="736" spans="5:5">
      <c r="E736" s="19"/>
    </row>
    <row r="737" spans="5:5">
      <c r="E737" s="19"/>
    </row>
    <row r="738" spans="5:5">
      <c r="E738" s="19"/>
    </row>
    <row r="739" spans="5:5">
      <c r="E739" s="19"/>
    </row>
    <row r="740" spans="5:5">
      <c r="E740" s="19"/>
    </row>
    <row r="741" spans="5:5">
      <c r="E741" s="19"/>
    </row>
    <row r="742" spans="5:5">
      <c r="E742" s="19"/>
    </row>
    <row r="743" spans="5:5">
      <c r="E743" s="19"/>
    </row>
    <row r="744" spans="5:5">
      <c r="E744" s="19"/>
    </row>
    <row r="745" spans="5:5">
      <c r="E745" s="19"/>
    </row>
    <row r="746" spans="5:5">
      <c r="E746" s="19"/>
    </row>
    <row r="747" spans="5:5">
      <c r="E747" s="19"/>
    </row>
    <row r="748" spans="5:5">
      <c r="E748" s="19"/>
    </row>
    <row r="749" spans="5:5">
      <c r="E749" s="19"/>
    </row>
    <row r="750" spans="5:5">
      <c r="E750" s="19"/>
    </row>
    <row r="751" spans="5:5">
      <c r="E751" s="19"/>
    </row>
    <row r="752" spans="5:5">
      <c r="E752" s="19"/>
    </row>
    <row r="753" spans="5:5">
      <c r="E753" s="19"/>
    </row>
    <row r="754" spans="5:5">
      <c r="E754" s="19"/>
    </row>
    <row r="755" spans="5:5">
      <c r="E755" s="19"/>
    </row>
    <row r="756" spans="5:5">
      <c r="E756" s="19"/>
    </row>
    <row r="757" spans="5:5">
      <c r="E757" s="19"/>
    </row>
    <row r="758" spans="5:5">
      <c r="E758" s="19"/>
    </row>
    <row r="759" spans="5:5">
      <c r="E759" s="19"/>
    </row>
    <row r="760" spans="5:5">
      <c r="E760" s="19"/>
    </row>
    <row r="761" spans="5:5">
      <c r="E761" s="19"/>
    </row>
    <row r="762" spans="5:5">
      <c r="E762" s="19"/>
    </row>
    <row r="763" spans="5:5">
      <c r="E763" s="19"/>
    </row>
    <row r="764" spans="5:5">
      <c r="E764" s="19"/>
    </row>
    <row r="765" spans="5:5">
      <c r="E765" s="19"/>
    </row>
    <row r="766" spans="5:5">
      <c r="E766" s="19"/>
    </row>
    <row r="767" spans="5:5">
      <c r="E767" s="19"/>
    </row>
    <row r="768" spans="5:5">
      <c r="E768" s="19"/>
    </row>
    <row r="769" spans="5:5">
      <c r="E769" s="19"/>
    </row>
    <row r="770" spans="5:5">
      <c r="E770" s="19"/>
    </row>
    <row r="771" spans="5:5">
      <c r="E771" s="19"/>
    </row>
    <row r="772" spans="5:5">
      <c r="E772" s="19"/>
    </row>
    <row r="773" spans="5:5">
      <c r="E773" s="19"/>
    </row>
    <row r="774" spans="5:5">
      <c r="E774" s="19"/>
    </row>
    <row r="775" spans="5:5">
      <c r="E775" s="19"/>
    </row>
    <row r="776" spans="5:5">
      <c r="E776" s="19"/>
    </row>
    <row r="777" spans="5:5">
      <c r="E777" s="19"/>
    </row>
    <row r="778" spans="5:5">
      <c r="E778" s="19"/>
    </row>
    <row r="779" spans="5:5">
      <c r="E779" s="19"/>
    </row>
    <row r="780" spans="5:5">
      <c r="E780" s="19"/>
    </row>
    <row r="781" spans="5:5">
      <c r="E781" s="19"/>
    </row>
    <row r="782" spans="5:5">
      <c r="E782" s="19"/>
    </row>
    <row r="783" spans="5:5">
      <c r="E783" s="19"/>
    </row>
    <row r="784" spans="5:5">
      <c r="E784" s="19"/>
    </row>
    <row r="785" spans="5:5">
      <c r="E785" s="19"/>
    </row>
    <row r="786" spans="5:5">
      <c r="E786" s="19"/>
    </row>
    <row r="787" spans="5:5">
      <c r="E787" s="19"/>
    </row>
    <row r="788" spans="5:5">
      <c r="E788" s="19"/>
    </row>
    <row r="789" spans="5:5">
      <c r="E789" s="19"/>
    </row>
    <row r="790" spans="5:5">
      <c r="E790" s="19"/>
    </row>
    <row r="791" spans="5:5">
      <c r="E791" s="19"/>
    </row>
    <row r="792" spans="5:5">
      <c r="E792" s="19"/>
    </row>
    <row r="793" spans="5:5">
      <c r="E793" s="19"/>
    </row>
    <row r="794" spans="5:5">
      <c r="E794" s="19"/>
    </row>
    <row r="795" spans="5:5">
      <c r="E795" s="19"/>
    </row>
    <row r="796" spans="5:5">
      <c r="E796" s="19"/>
    </row>
    <row r="797" spans="5:5">
      <c r="E797" s="19"/>
    </row>
    <row r="798" spans="5:5">
      <c r="E798" s="19"/>
    </row>
    <row r="799" spans="5:5">
      <c r="E799" s="19"/>
    </row>
    <row r="800" spans="5:5">
      <c r="E800" s="19"/>
    </row>
    <row r="801" spans="5:5">
      <c r="E801" s="19"/>
    </row>
    <row r="802" spans="5:5">
      <c r="E802" s="19"/>
    </row>
    <row r="803" spans="5:5">
      <c r="E803" s="19"/>
    </row>
    <row r="804" spans="5:5">
      <c r="E804" s="19"/>
    </row>
    <row r="805" spans="5:5">
      <c r="E805" s="19"/>
    </row>
    <row r="806" spans="5:5">
      <c r="E806" s="19"/>
    </row>
    <row r="807" spans="5:5">
      <c r="E807" s="19"/>
    </row>
    <row r="808" spans="5:5">
      <c r="E808" s="19"/>
    </row>
    <row r="809" spans="5:5">
      <c r="E809" s="19"/>
    </row>
    <row r="810" spans="5:5">
      <c r="E810" s="19"/>
    </row>
    <row r="811" spans="5:5">
      <c r="E811" s="19"/>
    </row>
    <row r="812" spans="5:5">
      <c r="E812" s="19"/>
    </row>
    <row r="813" spans="5:5">
      <c r="E813" s="19"/>
    </row>
    <row r="814" spans="5:5">
      <c r="E814" s="19"/>
    </row>
    <row r="815" spans="5:5">
      <c r="E815" s="19"/>
    </row>
    <row r="816" spans="5:5">
      <c r="E816" s="19"/>
    </row>
    <row r="817" spans="5:5">
      <c r="E817" s="19"/>
    </row>
    <row r="818" spans="5:5">
      <c r="E818" s="19"/>
    </row>
    <row r="819" spans="5:5">
      <c r="E819" s="19"/>
    </row>
    <row r="820" spans="5:5">
      <c r="E820" s="19"/>
    </row>
    <row r="821" spans="5:5">
      <c r="E821" s="19"/>
    </row>
    <row r="822" spans="5:5">
      <c r="E822" s="19"/>
    </row>
    <row r="823" spans="5:5">
      <c r="E823" s="19"/>
    </row>
    <row r="824" spans="5:5">
      <c r="E824" s="19"/>
    </row>
    <row r="825" spans="5:5">
      <c r="E825" s="19"/>
    </row>
    <row r="826" spans="5:5">
      <c r="E826" s="19"/>
    </row>
    <row r="827" spans="5:5">
      <c r="E827" s="19"/>
    </row>
    <row r="828" spans="5:5">
      <c r="E828" s="19"/>
    </row>
    <row r="829" spans="5:5">
      <c r="E829" s="19"/>
    </row>
    <row r="830" spans="5:5">
      <c r="E830" s="19"/>
    </row>
    <row r="831" spans="5:5">
      <c r="E831" s="19"/>
    </row>
    <row r="832" spans="5:5">
      <c r="E832" s="19"/>
    </row>
    <row r="833" spans="5:5">
      <c r="E833" s="19"/>
    </row>
    <row r="834" spans="5:5">
      <c r="E834" s="19"/>
    </row>
    <row r="835" spans="5:5">
      <c r="E835" s="19"/>
    </row>
    <row r="836" spans="5:5">
      <c r="E836" s="19"/>
    </row>
    <row r="837" spans="5:5">
      <c r="E837" s="19"/>
    </row>
    <row r="838" spans="5:5">
      <c r="E838" s="19"/>
    </row>
    <row r="839" spans="5:5">
      <c r="E839" s="19"/>
    </row>
    <row r="840" spans="5:5">
      <c r="E840" s="19"/>
    </row>
    <row r="841" spans="5:5">
      <c r="E841" s="19"/>
    </row>
    <row r="842" spans="5:5">
      <c r="E842" s="19"/>
    </row>
    <row r="843" spans="5:5">
      <c r="E843" s="19"/>
    </row>
    <row r="844" spans="5:5">
      <c r="E844" s="19"/>
    </row>
    <row r="845" spans="5:5">
      <c r="E845" s="19"/>
    </row>
    <row r="846" spans="5:5">
      <c r="E846" s="19"/>
    </row>
    <row r="847" spans="5:5">
      <c r="E847" s="19"/>
    </row>
    <row r="848" spans="5:5">
      <c r="E848" s="19"/>
    </row>
    <row r="849" spans="5:5">
      <c r="E849" s="19"/>
    </row>
    <row r="850" spans="5:5">
      <c r="E850" s="19"/>
    </row>
    <row r="851" spans="5:5">
      <c r="E851" s="19"/>
    </row>
    <row r="852" spans="5:5">
      <c r="E852" s="19"/>
    </row>
    <row r="853" spans="5:5">
      <c r="E853" s="19"/>
    </row>
    <row r="854" spans="5:5">
      <c r="E854" s="19"/>
    </row>
    <row r="855" spans="5:5">
      <c r="E855" s="19"/>
    </row>
    <row r="856" spans="5:5">
      <c r="E856" s="19"/>
    </row>
    <row r="857" spans="5:5">
      <c r="E857" s="19"/>
    </row>
    <row r="858" spans="5:5">
      <c r="E858" s="19"/>
    </row>
  </sheetData>
  <conditionalFormatting sqref="G229:G237 F229:F234 F236:F237 F227:J227 H237:K237 H229:H231 E238:J238 H233:H236 I229:J236 F212:J220">
    <cfRule type="expression" dxfId="8" priority="1">
      <formula>#REF!=0</formula>
    </cfRule>
  </conditionalFormatting>
  <printOptions headings="1"/>
  <pageMargins left="0.23622047244094491" right="0.27559055118110237" top="0.74803149606299213" bottom="0.74803149606299213" header="0.31496062992125984" footer="0.31496062992125984"/>
  <pageSetup paperSize="8" scale="53" fitToHeight="0" orientation="portrait" r:id="rId1"/>
  <drawing r:id="rId2"/>
  <legacyDrawing r:id="rId3"/>
</worksheet>
</file>

<file path=xl/worksheets/sheet13.xml><?xml version="1.0" encoding="utf-8"?>
<worksheet xmlns="http://schemas.openxmlformats.org/spreadsheetml/2006/main" xmlns:r="http://schemas.openxmlformats.org/officeDocument/2006/relationships">
  <sheetPr codeName="Sheet37">
    <tabColor theme="9" tint="0.79998168889431442"/>
    <pageSetUpPr fitToPage="1"/>
  </sheetPr>
  <dimension ref="A1:Z858"/>
  <sheetViews>
    <sheetView zoomScaleNormal="100" workbookViewId="0"/>
  </sheetViews>
  <sheetFormatPr defaultRowHeight="15"/>
  <cols>
    <col min="1" max="2" width="4.140625" style="22" customWidth="1"/>
    <col min="3" max="3" width="47.5703125" style="22" customWidth="1"/>
    <col min="4" max="4" width="13.5703125" style="22" customWidth="1"/>
    <col min="5" max="5" width="10.5703125" style="22" customWidth="1"/>
    <col min="6" max="6" width="13.42578125" style="22" customWidth="1"/>
    <col min="7" max="7" width="10.42578125" style="22" customWidth="1"/>
    <col min="8" max="8" width="11.5703125" style="22" customWidth="1"/>
    <col min="9" max="9" width="10.28515625" style="22" customWidth="1"/>
    <col min="10" max="10" width="13.7109375" style="22" customWidth="1"/>
    <col min="11" max="11" width="11.28515625" style="22" customWidth="1"/>
    <col min="12" max="12" width="19.5703125" style="22" bestFit="1" customWidth="1"/>
    <col min="13" max="13" width="11.5703125" style="22" bestFit="1" customWidth="1"/>
    <col min="14" max="16384" width="9.140625" style="22"/>
  </cols>
  <sheetData>
    <row r="1" spans="1:16" ht="23.25">
      <c r="A1" s="27"/>
      <c r="C1" s="1" t="str">
        <f ca="1">OFFSET(Inputs_Anchor,0,G1+1)</f>
        <v xml:space="preserve">Network Tasman </v>
      </c>
      <c r="D1" s="1"/>
      <c r="E1" s="1"/>
      <c r="F1" s="4" t="s">
        <v>109</v>
      </c>
      <c r="G1" s="5">
        <v>9</v>
      </c>
      <c r="H1" s="1"/>
      <c r="I1" s="1"/>
      <c r="J1" s="1"/>
      <c r="K1" s="1"/>
      <c r="L1" s="1"/>
      <c r="M1" s="1"/>
      <c r="N1" s="1"/>
      <c r="O1" s="1"/>
      <c r="P1" s="1"/>
    </row>
    <row r="2" spans="1:16">
      <c r="A2" s="27"/>
      <c r="L2" s="26"/>
    </row>
    <row r="3" spans="1:16" ht="23.25">
      <c r="C3" s="1" t="s">
        <v>3</v>
      </c>
      <c r="D3" s="1"/>
      <c r="E3" s="1"/>
      <c r="F3" s="1"/>
      <c r="G3" s="1"/>
      <c r="H3" s="1"/>
      <c r="I3" s="1"/>
      <c r="J3" s="1"/>
      <c r="K3" s="1"/>
      <c r="L3" s="1"/>
      <c r="M3" s="1"/>
      <c r="N3" s="1"/>
      <c r="O3" s="1"/>
      <c r="P3" s="1"/>
    </row>
    <row r="4" spans="1:16">
      <c r="A4" s="27"/>
      <c r="B4" s="27"/>
      <c r="C4" s="27"/>
      <c r="D4" s="147" t="s">
        <v>57</v>
      </c>
      <c r="E4" s="147" t="s">
        <v>58</v>
      </c>
      <c r="F4" s="27"/>
      <c r="G4" s="27"/>
      <c r="H4" s="148" t="s">
        <v>5</v>
      </c>
      <c r="I4" s="27"/>
      <c r="J4" s="27"/>
      <c r="K4" s="27"/>
      <c r="L4" s="27"/>
    </row>
    <row r="5" spans="1:16">
      <c r="A5" s="30"/>
      <c r="B5" s="27"/>
      <c r="C5" s="27"/>
      <c r="D5" s="147" t="s">
        <v>56</v>
      </c>
      <c r="E5" s="147"/>
      <c r="F5" s="27"/>
      <c r="G5" s="27"/>
      <c r="H5" s="27"/>
      <c r="I5" s="27"/>
      <c r="J5" s="27"/>
      <c r="K5" s="27"/>
      <c r="L5" s="27"/>
    </row>
    <row r="6" spans="1:16">
      <c r="A6" s="119"/>
      <c r="B6" s="50"/>
      <c r="C6" s="99" t="s">
        <v>1</v>
      </c>
      <c r="D6" s="50"/>
      <c r="E6" s="99" t="str">
        <f>Inputs!D11</f>
        <v>2009/10</v>
      </c>
      <c r="F6" s="99" t="str">
        <f>Inputs!E11</f>
        <v>2010/11</v>
      </c>
      <c r="G6" s="99" t="str">
        <f>Inputs!F11</f>
        <v>2011/12</v>
      </c>
      <c r="H6" s="99" t="str">
        <f>Inputs!G11</f>
        <v>2012/13</v>
      </c>
      <c r="I6" s="99" t="str">
        <f>Inputs!H11</f>
        <v>2013/14</v>
      </c>
      <c r="J6" s="99" t="str">
        <f>Inputs!I11</f>
        <v>2014/15</v>
      </c>
      <c r="K6" s="99"/>
      <c r="L6" s="67"/>
    </row>
    <row r="7" spans="1:16">
      <c r="A7" s="119"/>
      <c r="B7" s="50"/>
      <c r="C7" s="50" t="s">
        <v>59</v>
      </c>
      <c r="D7" s="50"/>
      <c r="E7" s="125">
        <v>1</v>
      </c>
      <c r="F7" s="125">
        <v>2</v>
      </c>
      <c r="G7" s="125">
        <v>3</v>
      </c>
      <c r="H7" s="125">
        <v>4</v>
      </c>
      <c r="I7" s="125">
        <v>5</v>
      </c>
      <c r="J7" s="125">
        <v>6</v>
      </c>
      <c r="K7" s="125"/>
      <c r="L7" s="67"/>
    </row>
    <row r="8" spans="1:16">
      <c r="A8" s="119">
        <v>1</v>
      </c>
      <c r="B8" s="149"/>
      <c r="C8" s="50" t="str">
        <f>Inputs!B20</f>
        <v>Line Revenue through Prices</v>
      </c>
      <c r="D8" s="50"/>
      <c r="E8" s="47">
        <f t="shared" ref="E8:E27" si="0">INDEX(InputsBlock,A8+1,$G$1+2)</f>
        <v>35470.417659999999</v>
      </c>
      <c r="F8" s="50"/>
      <c r="G8" s="50"/>
      <c r="H8" s="50"/>
      <c r="I8" s="50"/>
      <c r="J8" s="50"/>
      <c r="K8" s="50"/>
      <c r="L8" s="27"/>
    </row>
    <row r="9" spans="1:16">
      <c r="A9" s="119">
        <f t="shared" ref="A9:A27" si="1">A8+1</f>
        <v>2</v>
      </c>
      <c r="B9" s="149"/>
      <c r="C9" s="50" t="str">
        <f>Inputs!B21</f>
        <v>Pass-through costs</v>
      </c>
      <c r="D9" s="50"/>
      <c r="E9" s="47">
        <f t="shared" si="0"/>
        <v>171</v>
      </c>
      <c r="F9" s="50"/>
      <c r="G9" s="50"/>
      <c r="H9" s="50"/>
      <c r="I9" s="50"/>
      <c r="J9" s="50"/>
      <c r="K9" s="50"/>
      <c r="L9" s="27"/>
    </row>
    <row r="10" spans="1:16">
      <c r="A10" s="119">
        <f t="shared" si="1"/>
        <v>3</v>
      </c>
      <c r="B10" s="149"/>
      <c r="C10" s="50" t="str">
        <f>Inputs!B22</f>
        <v>Recoverable costs</v>
      </c>
      <c r="D10" s="50"/>
      <c r="E10" s="47">
        <f t="shared" si="0"/>
        <v>12369.402769999999</v>
      </c>
      <c r="F10" s="50"/>
      <c r="G10" s="50"/>
      <c r="H10" s="50"/>
      <c r="I10" s="50"/>
      <c r="J10" s="50"/>
      <c r="K10" s="50"/>
      <c r="L10" s="27"/>
    </row>
    <row r="11" spans="1:16">
      <c r="A11" s="119">
        <f t="shared" si="1"/>
        <v>4</v>
      </c>
      <c r="B11" s="149"/>
      <c r="C11" s="50" t="str">
        <f>Inputs!B23</f>
        <v>Opening RAB</v>
      </c>
      <c r="D11" s="50"/>
      <c r="E11" s="47">
        <f t="shared" si="0"/>
        <v>149225</v>
      </c>
      <c r="F11" s="50"/>
      <c r="G11" s="50"/>
      <c r="H11" s="50"/>
      <c r="I11" s="50"/>
      <c r="J11" s="50"/>
      <c r="K11" s="50"/>
      <c r="L11" s="150"/>
    </row>
    <row r="12" spans="1:16">
      <c r="A12" s="119">
        <f t="shared" si="1"/>
        <v>5</v>
      </c>
      <c r="B12" s="149"/>
      <c r="C12" s="50" t="str">
        <f>Inputs!B24</f>
        <v>Lost assets</v>
      </c>
      <c r="D12" s="50"/>
      <c r="E12" s="47">
        <f t="shared" si="0"/>
        <v>0</v>
      </c>
      <c r="F12" s="50"/>
      <c r="G12" s="50"/>
      <c r="H12" s="50"/>
      <c r="I12" s="50"/>
      <c r="J12" s="50"/>
      <c r="K12" s="50"/>
      <c r="L12" s="150"/>
    </row>
    <row r="13" spans="1:16">
      <c r="A13" s="119">
        <f t="shared" si="1"/>
        <v>6</v>
      </c>
      <c r="B13" s="149"/>
      <c r="C13" s="50" t="str">
        <f>Inputs!B25</f>
        <v>Found Assets</v>
      </c>
      <c r="D13" s="50"/>
      <c r="E13" s="47">
        <f t="shared" si="0"/>
        <v>0</v>
      </c>
      <c r="F13" s="50"/>
      <c r="G13" s="50"/>
      <c r="H13" s="50"/>
      <c r="I13" s="50"/>
      <c r="J13" s="50"/>
      <c r="K13" s="50"/>
      <c r="L13" s="150"/>
    </row>
    <row r="14" spans="1:16">
      <c r="A14" s="119">
        <f t="shared" si="1"/>
        <v>7</v>
      </c>
      <c r="B14" s="149"/>
      <c r="C14" s="50" t="str">
        <f>Inputs!B26</f>
        <v>Total Depreciation</v>
      </c>
      <c r="D14" s="50"/>
      <c r="E14" s="47">
        <f t="shared" si="0"/>
        <v>6387.6247468541751</v>
      </c>
      <c r="F14" s="47"/>
      <c r="G14" s="191" t="s">
        <v>280</v>
      </c>
      <c r="H14" s="50"/>
      <c r="I14" s="50"/>
      <c r="J14" s="50"/>
      <c r="K14" s="50"/>
      <c r="L14" s="27"/>
    </row>
    <row r="15" spans="1:16">
      <c r="A15" s="119">
        <f t="shared" si="1"/>
        <v>8</v>
      </c>
      <c r="B15" s="149"/>
      <c r="C15" s="50" t="str">
        <f>Inputs!B27</f>
        <v>RAB of disposed assets</v>
      </c>
      <c r="D15" s="50"/>
      <c r="E15" s="47">
        <f t="shared" si="0"/>
        <v>0</v>
      </c>
      <c r="F15" s="50"/>
      <c r="G15" s="175" t="s">
        <v>281</v>
      </c>
      <c r="H15" s="50"/>
      <c r="I15" s="50"/>
      <c r="J15" s="50"/>
      <c r="K15" s="50"/>
      <c r="L15" s="27"/>
    </row>
    <row r="16" spans="1:16">
      <c r="A16" s="119">
        <f t="shared" si="1"/>
        <v>9</v>
      </c>
      <c r="B16" s="149"/>
      <c r="C16" s="50" t="str">
        <f>Inputs!B28</f>
        <v>Discretionary discounts &amp;  rebates</v>
      </c>
      <c r="D16" s="50"/>
      <c r="E16" s="47">
        <f t="shared" si="0"/>
        <v>6080.5233600000001</v>
      </c>
      <c r="F16" s="50"/>
      <c r="G16" s="175" t="s">
        <v>282</v>
      </c>
      <c r="H16" s="50"/>
      <c r="I16" s="50"/>
      <c r="J16" s="50"/>
      <c r="K16" s="50"/>
      <c r="L16" s="27"/>
    </row>
    <row r="17" spans="1:22">
      <c r="A17" s="119">
        <f t="shared" si="1"/>
        <v>10</v>
      </c>
      <c r="B17" s="149"/>
      <c r="C17" s="50" t="str">
        <f>Inputs!B29</f>
        <v>Tax Depreciation</v>
      </c>
      <c r="D17" s="50"/>
      <c r="E17" s="47">
        <f t="shared" si="0"/>
        <v>3793.4187615999958</v>
      </c>
      <c r="F17" s="50"/>
      <c r="G17" s="175" t="s">
        <v>283</v>
      </c>
      <c r="H17" s="50"/>
      <c r="I17" s="50"/>
      <c r="J17" s="50"/>
      <c r="K17" s="50"/>
      <c r="L17" s="27"/>
    </row>
    <row r="18" spans="1:22">
      <c r="A18" s="119">
        <f t="shared" si="1"/>
        <v>11</v>
      </c>
      <c r="B18" s="149"/>
      <c r="C18" s="50" t="str">
        <f>Inputs!B30</f>
        <v>Opening regulatory tax asset value</v>
      </c>
      <c r="D18" s="50"/>
      <c r="E18" s="47">
        <f t="shared" si="0"/>
        <v>41922.555983600039</v>
      </c>
      <c r="F18" s="50"/>
      <c r="G18" s="50"/>
      <c r="H18" s="50"/>
      <c r="I18" s="50"/>
      <c r="J18" s="50"/>
      <c r="K18" s="50"/>
      <c r="L18" s="27"/>
    </row>
    <row r="19" spans="1:22">
      <c r="A19" s="119">
        <f t="shared" si="1"/>
        <v>12</v>
      </c>
      <c r="B19" s="149"/>
      <c r="C19" s="50" t="str">
        <f>Inputs!B31</f>
        <v>Weighted Average Remaining Life at year-end</v>
      </c>
      <c r="D19" s="50"/>
      <c r="E19" s="47">
        <f t="shared" si="0"/>
        <v>32.956331175965794</v>
      </c>
      <c r="F19" s="50"/>
      <c r="G19" s="50"/>
      <c r="H19" s="50"/>
      <c r="I19" s="50"/>
      <c r="J19" s="50"/>
      <c r="K19" s="50"/>
      <c r="L19" s="27"/>
    </row>
    <row r="20" spans="1:22">
      <c r="A20" s="119">
        <f t="shared" si="1"/>
        <v>13</v>
      </c>
      <c r="B20" s="149"/>
      <c r="C20" s="50" t="str">
        <f>Inputs!B32</f>
        <v>Term Credit Spread Differential Allowance</v>
      </c>
      <c r="D20" s="50"/>
      <c r="E20" s="47">
        <f t="shared" si="0"/>
        <v>0</v>
      </c>
      <c r="F20" s="50"/>
      <c r="G20" s="50"/>
      <c r="H20" s="50"/>
      <c r="I20" s="50"/>
      <c r="J20" s="50"/>
      <c r="K20" s="50"/>
      <c r="L20" s="27"/>
    </row>
    <row r="21" spans="1:22">
      <c r="A21" s="119">
        <f t="shared" si="1"/>
        <v>14</v>
      </c>
      <c r="B21" s="149"/>
      <c r="C21" s="50" t="s">
        <v>98</v>
      </c>
      <c r="D21" s="50"/>
      <c r="E21" s="47">
        <f t="shared" si="0"/>
        <v>5287.6619658333329</v>
      </c>
      <c r="F21" s="50"/>
      <c r="G21" s="50"/>
      <c r="H21" s="50"/>
      <c r="I21" s="50"/>
      <c r="J21" s="50"/>
      <c r="K21" s="50"/>
      <c r="L21" s="27"/>
    </row>
    <row r="22" spans="1:22">
      <c r="A22" s="119">
        <f t="shared" si="1"/>
        <v>15</v>
      </c>
      <c r="B22" s="149"/>
      <c r="C22" s="50" t="str">
        <f>Inputs!B34</f>
        <v>Operating expenditure 2009/10</v>
      </c>
      <c r="D22" s="50"/>
      <c r="E22" s="47">
        <f t="shared" si="0"/>
        <v>7258.5558799999999</v>
      </c>
      <c r="F22" s="50"/>
      <c r="G22" s="50"/>
      <c r="H22" s="50"/>
      <c r="I22" s="50"/>
      <c r="J22" s="50"/>
      <c r="K22" s="50"/>
      <c r="L22" s="27"/>
    </row>
    <row r="23" spans="1:22">
      <c r="A23" s="119">
        <f t="shared" si="1"/>
        <v>16</v>
      </c>
      <c r="B23" s="149"/>
      <c r="C23" s="50" t="str">
        <f>Inputs!B35</f>
        <v>Other reg income (avg of 2008 to 11, in 2009/10 $)</v>
      </c>
      <c r="D23" s="50"/>
      <c r="E23" s="47">
        <f t="shared" si="0"/>
        <v>288.34864584099455</v>
      </c>
      <c r="F23" s="50"/>
      <c r="G23" s="50"/>
      <c r="H23" s="50"/>
      <c r="I23" s="50"/>
      <c r="J23" s="50"/>
      <c r="K23" s="49"/>
      <c r="L23" s="27"/>
    </row>
    <row r="24" spans="1:22">
      <c r="A24" s="119">
        <f t="shared" si="1"/>
        <v>17</v>
      </c>
      <c r="B24" s="149"/>
      <c r="C24" s="119" t="str">
        <f>Inputs!B36</f>
        <v>Allowable notional revenue 2012/13</v>
      </c>
      <c r="D24" s="50"/>
      <c r="E24" s="47">
        <f t="shared" si="0"/>
        <v>25556.057000000001</v>
      </c>
      <c r="F24" s="50"/>
      <c r="G24" s="50"/>
      <c r="H24" s="50"/>
      <c r="I24" s="50"/>
      <c r="J24" s="50"/>
      <c r="K24" s="49"/>
      <c r="L24" s="27"/>
    </row>
    <row r="25" spans="1:22">
      <c r="A25" s="119">
        <f t="shared" si="1"/>
        <v>18</v>
      </c>
      <c r="B25" s="149"/>
      <c r="C25" s="119" t="str">
        <f>Inputs!B37</f>
        <v>Pass-through costs 2012/13</v>
      </c>
      <c r="D25" s="50"/>
      <c r="E25" s="47">
        <f t="shared" si="0"/>
        <v>14124.799000000001</v>
      </c>
      <c r="F25" s="50"/>
      <c r="G25" s="50"/>
      <c r="H25" s="50"/>
      <c r="I25" s="50"/>
      <c r="J25" s="50"/>
      <c r="K25" s="49"/>
      <c r="L25" s="27"/>
    </row>
    <row r="26" spans="1:22">
      <c r="A26" s="119">
        <f t="shared" si="1"/>
        <v>19</v>
      </c>
      <c r="B26" s="50"/>
      <c r="C26" s="50" t="str">
        <f>Inputs!B38</f>
        <v>Alternate X value to 2014/15</v>
      </c>
      <c r="D26" s="49"/>
      <c r="E26" s="151" t="str">
        <f t="shared" si="0"/>
        <v>IWX</v>
      </c>
      <c r="F26" s="50"/>
      <c r="G26" s="50"/>
      <c r="H26" s="50"/>
      <c r="I26" s="50"/>
      <c r="J26" s="50"/>
      <c r="K26" s="49"/>
      <c r="L26" s="27"/>
    </row>
    <row r="27" spans="1:22">
      <c r="A27" s="119">
        <f t="shared" si="1"/>
        <v>20</v>
      </c>
      <c r="B27" s="50"/>
      <c r="C27" s="50" t="str">
        <f>Inputs!B39</f>
        <v>Cap on growth of maximum allowable revenue</v>
      </c>
      <c r="D27" s="50"/>
      <c r="E27" s="151">
        <f t="shared" si="0"/>
        <v>0.2</v>
      </c>
      <c r="F27" s="50"/>
      <c r="G27" s="50"/>
      <c r="H27" s="50"/>
      <c r="I27" s="50"/>
      <c r="J27" s="50"/>
      <c r="K27" s="49"/>
      <c r="L27" s="27"/>
    </row>
    <row r="28" spans="1:22">
      <c r="A28" s="119"/>
      <c r="B28" s="149"/>
      <c r="C28" s="50" t="s">
        <v>30</v>
      </c>
      <c r="D28" s="50"/>
      <c r="E28" s="130">
        <f>E22</f>
        <v>7258.5558799999999</v>
      </c>
      <c r="F28" s="47">
        <f>INDEX(OpexBlock,F7-1,$G$1)</f>
        <v>7485.2038887098779</v>
      </c>
      <c r="G28" s="47">
        <f>INDEX(OpexBlock,G7-1,$G$1)</f>
        <v>7754.3809562703609</v>
      </c>
      <c r="H28" s="47">
        <f>INDEX(OpexBlock,H7-1,$G$1)</f>
        <v>7959.0592342224681</v>
      </c>
      <c r="I28" s="47">
        <f>INDEX(OpexBlock,I7-1,$G$1)</f>
        <v>8195.2344487117425</v>
      </c>
      <c r="J28" s="47">
        <f>INDEX(OpexBlock,J7-1,$G$1)</f>
        <v>8451.33142058665</v>
      </c>
      <c r="K28" s="49"/>
      <c r="L28" s="50"/>
      <c r="M28" s="15"/>
    </row>
    <row r="29" spans="1:22">
      <c r="A29" s="119"/>
      <c r="B29" s="149"/>
      <c r="C29" s="50" t="s">
        <v>158</v>
      </c>
      <c r="D29" s="47"/>
      <c r="E29" s="130">
        <f>E21</f>
        <v>5287.6619658333329</v>
      </c>
      <c r="F29" s="47">
        <f>INDEX(CommAssetsBlock,F7-1,$G$1)</f>
        <v>8689.345789854653</v>
      </c>
      <c r="G29" s="47">
        <f>INDEX(CommAssetsBlock,G7-1,$G$1)</f>
        <v>7625.3990827172902</v>
      </c>
      <c r="H29" s="47">
        <f>INDEX(CommAssetsBlock,H7-1,$G$1)</f>
        <v>6390.7832933165973</v>
      </c>
      <c r="I29" s="47">
        <f>INDEX(CommAssetsBlock,I7-1,$G$1)</f>
        <v>5630.9176752704807</v>
      </c>
      <c r="J29" s="47">
        <f>INDEX(CommAssetsBlock,J7-1,$G$1)</f>
        <v>6405.8983114749644</v>
      </c>
      <c r="K29" s="49"/>
      <c r="L29" s="50"/>
      <c r="M29" s="15"/>
    </row>
    <row r="30" spans="1:22">
      <c r="A30" s="119"/>
      <c r="B30" s="149"/>
      <c r="C30" s="50" t="s">
        <v>200</v>
      </c>
      <c r="D30" s="47"/>
      <c r="E30" s="49"/>
      <c r="F30" s="110">
        <f>INDEX(ConstPriceRevGrwth,F$7-1,$G$1)</f>
        <v>5.9734074574071209E-3</v>
      </c>
      <c r="G30" s="110">
        <f>INDEX(ConstPriceRevGrwth,G$7-1,$G$1)</f>
        <v>5.9734074574071209E-3</v>
      </c>
      <c r="H30" s="110">
        <f>INDEX(ConstPriceRevGrwth,H$7-1,$G$1)</f>
        <v>5.9734074574071209E-3</v>
      </c>
      <c r="I30" s="110">
        <f>INDEX(ConstPriceRevGrwth,I$7-1,$G$1)</f>
        <v>5.9734074574071209E-3</v>
      </c>
      <c r="J30" s="110">
        <f>INDEX(ConstPriceRevGrwth,J$7-1,$G$1)</f>
        <v>5.9734074574071209E-3</v>
      </c>
      <c r="K30" s="49"/>
      <c r="L30" s="50"/>
      <c r="M30" s="15"/>
      <c r="U30" s="15"/>
      <c r="V30" s="15"/>
    </row>
    <row r="31" spans="1:22" ht="15.75" thickBot="1">
      <c r="A31" s="119"/>
      <c r="B31" s="149"/>
      <c r="C31" s="50"/>
      <c r="D31" s="47"/>
      <c r="E31" s="49"/>
      <c r="F31" s="50"/>
      <c r="G31" s="49"/>
      <c r="H31" s="49"/>
      <c r="I31" s="49"/>
      <c r="J31" s="49"/>
      <c r="K31" s="49"/>
      <c r="L31" s="27"/>
      <c r="M31" s="15"/>
      <c r="U31" s="15"/>
      <c r="V31" s="15"/>
    </row>
    <row r="32" spans="1:22" ht="16.5" thickBot="1">
      <c r="A32" s="119"/>
      <c r="B32" s="149"/>
      <c r="C32" s="121" t="s">
        <v>182</v>
      </c>
      <c r="D32" s="47"/>
      <c r="E32" s="49"/>
      <c r="F32" s="50"/>
      <c r="G32" s="49"/>
      <c r="H32" s="49"/>
      <c r="I32" s="49"/>
      <c r="J32" s="49"/>
      <c r="K32" s="49"/>
      <c r="L32" s="195" t="s">
        <v>322</v>
      </c>
      <c r="M32" s="111"/>
      <c r="N32" s="34"/>
      <c r="O32" s="34"/>
      <c r="P32" s="34"/>
      <c r="Q32" s="34"/>
      <c r="R32" s="34"/>
      <c r="S32" s="34"/>
      <c r="T32" s="34"/>
      <c r="U32" s="34"/>
      <c r="V32" s="35"/>
    </row>
    <row r="33" spans="1:26">
      <c r="A33" s="119"/>
      <c r="B33" s="149"/>
      <c r="C33" s="122" t="str">
        <f>Inputs!B13</f>
        <v>2009 ΔCPI, 2 index, no lag, no GST adjustment</v>
      </c>
      <c r="D33" s="47"/>
      <c r="E33" s="49">
        <f>Inputs!D13</f>
        <v>1.7233850022212005E-2</v>
      </c>
      <c r="F33" s="49">
        <f>Inputs!E13</f>
        <v>1.9812209526758329E-2</v>
      </c>
      <c r="G33" s="49">
        <f>Inputs!F13</f>
        <v>2.4339880629970168E-2</v>
      </c>
      <c r="H33" s="49">
        <f>Inputs!G13</f>
        <v>2.2893253753313525E-2</v>
      </c>
      <c r="I33" s="49">
        <f>Inputs!H13</f>
        <v>2.144662687665666E-2</v>
      </c>
      <c r="J33" s="49">
        <f>Inputs!I13</f>
        <v>2.0000000000000018E-2</v>
      </c>
      <c r="K33" s="50"/>
      <c r="L33" s="196" t="s">
        <v>194</v>
      </c>
      <c r="M33" s="50"/>
      <c r="N33" s="15"/>
      <c r="O33" s="15"/>
      <c r="P33" s="15"/>
      <c r="Q33" s="15"/>
      <c r="R33" s="15"/>
      <c r="S33" s="15"/>
      <c r="T33" s="15"/>
      <c r="U33" s="15"/>
      <c r="V33" s="29"/>
    </row>
    <row r="34" spans="1:26">
      <c r="A34" s="119"/>
      <c r="B34" s="149"/>
      <c r="C34" s="122" t="str">
        <f>Inputs!B14</f>
        <v>2012 ΔCPI, 2 index, no lag, no GST adjustment</v>
      </c>
      <c r="D34" s="47"/>
      <c r="E34" s="49"/>
      <c r="F34" s="49">
        <f>Inputs!E14</f>
        <v>4.4667274384685429E-2</v>
      </c>
      <c r="G34" s="49">
        <f>Inputs!F14</f>
        <v>1.5706806282722585E-2</v>
      </c>
      <c r="H34" s="49">
        <f>Inputs!G14</f>
        <v>1.8041237113401998E-2</v>
      </c>
      <c r="I34" s="49">
        <f>Inputs!H14</f>
        <v>1.7721518987341867E-2</v>
      </c>
      <c r="J34" s="49">
        <f>Inputs!I14</f>
        <v>2.3217247097844007E-2</v>
      </c>
      <c r="K34" s="50"/>
      <c r="L34" s="196" t="s">
        <v>320</v>
      </c>
      <c r="M34" s="50"/>
      <c r="N34" s="15"/>
      <c r="O34" s="15"/>
      <c r="P34" s="15"/>
      <c r="Q34" s="15"/>
      <c r="R34" s="15"/>
      <c r="S34" s="15"/>
      <c r="T34" s="15"/>
      <c r="U34" s="15"/>
      <c r="V34" s="29"/>
    </row>
    <row r="35" spans="1:26">
      <c r="A35" s="119"/>
      <c r="B35" s="149"/>
      <c r="C35" s="122" t="str">
        <f>Inputs!B15</f>
        <v>2009 ΔCPI, 8 index, lagged, no GST adjustment</v>
      </c>
      <c r="D35" s="47"/>
      <c r="E35" s="49"/>
      <c r="F35" s="49"/>
      <c r="G35" s="49">
        <f>Inputs!F15</f>
        <v>1.6991832174541255E-2</v>
      </c>
      <c r="H35" s="49">
        <f>Inputs!G15</f>
        <v>2.0741514169093644E-2</v>
      </c>
      <c r="I35" s="49">
        <f>Inputs!H15</f>
        <v>2.3759818812291389E-2</v>
      </c>
      <c r="J35" s="49">
        <f>Inputs!I15</f>
        <v>2.2164443909808984E-2</v>
      </c>
      <c r="K35" s="50"/>
      <c r="L35" s="196" t="s">
        <v>321</v>
      </c>
      <c r="M35" s="50"/>
      <c r="N35" s="15"/>
      <c r="O35" s="15"/>
      <c r="P35" s="15"/>
      <c r="Q35" s="15"/>
      <c r="R35" s="15"/>
      <c r="S35" s="15"/>
      <c r="T35" s="15"/>
      <c r="U35" s="15"/>
      <c r="V35" s="29"/>
    </row>
    <row r="36" spans="1:26">
      <c r="A36" s="149"/>
      <c r="B36" s="149"/>
      <c r="C36" s="122" t="str">
        <f>Inputs!B16</f>
        <v>2012 ΔCPI, 8 index, lagged, no GST adjustment</v>
      </c>
      <c r="D36" s="50"/>
      <c r="E36" s="49"/>
      <c r="F36" s="49">
        <f>Inputs!E16</f>
        <v>2.465039108793543E-2</v>
      </c>
      <c r="G36" s="49">
        <f>Inputs!F16</f>
        <v>1.7811704834605591E-2</v>
      </c>
      <c r="H36" s="49">
        <f>Inputs!G16</f>
        <v>4.5909090909090899E-2</v>
      </c>
      <c r="I36" s="49">
        <f>Inputs!H16</f>
        <v>1.2820512820512775E-2</v>
      </c>
      <c r="J36" s="49">
        <f>Inputs!I16</f>
        <v>1.9725095732576747E-2</v>
      </c>
      <c r="K36" s="50"/>
      <c r="L36" s="196" t="s">
        <v>365</v>
      </c>
      <c r="M36" s="50"/>
      <c r="N36" s="15"/>
      <c r="O36" s="15"/>
      <c r="P36" s="15"/>
      <c r="Q36" s="15"/>
      <c r="R36" s="15"/>
      <c r="S36" s="15"/>
      <c r="T36" s="15"/>
      <c r="U36" s="15"/>
      <c r="V36" s="29"/>
    </row>
    <row r="37" spans="1:26" ht="15.75" thickBot="1">
      <c r="A37" s="149"/>
      <c r="B37" s="149"/>
      <c r="C37" s="122" t="str">
        <f>Inputs!B17</f>
        <v>2012 ΔCPI, 8 index, lagged, with GST adjustment</v>
      </c>
      <c r="D37" s="50"/>
      <c r="E37" s="49"/>
      <c r="F37" s="112">
        <f>Inputs!E17</f>
        <v>2.4650391087935652E-2</v>
      </c>
      <c r="G37" s="112">
        <f>Inputs!F17</f>
        <v>1.7811704834605369E-2</v>
      </c>
      <c r="H37" s="112">
        <f>Inputs!G17</f>
        <v>2.5401069518716568E-2</v>
      </c>
      <c r="I37" s="49">
        <f>Inputs!H17</f>
        <v>1.2820512820512775E-2</v>
      </c>
      <c r="J37" s="49">
        <f>Inputs!I17</f>
        <v>1.9725095732576747E-2</v>
      </c>
      <c r="K37" s="50"/>
      <c r="L37" s="219" t="s">
        <v>409</v>
      </c>
      <c r="M37" s="220"/>
      <c r="N37" s="220"/>
      <c r="O37" s="220"/>
      <c r="P37" s="220"/>
      <c r="Q37" s="220"/>
      <c r="R37" s="220"/>
      <c r="S37" s="220"/>
      <c r="T37" s="220"/>
      <c r="U37" s="220"/>
      <c r="V37" s="221"/>
    </row>
    <row r="38" spans="1:26">
      <c r="A38" s="149"/>
      <c r="B38" s="149"/>
      <c r="C38" s="122"/>
      <c r="D38" s="50"/>
      <c r="E38" s="49"/>
      <c r="F38" s="112"/>
      <c r="G38" s="112"/>
      <c r="H38" s="112"/>
      <c r="I38" s="49"/>
      <c r="J38" s="49"/>
      <c r="K38" s="49"/>
      <c r="L38" s="49"/>
      <c r="M38" s="49"/>
      <c r="N38" s="49"/>
      <c r="O38" s="49"/>
      <c r="P38" s="49"/>
      <c r="Q38" s="49"/>
      <c r="R38" s="49"/>
      <c r="S38" s="49"/>
      <c r="T38" s="49"/>
      <c r="U38" s="49"/>
      <c r="V38" s="49"/>
      <c r="W38" s="49"/>
      <c r="X38" s="49"/>
      <c r="Y38" s="49"/>
      <c r="Z38" s="49"/>
    </row>
    <row r="39" spans="1:26" ht="23.25">
      <c r="A39" s="50"/>
      <c r="B39" s="50"/>
      <c r="C39" s="1" t="s">
        <v>4</v>
      </c>
      <c r="D39" s="153" t="s">
        <v>36</v>
      </c>
      <c r="E39" s="153" t="s">
        <v>35</v>
      </c>
      <c r="F39" s="152"/>
      <c r="G39" s="152"/>
      <c r="H39" s="152"/>
      <c r="I39" s="152"/>
      <c r="J39" s="152"/>
      <c r="K39" s="152"/>
      <c r="L39" s="152"/>
      <c r="M39" s="152"/>
      <c r="N39" s="194"/>
      <c r="O39" s="194"/>
      <c r="P39" s="194"/>
    </row>
    <row r="40" spans="1:26">
      <c r="A40" s="50"/>
      <c r="B40" s="50"/>
      <c r="C40" s="50"/>
      <c r="D40" s="50"/>
      <c r="E40" s="154" t="s">
        <v>183</v>
      </c>
      <c r="F40" s="154" t="s">
        <v>184</v>
      </c>
      <c r="G40" s="154" t="s">
        <v>185</v>
      </c>
      <c r="H40" s="154" t="s">
        <v>186</v>
      </c>
      <c r="I40" s="154" t="s">
        <v>187</v>
      </c>
      <c r="J40" s="154" t="s">
        <v>188</v>
      </c>
      <c r="K40" s="154"/>
      <c r="L40" s="154"/>
      <c r="M40" s="48"/>
    </row>
    <row r="41" spans="1:26">
      <c r="A41" s="50"/>
      <c r="B41" s="50"/>
      <c r="C41" s="50" t="s">
        <v>129</v>
      </c>
      <c r="D41" s="50"/>
      <c r="E41" s="49">
        <f t="shared" ref="E41:J41" si="2">E33</f>
        <v>1.7233850022212005E-2</v>
      </c>
      <c r="F41" s="49">
        <f t="shared" si="2"/>
        <v>1.9812209526758329E-2</v>
      </c>
      <c r="G41" s="49">
        <f t="shared" si="2"/>
        <v>2.4339880629970168E-2</v>
      </c>
      <c r="H41" s="49">
        <f t="shared" si="2"/>
        <v>2.2893253753313525E-2</v>
      </c>
      <c r="I41" s="49">
        <f t="shared" si="2"/>
        <v>2.144662687665666E-2</v>
      </c>
      <c r="J41" s="49">
        <f t="shared" si="2"/>
        <v>2.0000000000000018E-2</v>
      </c>
      <c r="K41" s="51"/>
      <c r="L41" s="47"/>
      <c r="M41" s="15"/>
    </row>
    <row r="42" spans="1:26">
      <c r="A42" s="50"/>
      <c r="B42" s="50"/>
      <c r="C42" s="50" t="s">
        <v>163</v>
      </c>
      <c r="D42" s="50"/>
      <c r="E42" s="49"/>
      <c r="F42" s="49">
        <f>F34</f>
        <v>4.4667274384685429E-2</v>
      </c>
      <c r="G42" s="49">
        <f>G34</f>
        <v>1.5706806282722585E-2</v>
      </c>
      <c r="H42" s="49">
        <f>H34</f>
        <v>1.8041237113401998E-2</v>
      </c>
      <c r="I42" s="49">
        <f>I34</f>
        <v>1.7721518987341867E-2</v>
      </c>
      <c r="J42" s="49">
        <f>J34</f>
        <v>2.3217247097844007E-2</v>
      </c>
      <c r="K42" s="51"/>
      <c r="L42" s="47"/>
      <c r="M42" s="15"/>
    </row>
    <row r="43" spans="1:26">
      <c r="A43" s="50"/>
      <c r="B43" s="50"/>
      <c r="C43" s="50" t="s">
        <v>122</v>
      </c>
      <c r="D43" s="50"/>
      <c r="E43" s="130">
        <f>E23</f>
        <v>288.34864584099455</v>
      </c>
      <c r="F43" s="47">
        <f>E43*(1+F42)</f>
        <v>301.22839392322675</v>
      </c>
      <c r="G43" s="47">
        <f>F43*(1+G42)</f>
        <v>305.95972995343453</v>
      </c>
      <c r="H43" s="47">
        <f>G43*(1+H42)</f>
        <v>311.47962198867691</v>
      </c>
      <c r="I43" s="47">
        <f>H43*(1+I42)</f>
        <v>316.99951402391929</v>
      </c>
      <c r="J43" s="47">
        <f>I43*(1+J42)</f>
        <v>324.35937007090911</v>
      </c>
      <c r="K43" s="50"/>
      <c r="L43" s="47"/>
      <c r="M43" s="15"/>
    </row>
    <row r="44" spans="1:26">
      <c r="A44" s="50"/>
      <c r="B44" s="50"/>
      <c r="C44" s="50"/>
      <c r="D44" s="50"/>
      <c r="E44" s="51"/>
      <c r="F44" s="51"/>
      <c r="G44" s="51"/>
      <c r="H44" s="51"/>
      <c r="I44" s="51"/>
      <c r="J44" s="51"/>
      <c r="K44" s="51"/>
      <c r="L44" s="27"/>
      <c r="M44" s="15"/>
    </row>
    <row r="45" spans="1:26" ht="21">
      <c r="A45" s="50"/>
      <c r="B45" s="50"/>
      <c r="C45" s="155" t="s">
        <v>69</v>
      </c>
      <c r="D45" s="50"/>
      <c r="E45" s="50"/>
      <c r="F45" s="51"/>
      <c r="G45" s="51"/>
      <c r="H45" s="51"/>
      <c r="I45" s="51"/>
      <c r="J45" s="51"/>
      <c r="K45" s="51"/>
      <c r="L45" s="27"/>
      <c r="M45" s="15"/>
    </row>
    <row r="46" spans="1:26" ht="18">
      <c r="A46" s="50"/>
      <c r="B46" s="50"/>
      <c r="C46" s="50" t="s">
        <v>70</v>
      </c>
      <c r="D46" s="156">
        <f>'Timing Assumptions'!C23</f>
        <v>1.0428084742793051</v>
      </c>
      <c r="E46" s="50"/>
      <c r="F46" s="51"/>
      <c r="G46" s="51"/>
      <c r="H46" s="51"/>
      <c r="I46" s="51"/>
      <c r="J46" s="51"/>
      <c r="K46" s="51"/>
      <c r="L46" s="51"/>
      <c r="M46" s="15"/>
    </row>
    <row r="47" spans="1:26" ht="18">
      <c r="A47" s="50"/>
      <c r="B47" s="50"/>
      <c r="C47" s="50" t="s">
        <v>71</v>
      </c>
      <c r="D47" s="156">
        <f>'Timing Assumptions'!C24</f>
        <v>1.0428084742793051</v>
      </c>
      <c r="E47" s="50"/>
      <c r="F47" s="51"/>
      <c r="G47" s="51"/>
      <c r="H47" s="51"/>
      <c r="I47" s="51"/>
      <c r="J47" s="51"/>
      <c r="K47" s="51"/>
      <c r="L47" s="51"/>
      <c r="M47" s="15"/>
    </row>
    <row r="48" spans="1:26" ht="18">
      <c r="A48" s="50"/>
      <c r="B48" s="50"/>
      <c r="C48" s="50" t="s">
        <v>125</v>
      </c>
      <c r="D48" s="156">
        <f>'Timing Assumptions'!C25</f>
        <v>1.0428084742793051</v>
      </c>
      <c r="E48" s="50"/>
      <c r="F48" s="50"/>
      <c r="G48" s="51"/>
      <c r="H48" s="51"/>
      <c r="I48" s="51"/>
      <c r="J48" s="51"/>
      <c r="K48" s="95"/>
      <c r="L48" s="51"/>
      <c r="M48" s="15"/>
    </row>
    <row r="49" spans="1:16" ht="18">
      <c r="A49" s="50"/>
      <c r="B49" s="50"/>
      <c r="C49" s="50" t="s">
        <v>123</v>
      </c>
      <c r="D49" s="156">
        <f>'Timing Assumptions'!C26</f>
        <v>1.0428084742793051</v>
      </c>
      <c r="E49" s="50"/>
      <c r="F49" s="50"/>
      <c r="G49" s="51"/>
      <c r="H49" s="51"/>
      <c r="I49" s="51"/>
      <c r="J49" s="51"/>
      <c r="K49" s="95"/>
      <c r="L49" s="51"/>
      <c r="M49" s="15"/>
    </row>
    <row r="50" spans="1:16" ht="18">
      <c r="A50" s="50"/>
      <c r="B50" s="50"/>
      <c r="C50" s="50" t="s">
        <v>72</v>
      </c>
      <c r="D50" s="156">
        <f>'Timing Assumptions'!C27</f>
        <v>1.0346743941931567</v>
      </c>
      <c r="E50" s="51"/>
      <c r="F50" s="51"/>
      <c r="G50" s="51"/>
      <c r="H50" s="51"/>
      <c r="I50" s="50"/>
      <c r="J50" s="50"/>
      <c r="K50" s="95"/>
      <c r="L50" s="51"/>
      <c r="M50" s="15"/>
    </row>
    <row r="51" spans="1:16">
      <c r="A51" s="50"/>
      <c r="B51" s="50"/>
      <c r="C51" s="50"/>
      <c r="D51" s="50"/>
      <c r="E51" s="50"/>
      <c r="F51" s="50"/>
      <c r="G51" s="50"/>
      <c r="H51" s="50"/>
      <c r="I51" s="50"/>
      <c r="J51" s="50"/>
      <c r="K51" s="95"/>
      <c r="L51" s="27"/>
      <c r="M51" s="15"/>
    </row>
    <row r="52" spans="1:16" ht="21">
      <c r="A52" s="50"/>
      <c r="B52" s="50"/>
      <c r="C52" s="155" t="s">
        <v>105</v>
      </c>
      <c r="D52" s="155"/>
      <c r="E52" s="155"/>
      <c r="F52" s="155"/>
      <c r="G52" s="155"/>
      <c r="H52" s="155"/>
      <c r="I52" s="155"/>
      <c r="J52" s="155"/>
      <c r="K52" s="155"/>
      <c r="L52" s="157"/>
      <c r="M52" s="52"/>
      <c r="N52" s="2"/>
      <c r="O52" s="2"/>
      <c r="P52" s="2"/>
    </row>
    <row r="53" spans="1:16" ht="15.75">
      <c r="A53" s="50"/>
      <c r="B53" s="50"/>
      <c r="C53" s="158" t="s">
        <v>37</v>
      </c>
      <c r="D53" s="50"/>
      <c r="E53" s="159">
        <f>Inputs!D12</f>
        <v>0.3</v>
      </c>
      <c r="F53" s="159">
        <f>Inputs!E12</f>
        <v>0.3</v>
      </c>
      <c r="G53" s="159">
        <f>Inputs!F12</f>
        <v>0.28000000000000003</v>
      </c>
      <c r="H53" s="159">
        <f>Inputs!G12</f>
        <v>0.28000000000000003</v>
      </c>
      <c r="I53" s="159">
        <f>Inputs!H12</f>
        <v>0.28000000000000003</v>
      </c>
      <c r="J53" s="159">
        <f>Inputs!I12</f>
        <v>0.28000000000000003</v>
      </c>
      <c r="K53" s="95"/>
      <c r="L53" s="50"/>
      <c r="M53" s="15"/>
    </row>
    <row r="54" spans="1:16">
      <c r="A54" s="50"/>
      <c r="B54" s="50"/>
      <c r="C54" s="50" t="s">
        <v>38</v>
      </c>
      <c r="D54" s="50"/>
      <c r="E54" s="160">
        <f>E11/E14</f>
        <v>23.361578977145054</v>
      </c>
      <c r="F54" s="161">
        <f>E54-1</f>
        <v>22.361578977145054</v>
      </c>
      <c r="G54" s="161">
        <f>F54-1</f>
        <v>21.361578977145054</v>
      </c>
      <c r="H54" s="161">
        <f>G54-1</f>
        <v>20.361578977145054</v>
      </c>
      <c r="I54" s="161">
        <f>H54-1</f>
        <v>19.361578977145054</v>
      </c>
      <c r="J54" s="161">
        <f>I54-1</f>
        <v>18.361578977145054</v>
      </c>
      <c r="K54" s="95"/>
      <c r="L54" s="50"/>
      <c r="M54" s="15"/>
    </row>
    <row r="55" spans="1:16">
      <c r="A55" s="50"/>
      <c r="B55" s="50"/>
      <c r="C55" s="50" t="s">
        <v>159</v>
      </c>
      <c r="D55" s="50"/>
      <c r="E55" s="156"/>
      <c r="F55" s="49">
        <f>F34</f>
        <v>4.4667274384685429E-2</v>
      </c>
      <c r="G55" s="49">
        <f>G34</f>
        <v>1.5706806282722585E-2</v>
      </c>
      <c r="H55" s="49">
        <f>H34</f>
        <v>1.8041237113401998E-2</v>
      </c>
      <c r="I55" s="49">
        <f>I34</f>
        <v>1.7721518987341867E-2</v>
      </c>
      <c r="J55" s="49">
        <f>J34</f>
        <v>2.3217247097844007E-2</v>
      </c>
      <c r="K55" s="95"/>
      <c r="L55" s="50"/>
      <c r="M55" s="15"/>
    </row>
    <row r="56" spans="1:16">
      <c r="A56" s="50"/>
      <c r="B56" s="50"/>
      <c r="C56" s="50" t="s">
        <v>40</v>
      </c>
      <c r="D56" s="50"/>
      <c r="E56" s="129">
        <f>E15</f>
        <v>0</v>
      </c>
      <c r="F56" s="32">
        <f>E56*(1+F55)</f>
        <v>0</v>
      </c>
      <c r="G56" s="32">
        <f>F56*(1+G55)</f>
        <v>0</v>
      </c>
      <c r="H56" s="32">
        <f>G56*(1+H55)</f>
        <v>0</v>
      </c>
      <c r="I56" s="32">
        <f>H56*(1+I55)</f>
        <v>0</v>
      </c>
      <c r="J56" s="32">
        <f>I56*(1+J55)</f>
        <v>0</v>
      </c>
      <c r="K56" s="95"/>
      <c r="L56" s="50"/>
      <c r="M56" s="15"/>
    </row>
    <row r="57" spans="1:16">
      <c r="A57" s="50"/>
      <c r="B57" s="50"/>
      <c r="C57" s="50"/>
      <c r="D57" s="122"/>
      <c r="E57" s="50"/>
      <c r="F57" s="50"/>
      <c r="G57" s="50"/>
      <c r="H57" s="50"/>
      <c r="I57" s="50"/>
      <c r="J57" s="50"/>
      <c r="K57" s="95"/>
      <c r="L57" s="27"/>
      <c r="M57" s="15"/>
    </row>
    <row r="58" spans="1:16" ht="15.75">
      <c r="A58" s="50"/>
      <c r="B58" s="50"/>
      <c r="C58" s="162" t="s">
        <v>89</v>
      </c>
      <c r="D58" s="32"/>
      <c r="E58" s="163" t="str">
        <f>Inputs!D11</f>
        <v>2009/10</v>
      </c>
      <c r="F58" s="163" t="str">
        <f>Inputs!E11</f>
        <v>2010/11</v>
      </c>
      <c r="G58" s="163" t="str">
        <f>Inputs!F11</f>
        <v>2011/12</v>
      </c>
      <c r="H58" s="163" t="str">
        <f>Inputs!G11</f>
        <v>2012/13</v>
      </c>
      <c r="I58" s="163" t="str">
        <f>Inputs!H11</f>
        <v>2013/14</v>
      </c>
      <c r="J58" s="163" t="str">
        <f>Inputs!I11</f>
        <v>2014/15</v>
      </c>
      <c r="K58" s="95"/>
      <c r="L58" s="27"/>
      <c r="M58" s="15"/>
    </row>
    <row r="59" spans="1:16">
      <c r="A59" s="50"/>
      <c r="B59" s="50"/>
      <c r="C59" s="50" t="s">
        <v>110</v>
      </c>
      <c r="D59" s="50"/>
      <c r="E59" s="129">
        <f>E11</f>
        <v>149225</v>
      </c>
      <c r="F59" s="32">
        <f>E65</f>
        <v>145406.52480144083</v>
      </c>
      <c r="G59" s="32">
        <f>F65</f>
        <v>141781.95252547145</v>
      </c>
      <c r="H59" s="32">
        <f>G65</f>
        <v>138592.21614896649</v>
      </c>
      <c r="I59" s="32">
        <f>H65</f>
        <v>134955.31465496746</v>
      </c>
      <c r="J59" s="32">
        <f>I65</f>
        <v>130876.49271449186</v>
      </c>
      <c r="K59" s="95"/>
      <c r="L59" s="50"/>
      <c r="M59" s="15"/>
    </row>
    <row r="60" spans="1:16">
      <c r="A60" s="50"/>
      <c r="B60" s="50"/>
      <c r="C60" s="50" t="s">
        <v>40</v>
      </c>
      <c r="D60" s="32"/>
      <c r="E60" s="32">
        <f t="shared" ref="E60:J60" si="3">E56</f>
        <v>0</v>
      </c>
      <c r="F60" s="32">
        <f t="shared" si="3"/>
        <v>0</v>
      </c>
      <c r="G60" s="32">
        <f t="shared" si="3"/>
        <v>0</v>
      </c>
      <c r="H60" s="32">
        <f t="shared" si="3"/>
        <v>0</v>
      </c>
      <c r="I60" s="32">
        <f t="shared" si="3"/>
        <v>0</v>
      </c>
      <c r="J60" s="32">
        <f t="shared" si="3"/>
        <v>0</v>
      </c>
      <c r="K60" s="95"/>
      <c r="L60" s="50"/>
      <c r="M60" s="15"/>
    </row>
    <row r="61" spans="1:16">
      <c r="A61" s="50"/>
      <c r="B61" s="50"/>
      <c r="C61" s="50" t="s">
        <v>312</v>
      </c>
      <c r="D61" s="32"/>
      <c r="E61" s="32">
        <f>Tas!E12</f>
        <v>0</v>
      </c>
      <c r="F61" s="95"/>
      <c r="G61" s="95"/>
      <c r="H61" s="95"/>
      <c r="I61" s="95"/>
      <c r="J61" s="95"/>
      <c r="K61" s="95"/>
      <c r="L61" s="50"/>
      <c r="M61" s="15"/>
    </row>
    <row r="62" spans="1:16">
      <c r="A62" s="50"/>
      <c r="B62" s="50"/>
      <c r="C62" s="50" t="s">
        <v>313</v>
      </c>
      <c r="D62" s="32"/>
      <c r="E62" s="32">
        <f>Tas!E13</f>
        <v>0</v>
      </c>
      <c r="F62" s="95"/>
      <c r="G62" s="95"/>
      <c r="H62" s="95"/>
      <c r="I62" s="95"/>
      <c r="J62" s="95"/>
      <c r="K62" s="95"/>
      <c r="L62" s="50"/>
      <c r="M62" s="15"/>
    </row>
    <row r="63" spans="1:16">
      <c r="A63" s="50"/>
      <c r="B63" s="50"/>
      <c r="C63" s="50" t="s">
        <v>41</v>
      </c>
      <c r="D63" s="50"/>
      <c r="E63" s="32">
        <f t="shared" ref="E63:J63" si="4">(E59*0.999-E60)*E41</f>
        <v>2569.1495482950218</v>
      </c>
      <c r="F63" s="32">
        <f t="shared" si="4"/>
        <v>2877.9437113880031</v>
      </c>
      <c r="G63" s="32">
        <f t="shared" si="4"/>
        <v>3447.5048441541189</v>
      </c>
      <c r="H63" s="32">
        <f t="shared" si="4"/>
        <v>3169.6539457598337</v>
      </c>
      <c r="I63" s="32">
        <f t="shared" si="4"/>
        <v>2891.4419421484545</v>
      </c>
      <c r="J63" s="32">
        <f t="shared" si="4"/>
        <v>2614.9123244355496</v>
      </c>
      <c r="K63" s="95"/>
      <c r="L63" s="50"/>
      <c r="M63" s="15"/>
    </row>
    <row r="64" spans="1:16">
      <c r="A64" s="50"/>
      <c r="B64" s="50"/>
      <c r="C64" s="50" t="s">
        <v>42</v>
      </c>
      <c r="D64" s="50"/>
      <c r="E64" s="129">
        <f>E14</f>
        <v>6387.6247468541751</v>
      </c>
      <c r="F64" s="32">
        <f>F59/F54</f>
        <v>6502.5159873573994</v>
      </c>
      <c r="G64" s="32">
        <f>G59/G54</f>
        <v>6637.2412206590743</v>
      </c>
      <c r="H64" s="32">
        <f>H59/H54</f>
        <v>6806.5554397588685</v>
      </c>
      <c r="I64" s="32">
        <f>I59/I54</f>
        <v>6970.26388262406</v>
      </c>
      <c r="J64" s="32">
        <f>J59/J54</f>
        <v>7127.736284411917</v>
      </c>
      <c r="K64" s="95"/>
      <c r="L64" s="50"/>
      <c r="M64" s="15"/>
    </row>
    <row r="65" spans="1:13">
      <c r="A65" s="50"/>
      <c r="B65" s="50"/>
      <c r="C65" s="50" t="s">
        <v>43</v>
      </c>
      <c r="D65" s="50"/>
      <c r="E65" s="129">
        <f>E59-E60-E61+E62+E63-E64</f>
        <v>145406.52480144083</v>
      </c>
      <c r="F65" s="32">
        <f>F59-F60+F63-F64</f>
        <v>141781.95252547145</v>
      </c>
      <c r="G65" s="32">
        <f>G59-G60+G63-G64</f>
        <v>138592.21614896649</v>
      </c>
      <c r="H65" s="32">
        <f>H59-H60+H63-H64</f>
        <v>134955.31465496746</v>
      </c>
      <c r="I65" s="32">
        <f>I59-I60+I63-I64</f>
        <v>130876.49271449186</v>
      </c>
      <c r="J65" s="32">
        <f>J59-J60+J63-J64</f>
        <v>126363.6687545155</v>
      </c>
      <c r="K65" s="95"/>
      <c r="L65" s="50"/>
      <c r="M65" s="15"/>
    </row>
    <row r="66" spans="1:13">
      <c r="A66" s="50"/>
      <c r="B66" s="50"/>
      <c r="C66" s="50"/>
      <c r="D66" s="50"/>
      <c r="E66" s="50"/>
      <c r="F66" s="50"/>
      <c r="G66" s="50"/>
      <c r="H66" s="50"/>
      <c r="I66" s="50"/>
      <c r="J66" s="50"/>
      <c r="K66" s="95"/>
      <c r="L66" s="27"/>
      <c r="M66" s="15"/>
    </row>
    <row r="67" spans="1:13" ht="15.75">
      <c r="A67" s="50"/>
      <c r="B67" s="50"/>
      <c r="C67" s="162" t="s">
        <v>67</v>
      </c>
      <c r="D67" s="50"/>
      <c r="E67" s="162" t="str">
        <f>Inputs!D$11</f>
        <v>2009/10</v>
      </c>
      <c r="F67" s="162" t="str">
        <f>Inputs!E$11</f>
        <v>2010/11</v>
      </c>
      <c r="G67" s="162" t="str">
        <f>Inputs!F$11</f>
        <v>2011/12</v>
      </c>
      <c r="H67" s="162" t="str">
        <f>Inputs!G$11</f>
        <v>2012/13</v>
      </c>
      <c r="I67" s="162" t="str">
        <f>Inputs!H$11</f>
        <v>2013/14</v>
      </c>
      <c r="J67" s="162" t="str">
        <f>Inputs!I$11</f>
        <v>2014/15</v>
      </c>
      <c r="K67" s="95"/>
      <c r="L67" s="27"/>
      <c r="M67" s="15"/>
    </row>
    <row r="68" spans="1:13">
      <c r="A68" s="50"/>
      <c r="B68" s="50"/>
      <c r="C68" s="164" t="s">
        <v>60</v>
      </c>
      <c r="D68" s="50"/>
      <c r="E68" s="192">
        <v>1</v>
      </c>
      <c r="F68" s="164">
        <f>E68+1</f>
        <v>2</v>
      </c>
      <c r="G68" s="164">
        <f>F68+1</f>
        <v>3</v>
      </c>
      <c r="H68" s="164">
        <f>G68+1</f>
        <v>4</v>
      </c>
      <c r="I68" s="164">
        <f>H68+1</f>
        <v>5</v>
      </c>
      <c r="J68" s="164">
        <f>I68+1</f>
        <v>6</v>
      </c>
      <c r="K68" s="95"/>
      <c r="L68" s="27"/>
      <c r="M68" s="15"/>
    </row>
    <row r="69" spans="1:13">
      <c r="A69" s="50"/>
      <c r="B69" s="50"/>
      <c r="C69" s="50" t="s">
        <v>39</v>
      </c>
      <c r="D69" s="32"/>
      <c r="E69" s="32">
        <f t="shared" ref="E69:J69" si="5">E$29</f>
        <v>5287.6619658333329</v>
      </c>
      <c r="F69" s="32">
        <f t="shared" si="5"/>
        <v>8689.345789854653</v>
      </c>
      <c r="G69" s="32">
        <f t="shared" si="5"/>
        <v>7625.3990827172902</v>
      </c>
      <c r="H69" s="32">
        <f t="shared" si="5"/>
        <v>6390.7832933165973</v>
      </c>
      <c r="I69" s="32">
        <f t="shared" si="5"/>
        <v>5630.9176752704807</v>
      </c>
      <c r="J69" s="32">
        <f t="shared" si="5"/>
        <v>6405.8983114749644</v>
      </c>
      <c r="K69" s="95"/>
      <c r="L69" s="50"/>
      <c r="M69" s="15"/>
    </row>
    <row r="70" spans="1:13">
      <c r="A70" s="50">
        <v>1</v>
      </c>
      <c r="B70" s="50"/>
      <c r="C70" s="50" t="s">
        <v>254</v>
      </c>
      <c r="D70" s="50"/>
      <c r="E70" s="129">
        <v>0</v>
      </c>
      <c r="F70" s="32">
        <f t="shared" ref="F70:J75" si="6">E94</f>
        <v>5287.6619658333329</v>
      </c>
      <c r="G70" s="32">
        <f t="shared" si="6"/>
        <v>5274.9186333663529</v>
      </c>
      <c r="H70" s="32">
        <f t="shared" si="6"/>
        <v>5283.4250088406052</v>
      </c>
      <c r="I70" s="32">
        <f t="shared" si="6"/>
        <v>5281.5094492117905</v>
      </c>
      <c r="J70" s="32">
        <f t="shared" si="6"/>
        <v>5269.0297867333393</v>
      </c>
      <c r="K70" s="95"/>
      <c r="L70" s="50"/>
      <c r="M70" s="15"/>
    </row>
    <row r="71" spans="1:13">
      <c r="A71" s="50">
        <v>2</v>
      </c>
      <c r="B71" s="50"/>
      <c r="C71" s="50" t="s">
        <v>255</v>
      </c>
      <c r="D71" s="50"/>
      <c r="E71" s="129">
        <v>0</v>
      </c>
      <c r="F71" s="32">
        <f t="shared" si="6"/>
        <v>0</v>
      </c>
      <c r="G71" s="32">
        <f t="shared" si="6"/>
        <v>8689.345789854653</v>
      </c>
      <c r="H71" s="32">
        <f t="shared" si="6"/>
        <v>8707.7468560243669</v>
      </c>
      <c r="I71" s="32">
        <f t="shared" si="6"/>
        <v>8709.1921767820331</v>
      </c>
      <c r="J71" s="32">
        <f t="shared" si="6"/>
        <v>8693.4356188461552</v>
      </c>
      <c r="K71" s="95"/>
      <c r="L71" s="50"/>
      <c r="M71" s="15"/>
    </row>
    <row r="72" spans="1:13">
      <c r="A72" s="50">
        <v>3</v>
      </c>
      <c r="B72" s="50"/>
      <c r="C72" s="50" t="s">
        <v>256</v>
      </c>
      <c r="D72" s="50"/>
      <c r="E72" s="129">
        <v>0</v>
      </c>
      <c r="F72" s="32">
        <f t="shared" si="6"/>
        <v>0</v>
      </c>
      <c r="G72" s="32">
        <f t="shared" si="6"/>
        <v>0</v>
      </c>
      <c r="H72" s="32">
        <f t="shared" si="6"/>
        <v>7625.3990827172902</v>
      </c>
      <c r="I72" s="32">
        <f t="shared" si="6"/>
        <v>7630.5159659389483</v>
      </c>
      <c r="J72" s="32">
        <f t="shared" si="6"/>
        <v>7620.7439773291089</v>
      </c>
      <c r="K72" s="95"/>
      <c r="L72" s="50"/>
      <c r="M72" s="15"/>
    </row>
    <row r="73" spans="1:13">
      <c r="A73" s="50">
        <v>4</v>
      </c>
      <c r="B73" s="50"/>
      <c r="C73" s="50" t="s">
        <v>257</v>
      </c>
      <c r="D73" s="50"/>
      <c r="E73" s="129">
        <v>0</v>
      </c>
      <c r="F73" s="32">
        <f t="shared" si="6"/>
        <v>0</v>
      </c>
      <c r="G73" s="32">
        <f t="shared" si="6"/>
        <v>0</v>
      </c>
      <c r="H73" s="32">
        <f t="shared" si="6"/>
        <v>0</v>
      </c>
      <c r="I73" s="32">
        <f t="shared" si="6"/>
        <v>6390.7832933165973</v>
      </c>
      <c r="J73" s="32">
        <f t="shared" si="6"/>
        <v>6385.8266315397832</v>
      </c>
      <c r="K73" s="95"/>
      <c r="L73" s="50"/>
      <c r="M73" s="15"/>
    </row>
    <row r="74" spans="1:13">
      <c r="A74" s="50">
        <v>5</v>
      </c>
      <c r="B74" s="50"/>
      <c r="C74" s="50" t="s">
        <v>258</v>
      </c>
      <c r="D74" s="50"/>
      <c r="E74" s="129">
        <v>0</v>
      </c>
      <c r="F74" s="32">
        <f t="shared" si="6"/>
        <v>0</v>
      </c>
      <c r="G74" s="32">
        <f t="shared" si="6"/>
        <v>0</v>
      </c>
      <c r="H74" s="32">
        <f t="shared" si="6"/>
        <v>0</v>
      </c>
      <c r="I74" s="32">
        <f t="shared" si="6"/>
        <v>0</v>
      </c>
      <c r="J74" s="32">
        <f t="shared" si="6"/>
        <v>5630.9176752704807</v>
      </c>
      <c r="K74" s="95"/>
      <c r="L74" s="50"/>
      <c r="M74" s="15"/>
    </row>
    <row r="75" spans="1:13">
      <c r="A75" s="50">
        <v>6</v>
      </c>
      <c r="B75" s="50"/>
      <c r="C75" s="50" t="s">
        <v>259</v>
      </c>
      <c r="D75" s="50"/>
      <c r="E75" s="129">
        <v>0</v>
      </c>
      <c r="F75" s="32">
        <f t="shared" si="6"/>
        <v>0</v>
      </c>
      <c r="G75" s="32">
        <f t="shared" si="6"/>
        <v>0</v>
      </c>
      <c r="H75" s="32">
        <f t="shared" si="6"/>
        <v>0</v>
      </c>
      <c r="I75" s="32">
        <f t="shared" si="6"/>
        <v>0</v>
      </c>
      <c r="J75" s="32">
        <f t="shared" si="6"/>
        <v>0</v>
      </c>
      <c r="K75" s="95"/>
      <c r="L75" s="50"/>
      <c r="M75" s="15"/>
    </row>
    <row r="76" spans="1:13">
      <c r="A76" s="50">
        <v>1</v>
      </c>
      <c r="B76" s="50"/>
      <c r="C76" s="50" t="s">
        <v>236</v>
      </c>
      <c r="D76" s="50"/>
      <c r="E76" s="129">
        <f>Inputs!$C$7+$A76</f>
        <v>46</v>
      </c>
      <c r="F76" s="32">
        <f t="shared" ref="F76:J81" si="7">E76-1</f>
        <v>45</v>
      </c>
      <c r="G76" s="32">
        <f t="shared" si="7"/>
        <v>44</v>
      </c>
      <c r="H76" s="32">
        <f t="shared" si="7"/>
        <v>43</v>
      </c>
      <c r="I76" s="32">
        <f t="shared" si="7"/>
        <v>42</v>
      </c>
      <c r="J76" s="32">
        <f t="shared" si="7"/>
        <v>41</v>
      </c>
      <c r="K76" s="95"/>
      <c r="L76" s="50"/>
      <c r="M76" s="15"/>
    </row>
    <row r="77" spans="1:13">
      <c r="A77" s="50">
        <v>2</v>
      </c>
      <c r="B77" s="50"/>
      <c r="C77" s="50" t="s">
        <v>237</v>
      </c>
      <c r="D77" s="50"/>
      <c r="E77" s="129">
        <f>Inputs!$C$7+$A77</f>
        <v>47</v>
      </c>
      <c r="F77" s="32">
        <f t="shared" si="7"/>
        <v>46</v>
      </c>
      <c r="G77" s="32">
        <f t="shared" si="7"/>
        <v>45</v>
      </c>
      <c r="H77" s="32">
        <f t="shared" si="7"/>
        <v>44</v>
      </c>
      <c r="I77" s="32">
        <f t="shared" si="7"/>
        <v>43</v>
      </c>
      <c r="J77" s="32">
        <f t="shared" si="7"/>
        <v>42</v>
      </c>
      <c r="K77" s="95"/>
      <c r="L77" s="50"/>
      <c r="M77" s="15"/>
    </row>
    <row r="78" spans="1:13">
      <c r="A78" s="50">
        <v>3</v>
      </c>
      <c r="B78" s="50"/>
      <c r="C78" s="50" t="s">
        <v>238</v>
      </c>
      <c r="D78" s="50"/>
      <c r="E78" s="129">
        <f>Inputs!$C$7+$A78</f>
        <v>48</v>
      </c>
      <c r="F78" s="32">
        <f t="shared" si="7"/>
        <v>47</v>
      </c>
      <c r="G78" s="32">
        <f t="shared" si="7"/>
        <v>46</v>
      </c>
      <c r="H78" s="32">
        <f t="shared" si="7"/>
        <v>45</v>
      </c>
      <c r="I78" s="32">
        <f t="shared" si="7"/>
        <v>44</v>
      </c>
      <c r="J78" s="32">
        <f t="shared" si="7"/>
        <v>43</v>
      </c>
      <c r="K78" s="95"/>
      <c r="L78" s="50"/>
      <c r="M78" s="15"/>
    </row>
    <row r="79" spans="1:13">
      <c r="A79" s="50">
        <v>4</v>
      </c>
      <c r="B79" s="50"/>
      <c r="C79" s="50" t="s">
        <v>239</v>
      </c>
      <c r="D79" s="50"/>
      <c r="E79" s="129">
        <f>Inputs!$C$7+$A79</f>
        <v>49</v>
      </c>
      <c r="F79" s="32">
        <f t="shared" si="7"/>
        <v>48</v>
      </c>
      <c r="G79" s="32">
        <f t="shared" si="7"/>
        <v>47</v>
      </c>
      <c r="H79" s="32">
        <f t="shared" si="7"/>
        <v>46</v>
      </c>
      <c r="I79" s="32">
        <f t="shared" si="7"/>
        <v>45</v>
      </c>
      <c r="J79" s="32">
        <f t="shared" si="7"/>
        <v>44</v>
      </c>
      <c r="K79" s="95"/>
      <c r="L79" s="50"/>
      <c r="M79" s="15"/>
    </row>
    <row r="80" spans="1:13">
      <c r="A80" s="50">
        <v>5</v>
      </c>
      <c r="B80" s="50"/>
      <c r="C80" s="50" t="s">
        <v>240</v>
      </c>
      <c r="D80" s="50"/>
      <c r="E80" s="129">
        <f>Inputs!$C$7+$A80</f>
        <v>50</v>
      </c>
      <c r="F80" s="32">
        <f t="shared" si="7"/>
        <v>49</v>
      </c>
      <c r="G80" s="32">
        <f t="shared" si="7"/>
        <v>48</v>
      </c>
      <c r="H80" s="32">
        <f t="shared" si="7"/>
        <v>47</v>
      </c>
      <c r="I80" s="32">
        <f t="shared" si="7"/>
        <v>46</v>
      </c>
      <c r="J80" s="32">
        <f t="shared" si="7"/>
        <v>45</v>
      </c>
      <c r="K80" s="95"/>
      <c r="L80" s="50"/>
      <c r="M80" s="15"/>
    </row>
    <row r="81" spans="1:13">
      <c r="A81" s="50">
        <v>6</v>
      </c>
      <c r="B81" s="50"/>
      <c r="C81" s="50" t="s">
        <v>241</v>
      </c>
      <c r="D81" s="50"/>
      <c r="E81" s="129">
        <f>Inputs!$C$7+$A81</f>
        <v>51</v>
      </c>
      <c r="F81" s="32">
        <f t="shared" si="7"/>
        <v>50</v>
      </c>
      <c r="G81" s="32">
        <f t="shared" si="7"/>
        <v>49</v>
      </c>
      <c r="H81" s="32">
        <f t="shared" si="7"/>
        <v>48</v>
      </c>
      <c r="I81" s="32">
        <f t="shared" si="7"/>
        <v>47</v>
      </c>
      <c r="J81" s="32">
        <f t="shared" si="7"/>
        <v>46</v>
      </c>
      <c r="K81" s="95"/>
      <c r="L81" s="50"/>
      <c r="M81" s="15"/>
    </row>
    <row r="82" spans="1:13">
      <c r="A82" s="50">
        <v>1</v>
      </c>
      <c r="B82" s="50"/>
      <c r="C82" s="50" t="s">
        <v>260</v>
      </c>
      <c r="D82" s="50"/>
      <c r="E82" s="32">
        <f t="shared" ref="E82:J87" si="8">E70*E$41</f>
        <v>0</v>
      </c>
      <c r="F82" s="32">
        <f t="shared" si="8"/>
        <v>104.76026677376083</v>
      </c>
      <c r="G82" s="32">
        <f t="shared" si="8"/>
        <v>128.39088986894239</v>
      </c>
      <c r="H82" s="32">
        <f t="shared" si="8"/>
        <v>120.95478941399072</v>
      </c>
      <c r="I82" s="32">
        <f t="shared" si="8"/>
        <v>113.2705625027817</v>
      </c>
      <c r="J82" s="32">
        <f t="shared" si="8"/>
        <v>105.38059573466688</v>
      </c>
      <c r="K82" s="95"/>
      <c r="L82" s="50"/>
      <c r="M82" s="15"/>
    </row>
    <row r="83" spans="1:13">
      <c r="A83" s="50">
        <v>2</v>
      </c>
      <c r="B83" s="50"/>
      <c r="C83" s="50" t="s">
        <v>261</v>
      </c>
      <c r="D83" s="50"/>
      <c r="E83" s="32">
        <f t="shared" si="8"/>
        <v>0</v>
      </c>
      <c r="F83" s="32">
        <f t="shared" si="8"/>
        <v>0</v>
      </c>
      <c r="G83" s="32">
        <f t="shared" si="8"/>
        <v>211.49763927759611</v>
      </c>
      <c r="H83" s="32">
        <f t="shared" si="8"/>
        <v>199.34865839458388</v>
      </c>
      <c r="I83" s="32">
        <f t="shared" si="8"/>
        <v>186.78279501254147</v>
      </c>
      <c r="J83" s="32">
        <f t="shared" si="8"/>
        <v>173.86871237692327</v>
      </c>
      <c r="K83" s="95"/>
      <c r="L83" s="50"/>
      <c r="M83" s="15"/>
    </row>
    <row r="84" spans="1:13">
      <c r="A84" s="50">
        <v>3</v>
      </c>
      <c r="B84" s="50"/>
      <c r="C84" s="50" t="s">
        <v>262</v>
      </c>
      <c r="D84" s="50"/>
      <c r="E84" s="32">
        <f t="shared" si="8"/>
        <v>0</v>
      </c>
      <c r="F84" s="32">
        <f t="shared" si="8"/>
        <v>0</v>
      </c>
      <c r="G84" s="32">
        <f t="shared" si="8"/>
        <v>0</v>
      </c>
      <c r="H84" s="32">
        <f t="shared" si="8"/>
        <v>174.57019617093113</v>
      </c>
      <c r="I84" s="32">
        <f t="shared" si="8"/>
        <v>163.64882879786401</v>
      </c>
      <c r="J84" s="32">
        <f t="shared" si="8"/>
        <v>152.41487954658231</v>
      </c>
      <c r="K84" s="95"/>
      <c r="L84" s="50"/>
      <c r="M84" s="15"/>
    </row>
    <row r="85" spans="1:13">
      <c r="A85" s="50">
        <v>4</v>
      </c>
      <c r="B85" s="50"/>
      <c r="C85" s="50" t="s">
        <v>263</v>
      </c>
      <c r="D85" s="50"/>
      <c r="E85" s="32">
        <f t="shared" si="8"/>
        <v>0</v>
      </c>
      <c r="F85" s="32">
        <f t="shared" si="8"/>
        <v>0</v>
      </c>
      <c r="G85" s="32">
        <f t="shared" si="8"/>
        <v>0</v>
      </c>
      <c r="H85" s="32">
        <f t="shared" si="8"/>
        <v>0</v>
      </c>
      <c r="I85" s="32">
        <f t="shared" si="8"/>
        <v>137.06074474133212</v>
      </c>
      <c r="J85" s="32">
        <f t="shared" si="8"/>
        <v>127.71653263079578</v>
      </c>
      <c r="K85" s="95"/>
      <c r="L85" s="50"/>
      <c r="M85" s="15"/>
    </row>
    <row r="86" spans="1:13">
      <c r="A86" s="50">
        <v>5</v>
      </c>
      <c r="B86" s="50"/>
      <c r="C86" s="50" t="s">
        <v>264</v>
      </c>
      <c r="D86" s="50"/>
      <c r="E86" s="32">
        <f t="shared" si="8"/>
        <v>0</v>
      </c>
      <c r="F86" s="32">
        <f t="shared" si="8"/>
        <v>0</v>
      </c>
      <c r="G86" s="32">
        <f t="shared" si="8"/>
        <v>0</v>
      </c>
      <c r="H86" s="32">
        <f t="shared" si="8"/>
        <v>0</v>
      </c>
      <c r="I86" s="32">
        <f t="shared" si="8"/>
        <v>0</v>
      </c>
      <c r="J86" s="32">
        <f t="shared" si="8"/>
        <v>112.61835350540971</v>
      </c>
      <c r="K86" s="95"/>
      <c r="L86" s="50"/>
      <c r="M86" s="15"/>
    </row>
    <row r="87" spans="1:13">
      <c r="A87" s="50">
        <v>6</v>
      </c>
      <c r="B87" s="50"/>
      <c r="C87" s="50" t="s">
        <v>265</v>
      </c>
      <c r="D87" s="50"/>
      <c r="E87" s="32">
        <f t="shared" si="8"/>
        <v>0</v>
      </c>
      <c r="F87" s="32">
        <f t="shared" si="8"/>
        <v>0</v>
      </c>
      <c r="G87" s="32">
        <f t="shared" si="8"/>
        <v>0</v>
      </c>
      <c r="H87" s="32">
        <f t="shared" si="8"/>
        <v>0</v>
      </c>
      <c r="I87" s="32">
        <f t="shared" si="8"/>
        <v>0</v>
      </c>
      <c r="J87" s="32">
        <f t="shared" si="8"/>
        <v>0</v>
      </c>
      <c r="K87" s="95"/>
      <c r="L87" s="50"/>
      <c r="M87" s="15"/>
    </row>
    <row r="88" spans="1:13">
      <c r="A88" s="50">
        <v>1</v>
      </c>
      <c r="B88" s="50"/>
      <c r="C88" s="50" t="s">
        <v>266</v>
      </c>
      <c r="D88" s="50"/>
      <c r="E88" s="32">
        <f t="shared" ref="E88:J93" si="9">E70/E76</f>
        <v>0</v>
      </c>
      <c r="F88" s="32">
        <f t="shared" si="9"/>
        <v>117.50359924074073</v>
      </c>
      <c r="G88" s="32">
        <f t="shared" si="9"/>
        <v>119.88451439468984</v>
      </c>
      <c r="H88" s="32">
        <f t="shared" si="9"/>
        <v>122.87034904280478</v>
      </c>
      <c r="I88" s="32">
        <f t="shared" si="9"/>
        <v>125.7502249812331</v>
      </c>
      <c r="J88" s="32">
        <f t="shared" si="9"/>
        <v>128.51292162764241</v>
      </c>
      <c r="K88" s="95"/>
      <c r="L88" s="50"/>
      <c r="M88" s="15"/>
    </row>
    <row r="89" spans="1:13">
      <c r="A89" s="50">
        <v>2</v>
      </c>
      <c r="B89" s="50"/>
      <c r="C89" s="50" t="s">
        <v>267</v>
      </c>
      <c r="D89" s="50"/>
      <c r="E89" s="32">
        <f t="shared" si="9"/>
        <v>0</v>
      </c>
      <c r="F89" s="32">
        <f t="shared" si="9"/>
        <v>0</v>
      </c>
      <c r="G89" s="32">
        <f t="shared" si="9"/>
        <v>193.09657310788117</v>
      </c>
      <c r="H89" s="32">
        <f t="shared" si="9"/>
        <v>197.90333763691743</v>
      </c>
      <c r="I89" s="32">
        <f t="shared" si="9"/>
        <v>202.53935294841938</v>
      </c>
      <c r="J89" s="32">
        <f t="shared" si="9"/>
        <v>206.98656235347988</v>
      </c>
      <c r="K89" s="95"/>
      <c r="L89" s="50"/>
      <c r="M89" s="15"/>
    </row>
    <row r="90" spans="1:13">
      <c r="A90" s="50">
        <v>3</v>
      </c>
      <c r="B90" s="50"/>
      <c r="C90" s="50" t="s">
        <v>268</v>
      </c>
      <c r="D90" s="50"/>
      <c r="E90" s="32">
        <f t="shared" si="9"/>
        <v>0</v>
      </c>
      <c r="F90" s="32">
        <f t="shared" si="9"/>
        <v>0</v>
      </c>
      <c r="G90" s="32">
        <f t="shared" si="9"/>
        <v>0</v>
      </c>
      <c r="H90" s="32">
        <f t="shared" si="9"/>
        <v>169.45331294927311</v>
      </c>
      <c r="I90" s="32">
        <f t="shared" si="9"/>
        <v>173.42081740770337</v>
      </c>
      <c r="J90" s="32">
        <f t="shared" si="9"/>
        <v>177.22660412393276</v>
      </c>
      <c r="K90" s="95"/>
      <c r="L90" s="50"/>
      <c r="M90" s="15"/>
    </row>
    <row r="91" spans="1:13">
      <c r="A91" s="50">
        <v>4</v>
      </c>
      <c r="B91" s="50"/>
      <c r="C91" s="50" t="s">
        <v>269</v>
      </c>
      <c r="D91" s="50"/>
      <c r="E91" s="32">
        <f t="shared" si="9"/>
        <v>0</v>
      </c>
      <c r="F91" s="32">
        <f t="shared" si="9"/>
        <v>0</v>
      </c>
      <c r="G91" s="32">
        <f t="shared" si="9"/>
        <v>0</v>
      </c>
      <c r="H91" s="32">
        <f t="shared" si="9"/>
        <v>0</v>
      </c>
      <c r="I91" s="32">
        <f t="shared" si="9"/>
        <v>142.0174065181466</v>
      </c>
      <c r="J91" s="32">
        <f t="shared" si="9"/>
        <v>145.13242344408599</v>
      </c>
      <c r="K91" s="95"/>
      <c r="L91" s="50"/>
      <c r="M91" s="15"/>
    </row>
    <row r="92" spans="1:13">
      <c r="A92" s="50">
        <v>5</v>
      </c>
      <c r="B92" s="50"/>
      <c r="C92" s="50" t="s">
        <v>270</v>
      </c>
      <c r="D92" s="50"/>
      <c r="E92" s="32">
        <f t="shared" si="9"/>
        <v>0</v>
      </c>
      <c r="F92" s="32">
        <f t="shared" si="9"/>
        <v>0</v>
      </c>
      <c r="G92" s="32">
        <f t="shared" si="9"/>
        <v>0</v>
      </c>
      <c r="H92" s="32">
        <f t="shared" si="9"/>
        <v>0</v>
      </c>
      <c r="I92" s="32">
        <f t="shared" si="9"/>
        <v>0</v>
      </c>
      <c r="J92" s="32">
        <f t="shared" si="9"/>
        <v>125.13150389489957</v>
      </c>
      <c r="K92" s="95"/>
      <c r="L92" s="50"/>
      <c r="M92" s="15"/>
    </row>
    <row r="93" spans="1:13">
      <c r="A93" s="50">
        <v>6</v>
      </c>
      <c r="B93" s="50"/>
      <c r="C93" s="50" t="s">
        <v>271</v>
      </c>
      <c r="D93" s="50"/>
      <c r="E93" s="32">
        <f t="shared" si="9"/>
        <v>0</v>
      </c>
      <c r="F93" s="32">
        <f t="shared" si="9"/>
        <v>0</v>
      </c>
      <c r="G93" s="32">
        <f t="shared" si="9"/>
        <v>0</v>
      </c>
      <c r="H93" s="32">
        <f t="shared" si="9"/>
        <v>0</v>
      </c>
      <c r="I93" s="32">
        <f t="shared" si="9"/>
        <v>0</v>
      </c>
      <c r="J93" s="32">
        <f t="shared" si="9"/>
        <v>0</v>
      </c>
      <c r="K93" s="95"/>
      <c r="L93" s="50"/>
      <c r="M93" s="15"/>
    </row>
    <row r="94" spans="1:13">
      <c r="A94" s="50">
        <v>1</v>
      </c>
      <c r="B94" s="50"/>
      <c r="C94" s="50" t="s">
        <v>272</v>
      </c>
      <c r="D94" s="50"/>
      <c r="E94" s="32">
        <f t="shared" ref="E94:J99" si="10">E70+E82-E88+IF($A94=E$68,E$69,0)</f>
        <v>5287.6619658333329</v>
      </c>
      <c r="F94" s="32">
        <f t="shared" si="10"/>
        <v>5274.9186333663529</v>
      </c>
      <c r="G94" s="32">
        <f t="shared" si="10"/>
        <v>5283.4250088406052</v>
      </c>
      <c r="H94" s="32">
        <f t="shared" si="10"/>
        <v>5281.5094492117905</v>
      </c>
      <c r="I94" s="32">
        <f t="shared" si="10"/>
        <v>5269.0297867333393</v>
      </c>
      <c r="J94" s="32">
        <f t="shared" si="10"/>
        <v>5245.8974608403632</v>
      </c>
      <c r="K94" s="95"/>
      <c r="L94" s="50"/>
      <c r="M94" s="15"/>
    </row>
    <row r="95" spans="1:13">
      <c r="A95" s="50">
        <v>2</v>
      </c>
      <c r="B95" s="50"/>
      <c r="C95" s="50" t="s">
        <v>273</v>
      </c>
      <c r="D95" s="50"/>
      <c r="E95" s="32">
        <f t="shared" si="10"/>
        <v>0</v>
      </c>
      <c r="F95" s="32">
        <f t="shared" si="10"/>
        <v>8689.345789854653</v>
      </c>
      <c r="G95" s="32">
        <f t="shared" si="10"/>
        <v>8707.7468560243669</v>
      </c>
      <c r="H95" s="32">
        <f t="shared" si="10"/>
        <v>8709.1921767820331</v>
      </c>
      <c r="I95" s="32">
        <f t="shared" si="10"/>
        <v>8693.4356188461552</v>
      </c>
      <c r="J95" s="32">
        <f t="shared" si="10"/>
        <v>8660.3177688695978</v>
      </c>
      <c r="K95" s="95"/>
      <c r="L95" s="50"/>
      <c r="M95" s="15"/>
    </row>
    <row r="96" spans="1:13">
      <c r="A96" s="50">
        <v>3</v>
      </c>
      <c r="B96" s="50"/>
      <c r="C96" s="50" t="s">
        <v>274</v>
      </c>
      <c r="D96" s="50"/>
      <c r="E96" s="32">
        <f t="shared" si="10"/>
        <v>0</v>
      </c>
      <c r="F96" s="32">
        <f t="shared" si="10"/>
        <v>0</v>
      </c>
      <c r="G96" s="32">
        <f t="shared" si="10"/>
        <v>7625.3990827172902</v>
      </c>
      <c r="H96" s="32">
        <f t="shared" si="10"/>
        <v>7630.5159659389483</v>
      </c>
      <c r="I96" s="32">
        <f t="shared" si="10"/>
        <v>7620.7439773291089</v>
      </c>
      <c r="J96" s="32">
        <f t="shared" si="10"/>
        <v>7595.9322527517588</v>
      </c>
      <c r="K96" s="95"/>
      <c r="L96" s="50"/>
      <c r="M96" s="15"/>
    </row>
    <row r="97" spans="1:13">
      <c r="A97" s="50">
        <v>4</v>
      </c>
      <c r="B97" s="50"/>
      <c r="C97" s="50" t="s">
        <v>275</v>
      </c>
      <c r="D97" s="50"/>
      <c r="E97" s="32">
        <f t="shared" si="10"/>
        <v>0</v>
      </c>
      <c r="F97" s="32">
        <f t="shared" si="10"/>
        <v>0</v>
      </c>
      <c r="G97" s="32">
        <f t="shared" si="10"/>
        <v>0</v>
      </c>
      <c r="H97" s="32">
        <f t="shared" si="10"/>
        <v>6390.7832933165973</v>
      </c>
      <c r="I97" s="32">
        <f t="shared" si="10"/>
        <v>6385.8266315397832</v>
      </c>
      <c r="J97" s="32">
        <f t="shared" si="10"/>
        <v>6368.4107407264928</v>
      </c>
      <c r="K97" s="95"/>
      <c r="L97" s="50"/>
      <c r="M97" s="15"/>
    </row>
    <row r="98" spans="1:13">
      <c r="A98" s="50">
        <v>5</v>
      </c>
      <c r="B98" s="50"/>
      <c r="C98" s="50" t="s">
        <v>276</v>
      </c>
      <c r="D98" s="50"/>
      <c r="E98" s="32">
        <f t="shared" si="10"/>
        <v>0</v>
      </c>
      <c r="F98" s="32">
        <f t="shared" si="10"/>
        <v>0</v>
      </c>
      <c r="G98" s="32">
        <f t="shared" si="10"/>
        <v>0</v>
      </c>
      <c r="H98" s="32">
        <f t="shared" si="10"/>
        <v>0</v>
      </c>
      <c r="I98" s="32">
        <f t="shared" si="10"/>
        <v>5630.9176752704807</v>
      </c>
      <c r="J98" s="32">
        <f t="shared" si="10"/>
        <v>5618.4045248809907</v>
      </c>
      <c r="K98" s="95"/>
      <c r="L98" s="50"/>
      <c r="M98" s="15"/>
    </row>
    <row r="99" spans="1:13">
      <c r="A99" s="50">
        <v>6</v>
      </c>
      <c r="B99" s="50"/>
      <c r="C99" s="50" t="s">
        <v>277</v>
      </c>
      <c r="D99" s="50"/>
      <c r="E99" s="32">
        <f t="shared" si="10"/>
        <v>0</v>
      </c>
      <c r="F99" s="32">
        <f t="shared" si="10"/>
        <v>0</v>
      </c>
      <c r="G99" s="32">
        <f t="shared" si="10"/>
        <v>0</v>
      </c>
      <c r="H99" s="32">
        <f t="shared" si="10"/>
        <v>0</v>
      </c>
      <c r="I99" s="32">
        <f t="shared" si="10"/>
        <v>0</v>
      </c>
      <c r="J99" s="32">
        <f t="shared" si="10"/>
        <v>6405.8983114749644</v>
      </c>
      <c r="K99" s="95"/>
      <c r="L99" s="50"/>
      <c r="M99" s="15"/>
    </row>
    <row r="100" spans="1:13">
      <c r="A100" s="50"/>
      <c r="B100" s="50"/>
      <c r="C100" s="50" t="s">
        <v>146</v>
      </c>
      <c r="D100" s="50"/>
      <c r="E100" s="32">
        <f t="shared" ref="E100:J100" si="11">SUM(E70:E75)</f>
        <v>0</v>
      </c>
      <c r="F100" s="32">
        <f t="shared" si="11"/>
        <v>5287.6619658333329</v>
      </c>
      <c r="G100" s="32">
        <f t="shared" si="11"/>
        <v>13964.264423221006</v>
      </c>
      <c r="H100" s="32">
        <f t="shared" si="11"/>
        <v>21616.570947582262</v>
      </c>
      <c r="I100" s="32">
        <f t="shared" si="11"/>
        <v>28012.00088524937</v>
      </c>
      <c r="J100" s="32">
        <f t="shared" si="11"/>
        <v>33599.953689718866</v>
      </c>
      <c r="K100" s="95"/>
      <c r="L100" s="27"/>
      <c r="M100" s="15"/>
    </row>
    <row r="101" spans="1:13">
      <c r="A101" s="50"/>
      <c r="B101" s="50"/>
      <c r="C101" s="50" t="s">
        <v>147</v>
      </c>
      <c r="D101" s="50"/>
      <c r="E101" s="32">
        <f t="shared" ref="E101:J101" si="12">SUM(E82:E87)</f>
        <v>0</v>
      </c>
      <c r="F101" s="32">
        <f t="shared" si="12"/>
        <v>104.76026677376083</v>
      </c>
      <c r="G101" s="32">
        <f t="shared" si="12"/>
        <v>339.88852914653853</v>
      </c>
      <c r="H101" s="32">
        <f t="shared" si="12"/>
        <v>494.87364397950574</v>
      </c>
      <c r="I101" s="32">
        <f t="shared" si="12"/>
        <v>600.7629310545193</v>
      </c>
      <c r="J101" s="32">
        <f t="shared" si="12"/>
        <v>671.99907379437798</v>
      </c>
      <c r="K101" s="95"/>
      <c r="L101" s="27"/>
      <c r="M101" s="15"/>
    </row>
    <row r="102" spans="1:13">
      <c r="A102" s="50"/>
      <c r="B102" s="50"/>
      <c r="C102" s="50" t="s">
        <v>68</v>
      </c>
      <c r="D102" s="50"/>
      <c r="E102" s="32">
        <f t="shared" ref="E102:J102" si="13">SUM(E88:E93)</f>
        <v>0</v>
      </c>
      <c r="F102" s="32">
        <f t="shared" si="13"/>
        <v>117.50359924074073</v>
      </c>
      <c r="G102" s="32">
        <f t="shared" si="13"/>
        <v>312.98108750257103</v>
      </c>
      <c r="H102" s="32">
        <f t="shared" si="13"/>
        <v>490.22699962899537</v>
      </c>
      <c r="I102" s="32">
        <f t="shared" si="13"/>
        <v>643.72780185550243</v>
      </c>
      <c r="J102" s="32">
        <f t="shared" si="13"/>
        <v>782.99001544404052</v>
      </c>
      <c r="K102" s="95"/>
      <c r="L102" s="27"/>
      <c r="M102" s="15"/>
    </row>
    <row r="103" spans="1:13">
      <c r="A103" s="50"/>
      <c r="B103" s="50"/>
      <c r="C103" s="50" t="s">
        <v>148</v>
      </c>
      <c r="D103" s="50"/>
      <c r="E103" s="32">
        <f t="shared" ref="E103:J103" si="14">SUM(E94:E99)</f>
        <v>5287.6619658333329</v>
      </c>
      <c r="F103" s="32">
        <f t="shared" si="14"/>
        <v>13964.264423221006</v>
      </c>
      <c r="G103" s="32">
        <f t="shared" si="14"/>
        <v>21616.570947582262</v>
      </c>
      <c r="H103" s="32">
        <f t="shared" si="14"/>
        <v>28012.00088524937</v>
      </c>
      <c r="I103" s="32">
        <f t="shared" si="14"/>
        <v>33599.953689718866</v>
      </c>
      <c r="J103" s="32">
        <f t="shared" si="14"/>
        <v>39894.861059544164</v>
      </c>
      <c r="K103" s="95"/>
      <c r="L103" s="50"/>
      <c r="M103" s="15"/>
    </row>
    <row r="104" spans="1:13">
      <c r="A104" s="50"/>
      <c r="B104" s="50"/>
      <c r="C104" s="50"/>
      <c r="D104" s="50"/>
      <c r="E104" s="32"/>
      <c r="F104" s="32"/>
      <c r="G104" s="32"/>
      <c r="H104" s="32"/>
      <c r="I104" s="32"/>
      <c r="J104" s="32"/>
      <c r="K104" s="95"/>
      <c r="L104" s="50"/>
      <c r="M104" s="15"/>
    </row>
    <row r="105" spans="1:13" ht="15.75">
      <c r="A105" s="50"/>
      <c r="B105" s="50"/>
      <c r="C105" s="162" t="s">
        <v>121</v>
      </c>
      <c r="D105" s="50"/>
      <c r="E105" s="162" t="str">
        <f>Inputs!D$11</f>
        <v>2009/10</v>
      </c>
      <c r="F105" s="162" t="str">
        <f>Inputs!E$11</f>
        <v>2010/11</v>
      </c>
      <c r="G105" s="162" t="str">
        <f>Inputs!F$11</f>
        <v>2011/12</v>
      </c>
      <c r="H105" s="162" t="str">
        <f>Inputs!G$11</f>
        <v>2012/13</v>
      </c>
      <c r="I105" s="162" t="str">
        <f>Inputs!H$11</f>
        <v>2013/14</v>
      </c>
      <c r="J105" s="162" t="str">
        <f>Inputs!I$11</f>
        <v>2014/15</v>
      </c>
      <c r="K105" s="95"/>
      <c r="L105" s="50"/>
      <c r="M105" s="15"/>
    </row>
    <row r="106" spans="1:13">
      <c r="A106" s="50"/>
      <c r="B106" s="50"/>
      <c r="C106" s="164" t="s">
        <v>60</v>
      </c>
      <c r="D106" s="50"/>
      <c r="E106" s="164">
        <v>1</v>
      </c>
      <c r="F106" s="164">
        <v>2</v>
      </c>
      <c r="G106" s="164">
        <v>3</v>
      </c>
      <c r="H106" s="164">
        <v>4</v>
      </c>
      <c r="I106" s="164">
        <v>5</v>
      </c>
      <c r="J106" s="164">
        <v>6</v>
      </c>
      <c r="K106" s="95"/>
      <c r="L106" s="50"/>
      <c r="M106" s="15"/>
    </row>
    <row r="107" spans="1:13">
      <c r="A107" s="50"/>
      <c r="B107" s="50"/>
      <c r="C107" s="50" t="s">
        <v>39</v>
      </c>
      <c r="D107" s="32"/>
      <c r="E107" s="32">
        <f t="shared" ref="E107:J107" si="15">E$29</f>
        <v>5287.6619658333329</v>
      </c>
      <c r="F107" s="32">
        <f t="shared" si="15"/>
        <v>8689.345789854653</v>
      </c>
      <c r="G107" s="32">
        <f t="shared" si="15"/>
        <v>7625.3990827172902</v>
      </c>
      <c r="H107" s="32">
        <f t="shared" si="15"/>
        <v>6390.7832933165973</v>
      </c>
      <c r="I107" s="32">
        <f t="shared" si="15"/>
        <v>5630.9176752704807</v>
      </c>
      <c r="J107" s="32">
        <f t="shared" si="15"/>
        <v>6405.8983114749644</v>
      </c>
      <c r="K107" s="95"/>
      <c r="L107" s="50"/>
      <c r="M107" s="15"/>
    </row>
    <row r="108" spans="1:13">
      <c r="A108" s="50">
        <v>1</v>
      </c>
      <c r="B108" s="50"/>
      <c r="C108" s="50" t="s">
        <v>230</v>
      </c>
      <c r="D108" s="50"/>
      <c r="E108" s="129">
        <v>0</v>
      </c>
      <c r="F108" s="32">
        <f t="shared" ref="F108:J113" si="16">E126</f>
        <v>5287.6619658333329</v>
      </c>
      <c r="G108" s="32">
        <f t="shared" si="16"/>
        <v>5170.1583665925918</v>
      </c>
      <c r="H108" s="32">
        <f t="shared" si="16"/>
        <v>5052.6547673518508</v>
      </c>
      <c r="I108" s="32">
        <f t="shared" si="16"/>
        <v>4935.1511681111097</v>
      </c>
      <c r="J108" s="32">
        <f t="shared" si="16"/>
        <v>4817.6475688703686</v>
      </c>
      <c r="K108" s="95"/>
      <c r="L108" s="50"/>
      <c r="M108" s="15"/>
    </row>
    <row r="109" spans="1:13">
      <c r="A109" s="50">
        <v>2</v>
      </c>
      <c r="B109" s="50"/>
      <c r="C109" s="50" t="s">
        <v>231</v>
      </c>
      <c r="D109" s="50"/>
      <c r="E109" s="129">
        <v>0</v>
      </c>
      <c r="F109" s="32">
        <f t="shared" si="16"/>
        <v>0</v>
      </c>
      <c r="G109" s="32">
        <f t="shared" si="16"/>
        <v>8689.345789854653</v>
      </c>
      <c r="H109" s="32">
        <f t="shared" si="16"/>
        <v>8496.2492167467717</v>
      </c>
      <c r="I109" s="32">
        <f t="shared" si="16"/>
        <v>8303.1526436388904</v>
      </c>
      <c r="J109" s="32">
        <f t="shared" si="16"/>
        <v>8110.056070531009</v>
      </c>
      <c r="K109" s="95"/>
      <c r="L109" s="50"/>
      <c r="M109" s="15"/>
    </row>
    <row r="110" spans="1:13">
      <c r="A110" s="50">
        <v>3</v>
      </c>
      <c r="B110" s="50"/>
      <c r="C110" s="50" t="s">
        <v>232</v>
      </c>
      <c r="D110" s="50"/>
      <c r="E110" s="129">
        <v>0</v>
      </c>
      <c r="F110" s="32">
        <f t="shared" si="16"/>
        <v>0</v>
      </c>
      <c r="G110" s="32">
        <f t="shared" si="16"/>
        <v>0</v>
      </c>
      <c r="H110" s="32">
        <f t="shared" si="16"/>
        <v>7625.3990827172902</v>
      </c>
      <c r="I110" s="32">
        <f t="shared" si="16"/>
        <v>7455.9457697680173</v>
      </c>
      <c r="J110" s="32">
        <f t="shared" si="16"/>
        <v>7286.4924568187444</v>
      </c>
      <c r="K110" s="95"/>
      <c r="L110" s="50"/>
      <c r="M110" s="15"/>
    </row>
    <row r="111" spans="1:13">
      <c r="A111" s="50">
        <v>4</v>
      </c>
      <c r="B111" s="50"/>
      <c r="C111" s="50" t="s">
        <v>233</v>
      </c>
      <c r="D111" s="50"/>
      <c r="E111" s="129">
        <v>0</v>
      </c>
      <c r="F111" s="32">
        <f t="shared" si="16"/>
        <v>0</v>
      </c>
      <c r="G111" s="32">
        <f t="shared" si="16"/>
        <v>0</v>
      </c>
      <c r="H111" s="32">
        <f t="shared" si="16"/>
        <v>0</v>
      </c>
      <c r="I111" s="32">
        <f t="shared" si="16"/>
        <v>6390.7832933165973</v>
      </c>
      <c r="J111" s="32">
        <f t="shared" si="16"/>
        <v>6248.765886798451</v>
      </c>
      <c r="K111" s="95"/>
      <c r="L111" s="50"/>
      <c r="M111" s="15"/>
    </row>
    <row r="112" spans="1:13">
      <c r="A112" s="50">
        <v>5</v>
      </c>
      <c r="B112" s="50"/>
      <c r="C112" s="50" t="s">
        <v>234</v>
      </c>
      <c r="D112" s="50"/>
      <c r="E112" s="129">
        <v>0</v>
      </c>
      <c r="F112" s="32">
        <f t="shared" si="16"/>
        <v>0</v>
      </c>
      <c r="G112" s="32">
        <f t="shared" si="16"/>
        <v>0</v>
      </c>
      <c r="H112" s="32">
        <f t="shared" si="16"/>
        <v>0</v>
      </c>
      <c r="I112" s="32">
        <f t="shared" si="16"/>
        <v>0</v>
      </c>
      <c r="J112" s="32">
        <f t="shared" si="16"/>
        <v>5630.9176752704807</v>
      </c>
      <c r="K112" s="95"/>
      <c r="L112" s="50"/>
      <c r="M112" s="15"/>
    </row>
    <row r="113" spans="1:13">
      <c r="A113" s="50">
        <v>6</v>
      </c>
      <c r="B113" s="50"/>
      <c r="C113" s="50" t="s">
        <v>235</v>
      </c>
      <c r="D113" s="50"/>
      <c r="E113" s="129">
        <v>0</v>
      </c>
      <c r="F113" s="32">
        <f t="shared" si="16"/>
        <v>0</v>
      </c>
      <c r="G113" s="32">
        <f t="shared" si="16"/>
        <v>0</v>
      </c>
      <c r="H113" s="32">
        <f t="shared" si="16"/>
        <v>0</v>
      </c>
      <c r="I113" s="32">
        <f t="shared" si="16"/>
        <v>0</v>
      </c>
      <c r="J113" s="32">
        <f t="shared" si="16"/>
        <v>0</v>
      </c>
      <c r="K113" s="95"/>
      <c r="L113" s="50"/>
      <c r="M113" s="15"/>
    </row>
    <row r="114" spans="1:13">
      <c r="A114" s="50">
        <v>1</v>
      </c>
      <c r="B114" s="50"/>
      <c r="C114" s="50" t="s">
        <v>236</v>
      </c>
      <c r="D114" s="50"/>
      <c r="E114" s="129">
        <f>Inputs!$C$7+$A114</f>
        <v>46</v>
      </c>
      <c r="F114" s="32">
        <f t="shared" ref="F114:J119" si="17">E114-1</f>
        <v>45</v>
      </c>
      <c r="G114" s="32">
        <f t="shared" si="17"/>
        <v>44</v>
      </c>
      <c r="H114" s="32">
        <f t="shared" si="17"/>
        <v>43</v>
      </c>
      <c r="I114" s="32">
        <f t="shared" si="17"/>
        <v>42</v>
      </c>
      <c r="J114" s="32">
        <f t="shared" si="17"/>
        <v>41</v>
      </c>
      <c r="K114" s="95"/>
      <c r="L114" s="50"/>
      <c r="M114" s="15"/>
    </row>
    <row r="115" spans="1:13">
      <c r="A115" s="50">
        <v>2</v>
      </c>
      <c r="B115" s="50"/>
      <c r="C115" s="50" t="s">
        <v>237</v>
      </c>
      <c r="D115" s="50"/>
      <c r="E115" s="129">
        <f>Inputs!$C$7+$A115</f>
        <v>47</v>
      </c>
      <c r="F115" s="32">
        <f t="shared" si="17"/>
        <v>46</v>
      </c>
      <c r="G115" s="32">
        <f t="shared" si="17"/>
        <v>45</v>
      </c>
      <c r="H115" s="32">
        <f t="shared" si="17"/>
        <v>44</v>
      </c>
      <c r="I115" s="32">
        <f t="shared" si="17"/>
        <v>43</v>
      </c>
      <c r="J115" s="32">
        <f t="shared" si="17"/>
        <v>42</v>
      </c>
      <c r="K115" s="95"/>
      <c r="L115" s="50"/>
      <c r="M115" s="15"/>
    </row>
    <row r="116" spans="1:13">
      <c r="A116" s="50">
        <v>3</v>
      </c>
      <c r="B116" s="50"/>
      <c r="C116" s="50" t="s">
        <v>238</v>
      </c>
      <c r="D116" s="50"/>
      <c r="E116" s="129">
        <f>Inputs!$C$7+$A116</f>
        <v>48</v>
      </c>
      <c r="F116" s="32">
        <f t="shared" si="17"/>
        <v>47</v>
      </c>
      <c r="G116" s="32">
        <f t="shared" si="17"/>
        <v>46</v>
      </c>
      <c r="H116" s="32">
        <f t="shared" si="17"/>
        <v>45</v>
      </c>
      <c r="I116" s="32">
        <f t="shared" si="17"/>
        <v>44</v>
      </c>
      <c r="J116" s="32">
        <f t="shared" si="17"/>
        <v>43</v>
      </c>
      <c r="K116" s="95"/>
      <c r="L116" s="50"/>
      <c r="M116" s="15"/>
    </row>
    <row r="117" spans="1:13">
      <c r="A117" s="50">
        <v>4</v>
      </c>
      <c r="B117" s="50"/>
      <c r="C117" s="50" t="s">
        <v>239</v>
      </c>
      <c r="D117" s="50"/>
      <c r="E117" s="129">
        <f>Inputs!$C$7+$A117</f>
        <v>49</v>
      </c>
      <c r="F117" s="32">
        <f t="shared" si="17"/>
        <v>48</v>
      </c>
      <c r="G117" s="32">
        <f t="shared" si="17"/>
        <v>47</v>
      </c>
      <c r="H117" s="32">
        <f t="shared" si="17"/>
        <v>46</v>
      </c>
      <c r="I117" s="32">
        <f t="shared" si="17"/>
        <v>45</v>
      </c>
      <c r="J117" s="32">
        <f t="shared" si="17"/>
        <v>44</v>
      </c>
      <c r="K117" s="95"/>
      <c r="L117" s="50"/>
      <c r="M117" s="15"/>
    </row>
    <row r="118" spans="1:13">
      <c r="A118" s="50">
        <v>5</v>
      </c>
      <c r="B118" s="50"/>
      <c r="C118" s="50" t="s">
        <v>240</v>
      </c>
      <c r="D118" s="50"/>
      <c r="E118" s="129">
        <f>Inputs!$C$7+$A118</f>
        <v>50</v>
      </c>
      <c r="F118" s="32">
        <f t="shared" si="17"/>
        <v>49</v>
      </c>
      <c r="G118" s="32">
        <f t="shared" si="17"/>
        <v>48</v>
      </c>
      <c r="H118" s="32">
        <f t="shared" si="17"/>
        <v>47</v>
      </c>
      <c r="I118" s="32">
        <f t="shared" si="17"/>
        <v>46</v>
      </c>
      <c r="J118" s="32">
        <f t="shared" si="17"/>
        <v>45</v>
      </c>
      <c r="K118" s="95"/>
      <c r="L118" s="50"/>
      <c r="M118" s="15"/>
    </row>
    <row r="119" spans="1:13">
      <c r="A119" s="50">
        <v>6</v>
      </c>
      <c r="B119" s="50"/>
      <c r="C119" s="50" t="s">
        <v>241</v>
      </c>
      <c r="D119" s="50"/>
      <c r="E119" s="129">
        <f>Inputs!$C$7+$A119</f>
        <v>51</v>
      </c>
      <c r="F119" s="32">
        <f t="shared" si="17"/>
        <v>50</v>
      </c>
      <c r="G119" s="32">
        <f t="shared" si="17"/>
        <v>49</v>
      </c>
      <c r="H119" s="32">
        <f t="shared" si="17"/>
        <v>48</v>
      </c>
      <c r="I119" s="32">
        <f t="shared" si="17"/>
        <v>47</v>
      </c>
      <c r="J119" s="32">
        <f t="shared" si="17"/>
        <v>46</v>
      </c>
      <c r="K119" s="95"/>
      <c r="L119" s="50"/>
      <c r="M119" s="15"/>
    </row>
    <row r="120" spans="1:13">
      <c r="A120" s="50">
        <v>1</v>
      </c>
      <c r="B120" s="50"/>
      <c r="C120" s="50" t="s">
        <v>242</v>
      </c>
      <c r="D120" s="50"/>
      <c r="E120" s="32">
        <f t="shared" ref="E120:J125" si="18">E108/E114</f>
        <v>0</v>
      </c>
      <c r="F120" s="32">
        <f t="shared" si="18"/>
        <v>117.50359924074073</v>
      </c>
      <c r="G120" s="32">
        <f t="shared" si="18"/>
        <v>117.50359924074073</v>
      </c>
      <c r="H120" s="32">
        <f t="shared" si="18"/>
        <v>117.50359924074071</v>
      </c>
      <c r="I120" s="32">
        <f t="shared" si="18"/>
        <v>117.50359924074071</v>
      </c>
      <c r="J120" s="32">
        <f t="shared" si="18"/>
        <v>117.5035992407407</v>
      </c>
      <c r="K120" s="95"/>
      <c r="L120" s="50"/>
      <c r="M120" s="15"/>
    </row>
    <row r="121" spans="1:13">
      <c r="A121" s="50">
        <v>2</v>
      </c>
      <c r="B121" s="50"/>
      <c r="C121" s="50" t="s">
        <v>243</v>
      </c>
      <c r="D121" s="50"/>
      <c r="E121" s="32">
        <f t="shared" si="18"/>
        <v>0</v>
      </c>
      <c r="F121" s="32">
        <f t="shared" si="18"/>
        <v>0</v>
      </c>
      <c r="G121" s="32">
        <f t="shared" si="18"/>
        <v>193.09657310788117</v>
      </c>
      <c r="H121" s="32">
        <f t="shared" si="18"/>
        <v>193.09657310788117</v>
      </c>
      <c r="I121" s="32">
        <f t="shared" si="18"/>
        <v>193.09657310788117</v>
      </c>
      <c r="J121" s="32">
        <f t="shared" si="18"/>
        <v>193.09657310788117</v>
      </c>
      <c r="K121" s="95"/>
      <c r="L121" s="50"/>
      <c r="M121" s="15"/>
    </row>
    <row r="122" spans="1:13">
      <c r="A122" s="50">
        <v>3</v>
      </c>
      <c r="B122" s="50"/>
      <c r="C122" s="50" t="s">
        <v>244</v>
      </c>
      <c r="D122" s="50"/>
      <c r="E122" s="32">
        <f t="shared" si="18"/>
        <v>0</v>
      </c>
      <c r="F122" s="32">
        <f t="shared" si="18"/>
        <v>0</v>
      </c>
      <c r="G122" s="32">
        <f t="shared" si="18"/>
        <v>0</v>
      </c>
      <c r="H122" s="32">
        <f t="shared" si="18"/>
        <v>169.45331294927311</v>
      </c>
      <c r="I122" s="32">
        <f t="shared" si="18"/>
        <v>169.45331294927311</v>
      </c>
      <c r="J122" s="32">
        <f t="shared" si="18"/>
        <v>169.45331294927311</v>
      </c>
      <c r="K122" s="95"/>
      <c r="L122" s="50"/>
      <c r="M122" s="15"/>
    </row>
    <row r="123" spans="1:13">
      <c r="A123" s="50">
        <v>4</v>
      </c>
      <c r="B123" s="50"/>
      <c r="C123" s="50" t="s">
        <v>245</v>
      </c>
      <c r="D123" s="50"/>
      <c r="E123" s="32">
        <f t="shared" si="18"/>
        <v>0</v>
      </c>
      <c r="F123" s="32">
        <f t="shared" si="18"/>
        <v>0</v>
      </c>
      <c r="G123" s="32">
        <f t="shared" si="18"/>
        <v>0</v>
      </c>
      <c r="H123" s="32">
        <f t="shared" si="18"/>
        <v>0</v>
      </c>
      <c r="I123" s="32">
        <f t="shared" si="18"/>
        <v>142.0174065181466</v>
      </c>
      <c r="J123" s="32">
        <f t="shared" si="18"/>
        <v>142.0174065181466</v>
      </c>
      <c r="K123" s="95"/>
      <c r="L123" s="50"/>
      <c r="M123" s="15"/>
    </row>
    <row r="124" spans="1:13">
      <c r="A124" s="50">
        <v>5</v>
      </c>
      <c r="B124" s="50"/>
      <c r="C124" s="50" t="s">
        <v>246</v>
      </c>
      <c r="D124" s="50"/>
      <c r="E124" s="32">
        <f t="shared" si="18"/>
        <v>0</v>
      </c>
      <c r="F124" s="32">
        <f t="shared" si="18"/>
        <v>0</v>
      </c>
      <c r="G124" s="32">
        <f t="shared" si="18"/>
        <v>0</v>
      </c>
      <c r="H124" s="32">
        <f t="shared" si="18"/>
        <v>0</v>
      </c>
      <c r="I124" s="32">
        <f t="shared" si="18"/>
        <v>0</v>
      </c>
      <c r="J124" s="32">
        <f t="shared" si="18"/>
        <v>125.13150389489957</v>
      </c>
      <c r="K124" s="95"/>
      <c r="L124" s="50"/>
      <c r="M124" s="15"/>
    </row>
    <row r="125" spans="1:13">
      <c r="A125" s="50">
        <v>6</v>
      </c>
      <c r="B125" s="50"/>
      <c r="C125" s="50" t="s">
        <v>247</v>
      </c>
      <c r="D125" s="50"/>
      <c r="E125" s="32">
        <f t="shared" si="18"/>
        <v>0</v>
      </c>
      <c r="F125" s="32">
        <f t="shared" si="18"/>
        <v>0</v>
      </c>
      <c r="G125" s="32">
        <f t="shared" si="18"/>
        <v>0</v>
      </c>
      <c r="H125" s="32">
        <f t="shared" si="18"/>
        <v>0</v>
      </c>
      <c r="I125" s="32">
        <f t="shared" si="18"/>
        <v>0</v>
      </c>
      <c r="J125" s="32">
        <f t="shared" si="18"/>
        <v>0</v>
      </c>
      <c r="K125" s="95"/>
      <c r="L125" s="50"/>
      <c r="M125" s="15"/>
    </row>
    <row r="126" spans="1:13">
      <c r="A126" s="50">
        <v>1</v>
      </c>
      <c r="B126" s="50"/>
      <c r="C126" s="50" t="s">
        <v>248</v>
      </c>
      <c r="D126" s="50"/>
      <c r="E126" s="32">
        <f t="shared" ref="E126:J131" si="19">E108-E120+IF($A126=E$106,E$107,0)</f>
        <v>5287.6619658333329</v>
      </c>
      <c r="F126" s="32">
        <f t="shared" si="19"/>
        <v>5170.1583665925918</v>
      </c>
      <c r="G126" s="32">
        <f t="shared" si="19"/>
        <v>5052.6547673518508</v>
      </c>
      <c r="H126" s="32">
        <f t="shared" si="19"/>
        <v>4935.1511681111097</v>
      </c>
      <c r="I126" s="32">
        <f t="shared" si="19"/>
        <v>4817.6475688703686</v>
      </c>
      <c r="J126" s="32">
        <f t="shared" si="19"/>
        <v>4700.1439696296275</v>
      </c>
      <c r="K126" s="95"/>
      <c r="L126" s="50"/>
      <c r="M126" s="15"/>
    </row>
    <row r="127" spans="1:13">
      <c r="A127" s="50">
        <v>2</v>
      </c>
      <c r="B127" s="50"/>
      <c r="C127" s="50" t="s">
        <v>249</v>
      </c>
      <c r="D127" s="50"/>
      <c r="E127" s="32">
        <f t="shared" si="19"/>
        <v>0</v>
      </c>
      <c r="F127" s="32">
        <f t="shared" si="19"/>
        <v>8689.345789854653</v>
      </c>
      <c r="G127" s="32">
        <f t="shared" si="19"/>
        <v>8496.2492167467717</v>
      </c>
      <c r="H127" s="32">
        <f t="shared" si="19"/>
        <v>8303.1526436388904</v>
      </c>
      <c r="I127" s="32">
        <f t="shared" si="19"/>
        <v>8110.056070531009</v>
      </c>
      <c r="J127" s="32">
        <f t="shared" si="19"/>
        <v>7916.9594974231277</v>
      </c>
      <c r="K127" s="95"/>
      <c r="L127" s="50"/>
      <c r="M127" s="15"/>
    </row>
    <row r="128" spans="1:13">
      <c r="A128" s="50">
        <v>3</v>
      </c>
      <c r="B128" s="50"/>
      <c r="C128" s="50" t="s">
        <v>250</v>
      </c>
      <c r="D128" s="50"/>
      <c r="E128" s="32">
        <f t="shared" si="19"/>
        <v>0</v>
      </c>
      <c r="F128" s="32">
        <f t="shared" si="19"/>
        <v>0</v>
      </c>
      <c r="G128" s="32">
        <f t="shared" si="19"/>
        <v>7625.3990827172902</v>
      </c>
      <c r="H128" s="32">
        <f t="shared" si="19"/>
        <v>7455.9457697680173</v>
      </c>
      <c r="I128" s="32">
        <f t="shared" si="19"/>
        <v>7286.4924568187444</v>
      </c>
      <c r="J128" s="32">
        <f t="shared" si="19"/>
        <v>7117.0391438694714</v>
      </c>
      <c r="K128" s="95"/>
      <c r="L128" s="50"/>
      <c r="M128" s="15"/>
    </row>
    <row r="129" spans="1:13">
      <c r="A129" s="50">
        <v>4</v>
      </c>
      <c r="B129" s="50"/>
      <c r="C129" s="50" t="s">
        <v>251</v>
      </c>
      <c r="D129" s="50"/>
      <c r="E129" s="32">
        <f t="shared" si="19"/>
        <v>0</v>
      </c>
      <c r="F129" s="32">
        <f t="shared" si="19"/>
        <v>0</v>
      </c>
      <c r="G129" s="32">
        <f t="shared" si="19"/>
        <v>0</v>
      </c>
      <c r="H129" s="32">
        <f t="shared" si="19"/>
        <v>6390.7832933165973</v>
      </c>
      <c r="I129" s="32">
        <f t="shared" si="19"/>
        <v>6248.765886798451</v>
      </c>
      <c r="J129" s="32">
        <f t="shared" si="19"/>
        <v>6106.7484802803046</v>
      </c>
      <c r="K129" s="95"/>
      <c r="L129" s="50"/>
      <c r="M129" s="15"/>
    </row>
    <row r="130" spans="1:13">
      <c r="A130" s="50">
        <v>5</v>
      </c>
      <c r="B130" s="50"/>
      <c r="C130" s="50" t="s">
        <v>252</v>
      </c>
      <c r="D130" s="50"/>
      <c r="E130" s="32">
        <f t="shared" si="19"/>
        <v>0</v>
      </c>
      <c r="F130" s="32">
        <f t="shared" si="19"/>
        <v>0</v>
      </c>
      <c r="G130" s="32">
        <f t="shared" si="19"/>
        <v>0</v>
      </c>
      <c r="H130" s="32">
        <f t="shared" si="19"/>
        <v>0</v>
      </c>
      <c r="I130" s="32">
        <f t="shared" si="19"/>
        <v>5630.9176752704807</v>
      </c>
      <c r="J130" s="32">
        <f t="shared" si="19"/>
        <v>5505.786171375581</v>
      </c>
      <c r="K130" s="95"/>
      <c r="L130" s="50"/>
      <c r="M130" s="15"/>
    </row>
    <row r="131" spans="1:13">
      <c r="A131" s="50">
        <v>6</v>
      </c>
      <c r="B131" s="50"/>
      <c r="C131" s="50" t="s">
        <v>253</v>
      </c>
      <c r="D131" s="50"/>
      <c r="E131" s="32">
        <f t="shared" si="19"/>
        <v>0</v>
      </c>
      <c r="F131" s="32">
        <f t="shared" si="19"/>
        <v>0</v>
      </c>
      <c r="G131" s="32">
        <f t="shared" si="19"/>
        <v>0</v>
      </c>
      <c r="H131" s="32">
        <f t="shared" si="19"/>
        <v>0</v>
      </c>
      <c r="I131" s="32">
        <f t="shared" si="19"/>
        <v>0</v>
      </c>
      <c r="J131" s="32">
        <f t="shared" si="19"/>
        <v>6405.8983114749644</v>
      </c>
      <c r="K131" s="95"/>
      <c r="L131" s="50"/>
      <c r="M131" s="15"/>
    </row>
    <row r="132" spans="1:13">
      <c r="A132" s="50"/>
      <c r="B132" s="50"/>
      <c r="C132" s="50" t="s">
        <v>62</v>
      </c>
      <c r="D132" s="50"/>
      <c r="E132" s="32">
        <f t="shared" ref="E132:J132" si="20">SUM(E120:E125)</f>
        <v>0</v>
      </c>
      <c r="F132" s="32">
        <f t="shared" si="20"/>
        <v>117.50359924074073</v>
      </c>
      <c r="G132" s="32">
        <f t="shared" si="20"/>
        <v>310.60017234862187</v>
      </c>
      <c r="H132" s="32">
        <f t="shared" si="20"/>
        <v>480.05348529789501</v>
      </c>
      <c r="I132" s="32">
        <f t="shared" si="20"/>
        <v>622.07089181604158</v>
      </c>
      <c r="J132" s="32">
        <f t="shared" si="20"/>
        <v>747.20239571094112</v>
      </c>
      <c r="K132" s="95"/>
      <c r="L132" s="27"/>
      <c r="M132" s="15"/>
    </row>
    <row r="133" spans="1:13" s="15" customFormat="1">
      <c r="A133" s="50"/>
      <c r="B133" s="50"/>
      <c r="C133" s="50"/>
      <c r="D133" s="50"/>
      <c r="E133" s="32"/>
      <c r="F133" s="32"/>
      <c r="G133" s="32"/>
      <c r="H133" s="32"/>
      <c r="I133" s="32"/>
      <c r="J133" s="32"/>
      <c r="K133" s="95"/>
      <c r="L133" s="50"/>
    </row>
    <row r="134" spans="1:13" ht="15.75">
      <c r="A134" s="50"/>
      <c r="B134" s="50"/>
      <c r="C134" s="162" t="s">
        <v>63</v>
      </c>
      <c r="D134" s="50"/>
      <c r="E134" s="50"/>
      <c r="F134" s="50"/>
      <c r="G134" s="50"/>
      <c r="H134" s="50"/>
      <c r="I134" s="50"/>
      <c r="J134" s="50"/>
      <c r="K134" s="95"/>
      <c r="L134" s="50"/>
      <c r="M134" s="15"/>
    </row>
    <row r="135" spans="1:13">
      <c r="A135" s="50"/>
      <c r="B135" s="50"/>
      <c r="C135" s="50" t="s">
        <v>65</v>
      </c>
      <c r="D135" s="50"/>
      <c r="E135" s="129">
        <f>E59</f>
        <v>149225</v>
      </c>
      <c r="F135" s="32">
        <f>E140</f>
        <v>142837.37525314582</v>
      </c>
      <c r="G135" s="32">
        <f>F140</f>
        <v>136449.75050629163</v>
      </c>
      <c r="H135" s="32">
        <f>G140</f>
        <v>130062.12575943746</v>
      </c>
      <c r="I135" s="32">
        <f>H140</f>
        <v>123674.50101258329</v>
      </c>
      <c r="J135" s="32">
        <f>I140</f>
        <v>117286.87626572912</v>
      </c>
      <c r="K135" s="95"/>
      <c r="L135" s="50"/>
      <c r="M135" s="15"/>
    </row>
    <row r="136" spans="1:13">
      <c r="A136" s="50"/>
      <c r="B136" s="50"/>
      <c r="C136" s="50" t="s">
        <v>40</v>
      </c>
      <c r="D136" s="50"/>
      <c r="E136" s="32">
        <f t="shared" ref="E136:J136" si="21">E56</f>
        <v>0</v>
      </c>
      <c r="F136" s="32">
        <f t="shared" si="21"/>
        <v>0</v>
      </c>
      <c r="G136" s="32">
        <f t="shared" si="21"/>
        <v>0</v>
      </c>
      <c r="H136" s="32">
        <f t="shared" si="21"/>
        <v>0</v>
      </c>
      <c r="I136" s="32">
        <f t="shared" si="21"/>
        <v>0</v>
      </c>
      <c r="J136" s="32">
        <f t="shared" si="21"/>
        <v>0</v>
      </c>
      <c r="K136" s="95"/>
      <c r="L136" s="50"/>
      <c r="M136" s="15"/>
    </row>
    <row r="137" spans="1:13">
      <c r="A137" s="50"/>
      <c r="B137" s="50"/>
      <c r="C137" s="50" t="s">
        <v>312</v>
      </c>
      <c r="D137" s="50"/>
      <c r="E137" s="32">
        <f>Tas!E12</f>
        <v>0</v>
      </c>
      <c r="F137" s="32"/>
      <c r="G137" s="32"/>
      <c r="H137" s="32"/>
      <c r="I137" s="32"/>
      <c r="J137" s="32"/>
      <c r="K137" s="95"/>
      <c r="L137" s="50"/>
      <c r="M137" s="15"/>
    </row>
    <row r="138" spans="1:13">
      <c r="A138" s="50"/>
      <c r="B138" s="50"/>
      <c r="C138" s="50" t="s">
        <v>313</v>
      </c>
      <c r="D138" s="50"/>
      <c r="E138" s="32">
        <f>Tas!E13</f>
        <v>0</v>
      </c>
      <c r="F138" s="32"/>
      <c r="G138" s="32"/>
      <c r="H138" s="32"/>
      <c r="I138" s="32"/>
      <c r="J138" s="32"/>
      <c r="K138" s="95"/>
      <c r="L138" s="50"/>
      <c r="M138" s="15"/>
    </row>
    <row r="139" spans="1:13">
      <c r="A139" s="50"/>
      <c r="B139" s="50"/>
      <c r="C139" s="50" t="s">
        <v>64</v>
      </c>
      <c r="D139" s="50"/>
      <c r="E139" s="32">
        <f t="shared" ref="E139:J139" si="22">E135/E$54</f>
        <v>6387.6247468541751</v>
      </c>
      <c r="F139" s="32">
        <f t="shared" si="22"/>
        <v>6387.6247468541751</v>
      </c>
      <c r="G139" s="32">
        <f t="shared" si="22"/>
        <v>6387.6247468541742</v>
      </c>
      <c r="H139" s="32">
        <f t="shared" si="22"/>
        <v>6387.6247468541742</v>
      </c>
      <c r="I139" s="32">
        <f t="shared" si="22"/>
        <v>6387.6247468541751</v>
      </c>
      <c r="J139" s="32">
        <f t="shared" si="22"/>
        <v>6387.6247468541751</v>
      </c>
      <c r="K139" s="95"/>
      <c r="L139" s="50"/>
      <c r="M139" s="15"/>
    </row>
    <row r="140" spans="1:13">
      <c r="A140" s="50"/>
      <c r="B140" s="50"/>
      <c r="C140" s="50" t="s">
        <v>61</v>
      </c>
      <c r="D140" s="50"/>
      <c r="E140" s="129">
        <f>E135-E136-E137+E138-E139</f>
        <v>142837.37525314582</v>
      </c>
      <c r="F140" s="32">
        <f>F135-F136-F139</f>
        <v>136449.75050629163</v>
      </c>
      <c r="G140" s="32">
        <f>G135-G136-G139</f>
        <v>130062.12575943746</v>
      </c>
      <c r="H140" s="32">
        <f>H135-H136-H139</f>
        <v>123674.50101258329</v>
      </c>
      <c r="I140" s="32">
        <f>I135-I136-I139</f>
        <v>117286.87626572912</v>
      </c>
      <c r="J140" s="32">
        <f>J135-J136-J139</f>
        <v>110899.25151887495</v>
      </c>
      <c r="K140" s="95"/>
      <c r="L140" s="50"/>
      <c r="M140" s="15"/>
    </row>
    <row r="141" spans="1:13">
      <c r="A141" s="50"/>
      <c r="B141" s="50"/>
      <c r="C141" s="50"/>
      <c r="D141" s="50"/>
      <c r="E141" s="32"/>
      <c r="F141" s="32"/>
      <c r="G141" s="32"/>
      <c r="H141" s="32"/>
      <c r="I141" s="32"/>
      <c r="J141" s="32"/>
      <c r="K141" s="95"/>
      <c r="L141" s="27"/>
      <c r="M141" s="15"/>
    </row>
    <row r="142" spans="1:13" ht="15.75">
      <c r="A142" s="50"/>
      <c r="B142" s="50"/>
      <c r="C142" s="162" t="s">
        <v>66</v>
      </c>
      <c r="D142" s="50"/>
      <c r="E142" s="50"/>
      <c r="F142" s="50"/>
      <c r="G142" s="50"/>
      <c r="H142" s="50"/>
      <c r="I142" s="50"/>
      <c r="J142" s="50"/>
      <c r="K142" s="95"/>
      <c r="L142" s="27"/>
      <c r="M142" s="15"/>
    </row>
    <row r="143" spans="1:13">
      <c r="A143" s="50"/>
      <c r="B143" s="50"/>
      <c r="C143" s="50" t="s">
        <v>155</v>
      </c>
      <c r="D143" s="50"/>
      <c r="E143" s="32">
        <f t="shared" ref="E143:J143" si="23">E59+E100</f>
        <v>149225</v>
      </c>
      <c r="F143" s="32">
        <f t="shared" si="23"/>
        <v>150694.18676727416</v>
      </c>
      <c r="G143" s="32">
        <f t="shared" si="23"/>
        <v>155746.21694869245</v>
      </c>
      <c r="H143" s="32">
        <f t="shared" si="23"/>
        <v>160208.78709654874</v>
      </c>
      <c r="I143" s="32">
        <f t="shared" si="23"/>
        <v>162967.31554021683</v>
      </c>
      <c r="J143" s="32">
        <f t="shared" si="23"/>
        <v>164476.44640421073</v>
      </c>
      <c r="K143" s="95"/>
      <c r="L143" s="27"/>
      <c r="M143" s="15"/>
    </row>
    <row r="144" spans="1:13">
      <c r="A144" s="50"/>
      <c r="B144" s="50"/>
      <c r="C144" s="50" t="s">
        <v>154</v>
      </c>
      <c r="D144" s="50"/>
      <c r="E144" s="32">
        <f t="shared" ref="E144:J146" si="24">E63+E101</f>
        <v>2569.1495482950218</v>
      </c>
      <c r="F144" s="32">
        <f t="shared" si="24"/>
        <v>2982.7039781617641</v>
      </c>
      <c r="G144" s="32">
        <f t="shared" si="24"/>
        <v>3787.3933733006575</v>
      </c>
      <c r="H144" s="32">
        <f t="shared" si="24"/>
        <v>3664.5275897393394</v>
      </c>
      <c r="I144" s="32">
        <f t="shared" si="24"/>
        <v>3492.2048732029739</v>
      </c>
      <c r="J144" s="32">
        <f t="shared" si="24"/>
        <v>3286.9113982299277</v>
      </c>
      <c r="K144" s="95"/>
      <c r="L144" s="50"/>
      <c r="M144" s="15"/>
    </row>
    <row r="145" spans="1:13">
      <c r="A145" s="50"/>
      <c r="B145" s="50"/>
      <c r="C145" s="50" t="s">
        <v>153</v>
      </c>
      <c r="D145" s="50"/>
      <c r="E145" s="32">
        <f t="shared" si="24"/>
        <v>6387.6247468541751</v>
      </c>
      <c r="F145" s="32">
        <f t="shared" si="24"/>
        <v>6620.0195865981404</v>
      </c>
      <c r="G145" s="32">
        <f t="shared" si="24"/>
        <v>6950.2223081616457</v>
      </c>
      <c r="H145" s="32">
        <f t="shared" si="24"/>
        <v>7296.7824393878636</v>
      </c>
      <c r="I145" s="32">
        <f t="shared" si="24"/>
        <v>7613.9916844795625</v>
      </c>
      <c r="J145" s="32">
        <f t="shared" si="24"/>
        <v>7910.7262998559572</v>
      </c>
      <c r="K145" s="95"/>
      <c r="L145" s="50"/>
      <c r="M145" s="15"/>
    </row>
    <row r="146" spans="1:13">
      <c r="A146" s="50"/>
      <c r="B146" s="50"/>
      <c r="C146" s="50" t="s">
        <v>156</v>
      </c>
      <c r="D146" s="50"/>
      <c r="E146" s="32">
        <f t="shared" si="24"/>
        <v>150694.18676727416</v>
      </c>
      <c r="F146" s="32">
        <f t="shared" si="24"/>
        <v>155746.21694869245</v>
      </c>
      <c r="G146" s="32">
        <f t="shared" si="24"/>
        <v>160208.78709654874</v>
      </c>
      <c r="H146" s="32">
        <f t="shared" si="24"/>
        <v>162967.31554021683</v>
      </c>
      <c r="I146" s="32">
        <f t="shared" si="24"/>
        <v>164476.44640421073</v>
      </c>
      <c r="J146" s="32">
        <f t="shared" si="24"/>
        <v>166258.52981405967</v>
      </c>
      <c r="K146" s="95"/>
      <c r="L146" s="50"/>
      <c r="M146" s="15"/>
    </row>
    <row r="147" spans="1:13">
      <c r="A147" s="50"/>
      <c r="B147" s="50"/>
      <c r="C147" s="50" t="s">
        <v>45</v>
      </c>
      <c r="D147" s="50"/>
      <c r="E147" s="32">
        <f t="shared" ref="E147:J147" si="25">E132+E139</f>
        <v>6387.6247468541751</v>
      </c>
      <c r="F147" s="32">
        <f t="shared" si="25"/>
        <v>6505.1283460949162</v>
      </c>
      <c r="G147" s="32">
        <f t="shared" si="25"/>
        <v>6698.2249192027957</v>
      </c>
      <c r="H147" s="32">
        <f t="shared" si="25"/>
        <v>6867.6782321520695</v>
      </c>
      <c r="I147" s="32">
        <f t="shared" si="25"/>
        <v>7009.6956386702168</v>
      </c>
      <c r="J147" s="32">
        <f t="shared" si="25"/>
        <v>7134.8271425651164</v>
      </c>
      <c r="K147" s="95"/>
      <c r="L147" s="50"/>
      <c r="M147" s="15"/>
    </row>
    <row r="148" spans="1:13">
      <c r="A148" s="50"/>
      <c r="B148" s="50"/>
      <c r="C148" s="50" t="s">
        <v>178</v>
      </c>
      <c r="D148" s="50"/>
      <c r="E148" s="128"/>
      <c r="F148" s="165">
        <f>F143+F107+F144-F145-F56-F146</f>
        <v>0</v>
      </c>
      <c r="G148" s="165">
        <f>G143+G107+G144-G145-G56-G146</f>
        <v>0</v>
      </c>
      <c r="H148" s="165">
        <f>H143+H107+H144-H145-H56-H146</f>
        <v>0</v>
      </c>
      <c r="I148" s="165">
        <f>I143+I107+I144-I145-I56-I146</f>
        <v>0</v>
      </c>
      <c r="J148" s="165">
        <f>J143+J107+J144-J145-J56-J146</f>
        <v>0</v>
      </c>
      <c r="K148" s="95"/>
      <c r="L148" s="50"/>
      <c r="M148" s="15"/>
    </row>
    <row r="149" spans="1:13">
      <c r="A149" s="50"/>
      <c r="B149" s="50"/>
      <c r="C149" s="50"/>
      <c r="D149" s="50"/>
      <c r="E149" s="50"/>
      <c r="F149" s="32"/>
      <c r="G149" s="32"/>
      <c r="H149" s="50"/>
      <c r="I149" s="50"/>
      <c r="J149" s="50"/>
      <c r="K149" s="95"/>
      <c r="L149" s="50"/>
      <c r="M149" s="15"/>
    </row>
    <row r="150" spans="1:13" ht="15.75">
      <c r="A150" s="50"/>
      <c r="B150" s="50"/>
      <c r="C150" s="162" t="s">
        <v>90</v>
      </c>
      <c r="D150" s="50"/>
      <c r="E150" s="50"/>
      <c r="F150" s="50"/>
      <c r="G150" s="50"/>
      <c r="H150" s="50"/>
      <c r="I150" s="50"/>
      <c r="J150" s="50"/>
      <c r="K150" s="95"/>
      <c r="L150" s="50"/>
      <c r="M150" s="15"/>
    </row>
    <row r="151" spans="1:13" ht="15.75">
      <c r="A151" s="50"/>
      <c r="B151" s="50"/>
      <c r="C151" s="158" t="s">
        <v>160</v>
      </c>
      <c r="D151" s="50"/>
      <c r="E151" s="129"/>
      <c r="F151" s="166">
        <f>F143/$E143</f>
        <v>1.0098454465892053</v>
      </c>
      <c r="G151" s="166">
        <f>G143/$E143</f>
        <v>1.0437005659151781</v>
      </c>
      <c r="H151" s="166">
        <f>H143/$E143</f>
        <v>1.0736055426138298</v>
      </c>
      <c r="I151" s="166">
        <f>I143/$E143</f>
        <v>1.0920912416834769</v>
      </c>
      <c r="J151" s="166">
        <f>J143/$E143</f>
        <v>1.1022043652485223</v>
      </c>
      <c r="K151" s="95"/>
      <c r="L151" s="50"/>
      <c r="M151" s="15"/>
    </row>
    <row r="152" spans="1:13">
      <c r="A152" s="50"/>
      <c r="B152" s="50"/>
      <c r="C152" s="50" t="s">
        <v>90</v>
      </c>
      <c r="D152" s="50"/>
      <c r="E152" s="129">
        <f>IF(E20&gt;0,E20,0)</f>
        <v>0</v>
      </c>
      <c r="F152" s="32">
        <f>$E152*F151</f>
        <v>0</v>
      </c>
      <c r="G152" s="32">
        <f>$E152*G151</f>
        <v>0</v>
      </c>
      <c r="H152" s="32">
        <f>$E152*H151</f>
        <v>0</v>
      </c>
      <c r="I152" s="32">
        <f>$E152*I151</f>
        <v>0</v>
      </c>
      <c r="J152" s="32">
        <f>$E152*J151</f>
        <v>0</v>
      </c>
      <c r="K152" s="95"/>
      <c r="L152" s="50"/>
      <c r="M152" s="15"/>
    </row>
    <row r="153" spans="1:13">
      <c r="A153" s="50"/>
      <c r="B153" s="50"/>
      <c r="C153" s="50"/>
      <c r="D153" s="50"/>
      <c r="E153" s="50"/>
      <c r="F153" s="50"/>
      <c r="G153" s="50"/>
      <c r="H153" s="50"/>
      <c r="I153" s="50"/>
      <c r="J153" s="50"/>
      <c r="K153" s="95"/>
      <c r="L153" s="50"/>
      <c r="M153" s="15"/>
    </row>
    <row r="154" spans="1:13" ht="15.75">
      <c r="A154" s="50"/>
      <c r="B154" s="50"/>
      <c r="C154" s="162" t="s">
        <v>46</v>
      </c>
      <c r="D154" s="50"/>
      <c r="E154" s="50"/>
      <c r="F154" s="50"/>
      <c r="G154" s="50"/>
      <c r="H154" s="50"/>
      <c r="I154" s="50"/>
      <c r="J154" s="50"/>
      <c r="K154" s="95"/>
      <c r="L154" s="27"/>
      <c r="M154" s="15"/>
    </row>
    <row r="155" spans="1:13">
      <c r="A155" s="50"/>
      <c r="B155" s="50"/>
      <c r="C155" s="50" t="s">
        <v>157</v>
      </c>
      <c r="D155" s="49">
        <f>E17/E18</f>
        <v>9.0486342557070429E-2</v>
      </c>
      <c r="E155" s="50"/>
      <c r="F155" s="50"/>
      <c r="G155" s="50"/>
      <c r="H155" s="50"/>
      <c r="I155" s="50"/>
      <c r="J155" s="50"/>
      <c r="K155" s="95"/>
      <c r="L155" s="125"/>
      <c r="M155" s="15"/>
    </row>
    <row r="156" spans="1:13">
      <c r="A156" s="50"/>
      <c r="B156" s="50"/>
      <c r="C156" s="50" t="s">
        <v>167</v>
      </c>
      <c r="D156" s="50"/>
      <c r="E156" s="129">
        <f>E18</f>
        <v>41922.555983600039</v>
      </c>
      <c r="F156" s="32">
        <f>E159</f>
        <v>43416.799187833371</v>
      </c>
      <c r="G156" s="32">
        <f>F159</f>
        <v>48177.517613646196</v>
      </c>
      <c r="H156" s="32">
        <f>G159</f>
        <v>51443.509334025803</v>
      </c>
      <c r="I156" s="32">
        <f>H159</f>
        <v>53179.357619405891</v>
      </c>
      <c r="J156" s="32">
        <f>I159</f>
        <v>53998.269724161859</v>
      </c>
      <c r="K156" s="95"/>
      <c r="L156" s="125"/>
      <c r="M156" s="15"/>
    </row>
    <row r="157" spans="1:13">
      <c r="A157" s="50"/>
      <c r="B157" s="50"/>
      <c r="C157" s="50" t="s">
        <v>34</v>
      </c>
      <c r="D157" s="50"/>
      <c r="E157" s="129">
        <f>E17</f>
        <v>3793.4187615999958</v>
      </c>
      <c r="F157" s="32">
        <f>F156*$D155</f>
        <v>3928.6273640418276</v>
      </c>
      <c r="G157" s="32">
        <f>G156*$D155</f>
        <v>4359.4073623376844</v>
      </c>
      <c r="H157" s="32">
        <f>H156*$D155</f>
        <v>4654.9350079365086</v>
      </c>
      <c r="I157" s="32">
        <f>I156*$D155</f>
        <v>4812.0055705145151</v>
      </c>
      <c r="J157" s="32">
        <f>J156*$D155</f>
        <v>4886.1059317495947</v>
      </c>
      <c r="K157" s="95"/>
      <c r="L157" s="50"/>
      <c r="M157" s="15"/>
    </row>
    <row r="158" spans="1:13">
      <c r="A158" s="50"/>
      <c r="B158" s="50"/>
      <c r="C158" s="50" t="s">
        <v>98</v>
      </c>
      <c r="D158" s="50"/>
      <c r="E158" s="32">
        <f t="shared" ref="E158:J158" si="26">E29</f>
        <v>5287.6619658333329</v>
      </c>
      <c r="F158" s="32">
        <f t="shared" si="26"/>
        <v>8689.345789854653</v>
      </c>
      <c r="G158" s="32">
        <f t="shared" si="26"/>
        <v>7625.3990827172902</v>
      </c>
      <c r="H158" s="32">
        <f t="shared" si="26"/>
        <v>6390.7832933165973</v>
      </c>
      <c r="I158" s="32">
        <f t="shared" si="26"/>
        <v>5630.9176752704807</v>
      </c>
      <c r="J158" s="32">
        <f t="shared" si="26"/>
        <v>6405.8983114749644</v>
      </c>
      <c r="K158" s="95"/>
      <c r="L158" s="125"/>
      <c r="M158" s="15"/>
    </row>
    <row r="159" spans="1:13">
      <c r="A159" s="50"/>
      <c r="B159" s="50"/>
      <c r="C159" s="50" t="s">
        <v>127</v>
      </c>
      <c r="D159" s="50"/>
      <c r="E159" s="32">
        <f t="shared" ref="E159:J159" si="27">E156-E157+E158</f>
        <v>43416.799187833371</v>
      </c>
      <c r="F159" s="32">
        <f t="shared" si="27"/>
        <v>48177.517613646196</v>
      </c>
      <c r="G159" s="32">
        <f t="shared" si="27"/>
        <v>51443.509334025803</v>
      </c>
      <c r="H159" s="32">
        <f t="shared" si="27"/>
        <v>53179.357619405891</v>
      </c>
      <c r="I159" s="32">
        <f t="shared" si="27"/>
        <v>53998.269724161859</v>
      </c>
      <c r="J159" s="32">
        <f t="shared" si="27"/>
        <v>55518.062103887227</v>
      </c>
      <c r="K159" s="95"/>
      <c r="L159" s="125"/>
      <c r="M159" s="15"/>
    </row>
    <row r="160" spans="1:13">
      <c r="A160" s="50"/>
      <c r="B160" s="50"/>
      <c r="C160" s="50"/>
      <c r="D160" s="50"/>
      <c r="E160" s="50"/>
      <c r="F160" s="50"/>
      <c r="G160" s="50"/>
      <c r="H160" s="50"/>
      <c r="I160" s="50"/>
      <c r="J160" s="50"/>
      <c r="K160" s="95"/>
      <c r="L160" s="27"/>
      <c r="M160" s="15"/>
    </row>
    <row r="161" spans="1:13" ht="15.75">
      <c r="A161" s="50"/>
      <c r="B161" s="50"/>
      <c r="C161" s="162" t="s">
        <v>128</v>
      </c>
      <c r="D161" s="50"/>
      <c r="E161" s="50"/>
      <c r="F161" s="50"/>
      <c r="G161" s="50"/>
      <c r="H161" s="50"/>
      <c r="I161" s="50"/>
      <c r="J161" s="50"/>
      <c r="K161" s="95"/>
      <c r="L161" s="27"/>
      <c r="M161" s="15"/>
    </row>
    <row r="162" spans="1:13">
      <c r="A162" s="50"/>
      <c r="B162" s="50"/>
      <c r="C162" s="50" t="s">
        <v>126</v>
      </c>
      <c r="D162" s="50"/>
      <c r="E162" s="32">
        <f t="shared" ref="E162:J162" si="28">E147-E157</f>
        <v>2594.2059852541793</v>
      </c>
      <c r="F162" s="32">
        <f t="shared" si="28"/>
        <v>2576.5009820530886</v>
      </c>
      <c r="G162" s="32">
        <f t="shared" si="28"/>
        <v>2338.8175568651113</v>
      </c>
      <c r="H162" s="32">
        <f t="shared" si="28"/>
        <v>2212.743224215561</v>
      </c>
      <c r="I162" s="32">
        <f t="shared" si="28"/>
        <v>2197.6900681557017</v>
      </c>
      <c r="J162" s="32">
        <f t="shared" si="28"/>
        <v>2248.7212108155218</v>
      </c>
      <c r="K162" s="95"/>
      <c r="L162" s="50"/>
      <c r="M162" s="15"/>
    </row>
    <row r="163" spans="1:13">
      <c r="A163" s="50"/>
      <c r="B163" s="50"/>
      <c r="C163" s="50"/>
      <c r="D163" s="50"/>
      <c r="E163" s="50"/>
      <c r="F163" s="50"/>
      <c r="G163" s="50"/>
      <c r="H163" s="50"/>
      <c r="I163" s="50"/>
      <c r="J163" s="50"/>
      <c r="K163" s="95"/>
      <c r="L163" s="50"/>
      <c r="M163" s="15"/>
    </row>
    <row r="164" spans="1:13" ht="15.75">
      <c r="A164" s="50"/>
      <c r="B164" s="50"/>
      <c r="C164" s="162" t="s">
        <v>47</v>
      </c>
      <c r="D164" s="50"/>
      <c r="E164" s="50"/>
      <c r="F164" s="50"/>
      <c r="G164" s="50"/>
      <c r="H164" s="50"/>
      <c r="I164" s="50"/>
      <c r="J164" s="50"/>
      <c r="K164" s="95"/>
      <c r="L164" s="50"/>
      <c r="M164" s="15"/>
    </row>
    <row r="165" spans="1:13">
      <c r="A165" s="50"/>
      <c r="B165" s="50"/>
      <c r="C165" s="50" t="s">
        <v>151</v>
      </c>
      <c r="D165" s="50"/>
      <c r="E165" s="193">
        <v>0</v>
      </c>
      <c r="F165" s="31">
        <f>E168</f>
        <v>-198.50752480234055</v>
      </c>
      <c r="G165" s="31">
        <f>F168</f>
        <v>-402.32655056500829</v>
      </c>
      <c r="H165" s="31">
        <f>G168</f>
        <v>-659.10900032946518</v>
      </c>
      <c r="I165" s="31">
        <f>H168</f>
        <v>-951.19226323579619</v>
      </c>
      <c r="J165" s="31">
        <f>I168</f>
        <v>-1247.4904098388879</v>
      </c>
      <c r="K165" s="95"/>
      <c r="L165" s="50"/>
      <c r="M165" s="15"/>
    </row>
    <row r="166" spans="1:13">
      <c r="A166" s="50"/>
      <c r="B166" s="50"/>
      <c r="C166" s="50" t="s">
        <v>126</v>
      </c>
      <c r="D166" s="50"/>
      <c r="E166" s="32">
        <f t="shared" ref="E166:J166" si="29">E162</f>
        <v>2594.2059852541793</v>
      </c>
      <c r="F166" s="32">
        <f t="shared" si="29"/>
        <v>2576.5009820530886</v>
      </c>
      <c r="G166" s="32">
        <f t="shared" si="29"/>
        <v>2338.8175568651113</v>
      </c>
      <c r="H166" s="32">
        <f t="shared" si="29"/>
        <v>2212.743224215561</v>
      </c>
      <c r="I166" s="32">
        <f t="shared" si="29"/>
        <v>2197.6900681557017</v>
      </c>
      <c r="J166" s="32">
        <f t="shared" si="29"/>
        <v>2248.7212108155218</v>
      </c>
      <c r="K166" s="95"/>
      <c r="L166" s="50"/>
      <c r="M166" s="15"/>
    </row>
    <row r="167" spans="1:13">
      <c r="A167" s="50"/>
      <c r="B167" s="50"/>
      <c r="C167" s="50" t="s">
        <v>48</v>
      </c>
      <c r="D167" s="50"/>
      <c r="E167" s="129">
        <f>(E11-E18)/E19</f>
        <v>3255.8977345953144</v>
      </c>
      <c r="F167" s="32">
        <f>E167</f>
        <v>3255.8977345953144</v>
      </c>
      <c r="G167" s="32">
        <f>F167</f>
        <v>3255.8977345953144</v>
      </c>
      <c r="H167" s="32">
        <f>G167</f>
        <v>3255.8977345953144</v>
      </c>
      <c r="I167" s="32">
        <f>H167</f>
        <v>3255.8977345953144</v>
      </c>
      <c r="J167" s="32">
        <f>I167</f>
        <v>3255.8977345953144</v>
      </c>
      <c r="K167" s="95"/>
      <c r="L167" s="50"/>
      <c r="M167" s="15"/>
    </row>
    <row r="168" spans="1:13">
      <c r="A168" s="50"/>
      <c r="B168" s="50"/>
      <c r="C168" s="50" t="s">
        <v>152</v>
      </c>
      <c r="D168" s="50"/>
      <c r="E168" s="31">
        <f t="shared" ref="E168:J168" si="30">E165+(E166-E167)*E53</f>
        <v>-198.50752480234055</v>
      </c>
      <c r="F168" s="31">
        <f t="shared" si="30"/>
        <v>-402.32655056500829</v>
      </c>
      <c r="G168" s="31">
        <f t="shared" si="30"/>
        <v>-659.10900032946518</v>
      </c>
      <c r="H168" s="31">
        <f t="shared" si="30"/>
        <v>-951.19226323579619</v>
      </c>
      <c r="I168" s="31">
        <f t="shared" si="30"/>
        <v>-1247.4904098388879</v>
      </c>
      <c r="J168" s="31">
        <f t="shared" si="30"/>
        <v>-1529.4998364972298</v>
      </c>
      <c r="K168" s="95"/>
      <c r="L168" s="50"/>
      <c r="M168" s="15"/>
    </row>
    <row r="169" spans="1:13">
      <c r="A169" s="50"/>
      <c r="B169" s="50"/>
      <c r="C169" s="50"/>
      <c r="D169" s="50"/>
      <c r="E169" s="31"/>
      <c r="F169" s="31"/>
      <c r="G169" s="31"/>
      <c r="H169" s="31"/>
      <c r="I169" s="31"/>
      <c r="J169" s="31"/>
      <c r="K169" s="95"/>
      <c r="L169" s="27"/>
      <c r="M169" s="15"/>
    </row>
    <row r="170" spans="1:13" ht="15.75">
      <c r="A170" s="50"/>
      <c r="B170" s="50"/>
      <c r="C170" s="162" t="s">
        <v>196</v>
      </c>
      <c r="D170" s="50"/>
      <c r="E170" s="50"/>
      <c r="F170" s="50"/>
      <c r="G170" s="50"/>
      <c r="H170" s="50"/>
      <c r="I170" s="50"/>
      <c r="J170" s="50"/>
      <c r="K170" s="95"/>
      <c r="L170" s="27"/>
      <c r="M170" s="15"/>
    </row>
    <row r="171" spans="1:13">
      <c r="A171" s="50"/>
      <c r="B171" s="50"/>
      <c r="C171" s="50" t="s">
        <v>106</v>
      </c>
      <c r="D171" s="50"/>
      <c r="E171" s="32">
        <f t="shared" ref="E171:J171" si="31">E143+E165</f>
        <v>149225</v>
      </c>
      <c r="F171" s="32">
        <f t="shared" si="31"/>
        <v>150495.67924247182</v>
      </c>
      <c r="G171" s="32">
        <f t="shared" si="31"/>
        <v>155343.89039812743</v>
      </c>
      <c r="H171" s="32">
        <f t="shared" si="31"/>
        <v>159549.67809621929</v>
      </c>
      <c r="I171" s="32">
        <f t="shared" si="31"/>
        <v>162016.12327698103</v>
      </c>
      <c r="J171" s="32">
        <f t="shared" si="31"/>
        <v>163228.95599437185</v>
      </c>
      <c r="K171" s="95"/>
      <c r="L171" s="50"/>
      <c r="M171" s="15"/>
    </row>
    <row r="172" spans="1:13">
      <c r="A172" s="50"/>
      <c r="B172" s="50"/>
      <c r="C172" s="50" t="s">
        <v>98</v>
      </c>
      <c r="D172" s="50"/>
      <c r="E172" s="32">
        <f t="shared" ref="E172:J172" si="32">E29</f>
        <v>5287.6619658333329</v>
      </c>
      <c r="F172" s="32">
        <f t="shared" si="32"/>
        <v>8689.345789854653</v>
      </c>
      <c r="G172" s="32">
        <f t="shared" si="32"/>
        <v>7625.3990827172902</v>
      </c>
      <c r="H172" s="32">
        <f t="shared" si="32"/>
        <v>6390.7832933165973</v>
      </c>
      <c r="I172" s="32">
        <f t="shared" si="32"/>
        <v>5630.9176752704807</v>
      </c>
      <c r="J172" s="32">
        <f t="shared" si="32"/>
        <v>6405.8983114749644</v>
      </c>
      <c r="K172" s="95"/>
      <c r="L172" s="50"/>
      <c r="M172" s="15"/>
    </row>
    <row r="173" spans="1:13">
      <c r="A173" s="50"/>
      <c r="B173" s="50"/>
      <c r="C173" s="50" t="s">
        <v>111</v>
      </c>
      <c r="D173" s="50"/>
      <c r="E173" s="96">
        <f t="shared" ref="E173:J173" si="33">E152</f>
        <v>0</v>
      </c>
      <c r="F173" s="96">
        <f t="shared" si="33"/>
        <v>0</v>
      </c>
      <c r="G173" s="96">
        <f t="shared" si="33"/>
        <v>0</v>
      </c>
      <c r="H173" s="96">
        <f t="shared" si="33"/>
        <v>0</v>
      </c>
      <c r="I173" s="96">
        <f t="shared" si="33"/>
        <v>0</v>
      </c>
      <c r="J173" s="96">
        <f t="shared" si="33"/>
        <v>0</v>
      </c>
      <c r="K173" s="95"/>
      <c r="L173" s="50"/>
      <c r="M173" s="15"/>
    </row>
    <row r="174" spans="1:13">
      <c r="A174" s="50"/>
      <c r="B174" s="50"/>
      <c r="C174" s="50" t="s">
        <v>44</v>
      </c>
      <c r="D174" s="50"/>
      <c r="E174" s="96">
        <f t="shared" ref="E174:J174" si="34">E144</f>
        <v>2569.1495482950218</v>
      </c>
      <c r="F174" s="96">
        <f t="shared" si="34"/>
        <v>2982.7039781617641</v>
      </c>
      <c r="G174" s="96">
        <f t="shared" si="34"/>
        <v>3787.3933733006575</v>
      </c>
      <c r="H174" s="96">
        <f t="shared" si="34"/>
        <v>3664.5275897393394</v>
      </c>
      <c r="I174" s="96">
        <f t="shared" si="34"/>
        <v>3492.2048732029739</v>
      </c>
      <c r="J174" s="96">
        <f t="shared" si="34"/>
        <v>3286.9113982299277</v>
      </c>
      <c r="K174" s="95"/>
      <c r="L174" s="50"/>
      <c r="M174" s="15"/>
    </row>
    <row r="175" spans="1:13">
      <c r="A175" s="50"/>
      <c r="B175" s="50"/>
      <c r="C175" s="50" t="s">
        <v>196</v>
      </c>
      <c r="D175" s="50"/>
      <c r="E175" s="32">
        <f t="shared" ref="E175:J175" si="35">E171*WACC+E172*($D$48-1)+E173-E174</f>
        <v>10744.239692967014</v>
      </c>
      <c r="F175" s="32">
        <f t="shared" si="35"/>
        <v>10587.744727151996</v>
      </c>
      <c r="G175" s="32">
        <f t="shared" si="35"/>
        <v>10162.697515117059</v>
      </c>
      <c r="H175" s="32">
        <f t="shared" si="35"/>
        <v>10601.558861535646</v>
      </c>
      <c r="I175" s="32">
        <f t="shared" si="35"/>
        <v>10957.660132658963</v>
      </c>
      <c r="J175" s="32">
        <f t="shared" si="35"/>
        <v>11302.494775579104</v>
      </c>
      <c r="K175" s="95"/>
      <c r="L175" s="50"/>
      <c r="M175" s="15"/>
    </row>
    <row r="176" spans="1:13">
      <c r="A176" s="50"/>
      <c r="B176" s="50"/>
      <c r="C176" s="50"/>
      <c r="D176" s="50"/>
      <c r="E176" s="31"/>
      <c r="F176" s="31"/>
      <c r="G176" s="31"/>
      <c r="H176" s="31"/>
      <c r="I176" s="31"/>
      <c r="J176" s="31"/>
      <c r="K176" s="95"/>
      <c r="L176" s="27"/>
      <c r="M176" s="15"/>
    </row>
    <row r="177" spans="1:13" ht="15.75">
      <c r="A177" s="50"/>
      <c r="B177" s="50"/>
      <c r="C177" s="162" t="s">
        <v>49</v>
      </c>
      <c r="D177" s="50"/>
      <c r="E177" s="50"/>
      <c r="F177" s="50"/>
      <c r="G177" s="50"/>
      <c r="H177" s="50"/>
      <c r="I177" s="50"/>
      <c r="J177" s="50"/>
      <c r="K177" s="95"/>
      <c r="L177" s="27"/>
      <c r="M177" s="15"/>
    </row>
    <row r="178" spans="1:13">
      <c r="A178" s="50"/>
      <c r="B178" s="50"/>
      <c r="C178" s="50" t="s">
        <v>50</v>
      </c>
      <c r="D178" s="50"/>
      <c r="E178" s="31">
        <f t="shared" ref="E178:J178" si="36">E171*Leverage*Debt+E152</f>
        <v>5206.7586999999994</v>
      </c>
      <c r="F178" s="31">
        <f t="shared" si="36"/>
        <v>5251.0952401283257</v>
      </c>
      <c r="G178" s="31">
        <f t="shared" si="36"/>
        <v>5420.2590237714621</v>
      </c>
      <c r="H178" s="31">
        <f t="shared" si="36"/>
        <v>5567.0073681332824</v>
      </c>
      <c r="I178" s="31">
        <f t="shared" si="36"/>
        <v>5653.0665733804226</v>
      </c>
      <c r="J178" s="31">
        <f t="shared" si="36"/>
        <v>5695.3847325556226</v>
      </c>
      <c r="K178" s="95"/>
      <c r="L178" s="50"/>
      <c r="M178" s="15"/>
    </row>
    <row r="179" spans="1:13">
      <c r="A179" s="50"/>
      <c r="B179" s="50"/>
      <c r="C179" s="50" t="s">
        <v>51</v>
      </c>
      <c r="D179" s="50"/>
      <c r="E179" s="31">
        <f t="shared" ref="E179:J179" si="37">E145-E147</f>
        <v>0</v>
      </c>
      <c r="F179" s="31">
        <f t="shared" si="37"/>
        <v>114.89124050322425</v>
      </c>
      <c r="G179" s="31">
        <f t="shared" si="37"/>
        <v>251.99738895885002</v>
      </c>
      <c r="H179" s="31">
        <f t="shared" si="37"/>
        <v>429.10420723579409</v>
      </c>
      <c r="I179" s="31">
        <f t="shared" si="37"/>
        <v>604.29604580934574</v>
      </c>
      <c r="J179" s="31">
        <f t="shared" si="37"/>
        <v>775.89915729084078</v>
      </c>
      <c r="K179" s="95"/>
      <c r="L179" s="50"/>
      <c r="M179" s="15"/>
    </row>
    <row r="180" spans="1:13">
      <c r="A180" s="50"/>
      <c r="B180" s="50"/>
      <c r="C180" s="50" t="s">
        <v>52</v>
      </c>
      <c r="D180" s="50"/>
      <c r="E180" s="31">
        <f t="shared" ref="E180:J180" si="38">E167+E179-E178</f>
        <v>-1950.860965404685</v>
      </c>
      <c r="F180" s="31">
        <f t="shared" si="38"/>
        <v>-1880.306265029787</v>
      </c>
      <c r="G180" s="31">
        <f t="shared" si="38"/>
        <v>-1912.3639002172977</v>
      </c>
      <c r="H180" s="31">
        <f t="shared" si="38"/>
        <v>-1882.0054263021739</v>
      </c>
      <c r="I180" s="31">
        <f t="shared" si="38"/>
        <v>-1792.8727929757624</v>
      </c>
      <c r="J180" s="31">
        <f t="shared" si="38"/>
        <v>-1663.5878406694674</v>
      </c>
      <c r="K180" s="95"/>
      <c r="L180" s="50"/>
      <c r="M180" s="15"/>
    </row>
    <row r="181" spans="1:13">
      <c r="A181" s="50"/>
      <c r="B181" s="50"/>
      <c r="C181" s="50"/>
      <c r="D181" s="50"/>
      <c r="E181" s="50"/>
      <c r="F181" s="167"/>
      <c r="G181" s="32"/>
      <c r="H181" s="32"/>
      <c r="I181" s="32"/>
      <c r="J181" s="32"/>
      <c r="K181" s="95"/>
      <c r="L181" s="50"/>
      <c r="M181" s="15"/>
    </row>
    <row r="182" spans="1:13" ht="15.75">
      <c r="A182" s="50"/>
      <c r="B182" s="50"/>
      <c r="C182" s="162" t="s">
        <v>107</v>
      </c>
      <c r="D182" s="50"/>
      <c r="E182" s="50"/>
      <c r="F182" s="167"/>
      <c r="G182" s="32"/>
      <c r="H182" s="32"/>
      <c r="I182" s="32"/>
      <c r="J182" s="32"/>
      <c r="K182" s="95"/>
      <c r="L182" s="27"/>
      <c r="M182" s="15"/>
    </row>
    <row r="183" spans="1:13">
      <c r="A183" s="50"/>
      <c r="B183" s="50"/>
      <c r="C183" s="50" t="s">
        <v>153</v>
      </c>
      <c r="D183" s="50"/>
      <c r="E183" s="32">
        <f t="shared" ref="E183:J183" si="39">E145</f>
        <v>6387.6247468541751</v>
      </c>
      <c r="F183" s="32">
        <f t="shared" si="39"/>
        <v>6620.0195865981404</v>
      </c>
      <c r="G183" s="32">
        <f t="shared" si="39"/>
        <v>6950.2223081616457</v>
      </c>
      <c r="H183" s="32">
        <f t="shared" si="39"/>
        <v>7296.7824393878636</v>
      </c>
      <c r="I183" s="32">
        <f t="shared" si="39"/>
        <v>7613.9916844795625</v>
      </c>
      <c r="J183" s="32">
        <f t="shared" si="39"/>
        <v>7910.7262998559572</v>
      </c>
      <c r="K183" s="95"/>
      <c r="L183" s="50"/>
      <c r="M183" s="15"/>
    </row>
    <row r="184" spans="1:13">
      <c r="A184" s="50"/>
      <c r="B184" s="50"/>
      <c r="C184" s="50" t="s">
        <v>107</v>
      </c>
      <c r="D184" s="50"/>
      <c r="E184" s="96">
        <f t="shared" ref="E184:J184" si="40">E183</f>
        <v>6387.6247468541751</v>
      </c>
      <c r="F184" s="96">
        <f t="shared" si="40"/>
        <v>6620.0195865981404</v>
      </c>
      <c r="G184" s="96">
        <f t="shared" si="40"/>
        <v>6950.2223081616457</v>
      </c>
      <c r="H184" s="96">
        <f t="shared" si="40"/>
        <v>7296.7824393878636</v>
      </c>
      <c r="I184" s="96">
        <f t="shared" si="40"/>
        <v>7613.9916844795625</v>
      </c>
      <c r="J184" s="96">
        <f t="shared" si="40"/>
        <v>7910.7262998559572</v>
      </c>
      <c r="K184" s="95"/>
      <c r="L184" s="50"/>
      <c r="M184" s="15"/>
    </row>
    <row r="185" spans="1:13">
      <c r="A185" s="50"/>
      <c r="B185" s="50"/>
      <c r="C185" s="50"/>
      <c r="D185" s="50"/>
      <c r="E185" s="50"/>
      <c r="F185" s="96"/>
      <c r="G185" s="96"/>
      <c r="H185" s="96"/>
      <c r="I185" s="96"/>
      <c r="J185" s="96"/>
      <c r="K185" s="95"/>
      <c r="L185" s="50"/>
      <c r="M185" s="15"/>
    </row>
    <row r="186" spans="1:13" ht="15.75">
      <c r="A186" s="50"/>
      <c r="B186" s="50"/>
      <c r="C186" s="121" t="s">
        <v>122</v>
      </c>
      <c r="D186" s="50"/>
      <c r="E186" s="50"/>
      <c r="F186" s="96"/>
      <c r="G186" s="96"/>
      <c r="H186" s="96"/>
      <c r="I186" s="96"/>
      <c r="J186" s="96"/>
      <c r="K186" s="95"/>
      <c r="L186" s="27"/>
      <c r="M186" s="15"/>
    </row>
    <row r="187" spans="1:13">
      <c r="A187" s="50"/>
      <c r="B187" s="50"/>
      <c r="C187" s="50" t="s">
        <v>122</v>
      </c>
      <c r="D187" s="50"/>
      <c r="E187" s="32">
        <f t="shared" ref="E187:J187" si="41">E43</f>
        <v>288.34864584099455</v>
      </c>
      <c r="F187" s="32">
        <f t="shared" si="41"/>
        <v>301.22839392322675</v>
      </c>
      <c r="G187" s="32">
        <f t="shared" si="41"/>
        <v>305.95972995343453</v>
      </c>
      <c r="H187" s="32">
        <f t="shared" si="41"/>
        <v>311.47962198867691</v>
      </c>
      <c r="I187" s="32">
        <f t="shared" si="41"/>
        <v>316.99951402391929</v>
      </c>
      <c r="J187" s="32">
        <f t="shared" si="41"/>
        <v>324.35937007090911</v>
      </c>
      <c r="K187" s="95"/>
      <c r="L187" s="125"/>
      <c r="M187" s="15"/>
    </row>
    <row r="188" spans="1:13">
      <c r="A188" s="50"/>
      <c r="B188" s="50"/>
      <c r="C188" s="50"/>
      <c r="D188" s="50"/>
      <c r="E188" s="50"/>
      <c r="F188" s="96"/>
      <c r="G188" s="96"/>
      <c r="H188" s="96"/>
      <c r="I188" s="96"/>
      <c r="J188" s="96"/>
      <c r="K188" s="95"/>
      <c r="L188" s="27"/>
      <c r="M188" s="15"/>
    </row>
    <row r="189" spans="1:13" ht="15.75">
      <c r="A189" s="50"/>
      <c r="B189" s="50"/>
      <c r="C189" s="162" t="s">
        <v>179</v>
      </c>
      <c r="D189" s="50"/>
      <c r="E189" s="32">
        <f t="shared" ref="E189:J189" si="42">E28</f>
        <v>7258.5558799999999</v>
      </c>
      <c r="F189" s="32">
        <f t="shared" si="42"/>
        <v>7485.2038887098779</v>
      </c>
      <c r="G189" s="32">
        <f t="shared" si="42"/>
        <v>7754.3809562703609</v>
      </c>
      <c r="H189" s="32">
        <f t="shared" si="42"/>
        <v>7959.0592342224681</v>
      </c>
      <c r="I189" s="32">
        <f t="shared" si="42"/>
        <v>8195.2344487117425</v>
      </c>
      <c r="J189" s="32">
        <f t="shared" si="42"/>
        <v>8451.33142058665</v>
      </c>
      <c r="K189" s="95"/>
      <c r="L189" s="125"/>
      <c r="M189" s="15"/>
    </row>
    <row r="190" spans="1:13">
      <c r="A190" s="50"/>
      <c r="B190" s="50"/>
      <c r="C190" s="50" t="s">
        <v>180</v>
      </c>
      <c r="D190" s="50"/>
      <c r="E190" s="32">
        <f t="shared" ref="E190:J190" si="43">E189*$D$46</f>
        <v>7569.283582693879</v>
      </c>
      <c r="F190" s="32">
        <f t="shared" si="43"/>
        <v>7805.6340468550698</v>
      </c>
      <c r="G190" s="32">
        <f t="shared" si="43"/>
        <v>8086.3341739887937</v>
      </c>
      <c r="H190" s="32">
        <f t="shared" si="43"/>
        <v>8299.7744167381461</v>
      </c>
      <c r="I190" s="32">
        <f t="shared" si="43"/>
        <v>8546.0599318222939</v>
      </c>
      <c r="J190" s="32">
        <f t="shared" si="43"/>
        <v>8813.1200243307176</v>
      </c>
      <c r="K190" s="95"/>
      <c r="L190" s="125"/>
      <c r="M190" s="15"/>
    </row>
    <row r="191" spans="1:13">
      <c r="A191" s="50"/>
      <c r="B191" s="50"/>
      <c r="C191" s="50"/>
      <c r="D191" s="50"/>
      <c r="E191" s="50"/>
      <c r="F191" s="96"/>
      <c r="G191" s="32"/>
      <c r="H191" s="32"/>
      <c r="I191" s="32"/>
      <c r="J191" s="32"/>
      <c r="K191" s="95"/>
      <c r="L191" s="27"/>
      <c r="M191" s="15"/>
    </row>
    <row r="192" spans="1:13" ht="15.75">
      <c r="A192" s="50"/>
      <c r="B192" s="50"/>
      <c r="C192" s="162" t="s">
        <v>229</v>
      </c>
      <c r="D192" s="50"/>
      <c r="E192" s="50"/>
      <c r="F192" s="50"/>
      <c r="G192" s="50"/>
      <c r="H192" s="50"/>
      <c r="I192" s="50"/>
      <c r="J192" s="50"/>
      <c r="K192" s="95"/>
      <c r="L192" s="125"/>
      <c r="M192" s="15"/>
    </row>
    <row r="193" spans="1:15">
      <c r="A193" s="50"/>
      <c r="B193" s="50"/>
      <c r="C193" s="50" t="s">
        <v>169</v>
      </c>
      <c r="D193" s="50"/>
      <c r="E193" s="31">
        <f t="shared" ref="E193:J193" si="44">E168-E165</f>
        <v>-198.50752480234055</v>
      </c>
      <c r="F193" s="31">
        <f t="shared" si="44"/>
        <v>-203.81902576266774</v>
      </c>
      <c r="G193" s="31">
        <f t="shared" si="44"/>
        <v>-256.78244976445689</v>
      </c>
      <c r="H193" s="31">
        <f t="shared" si="44"/>
        <v>-292.08326290633102</v>
      </c>
      <c r="I193" s="31">
        <f t="shared" si="44"/>
        <v>-296.29814660309171</v>
      </c>
      <c r="J193" s="31">
        <f t="shared" si="44"/>
        <v>-282.00942665834191</v>
      </c>
      <c r="K193" s="95"/>
      <c r="L193" s="125"/>
      <c r="M193" s="15"/>
    </row>
    <row r="194" spans="1:15">
      <c r="A194" s="50"/>
      <c r="B194" s="50"/>
      <c r="C194" s="50" t="s">
        <v>170</v>
      </c>
      <c r="D194" s="50"/>
      <c r="E194" s="50"/>
      <c r="F194" s="31">
        <f>(F175+F184+F190+((F187-F189-F145-F152+F180)*F53+F193)*$D47-F193-F187*$D49)/($D50-F53*$D47)</f>
        <v>27407.813741825841</v>
      </c>
      <c r="G194" s="31">
        <f>(G175+G184+G190+((G187-G189-G145-G152+G180)*G53+G193)*$D47-G193-G187*$D49)/($D50-G53*$D47)</f>
        <v>27072.756872907619</v>
      </c>
      <c r="H194" s="31">
        <f>(H175+H184+H190+((H187-H189-H145-H152+H180)*H53+H193)*$D47-H193-H187*$D49)/($D50-H53*$D47)</f>
        <v>28205.286578939755</v>
      </c>
      <c r="I194" s="31">
        <f>(I175+I184+I190+((I187-I189-I145-I152+I180)*I53+I193)*$D47-I193-I187*$D49)/($D50-I53*$D47)</f>
        <v>29255.143197528381</v>
      </c>
      <c r="J194" s="31">
        <f>(J175+J184+J190+((J187-J189-J145-J152+J180)*J53+J193)*$D47-J193-J187*$D49)/($D50-J53*$D47)</f>
        <v>30305.443213688333</v>
      </c>
      <c r="K194" s="95"/>
      <c r="L194" s="125"/>
      <c r="M194" s="15"/>
    </row>
    <row r="195" spans="1:15">
      <c r="A195" s="50"/>
      <c r="B195" s="50"/>
      <c r="C195" s="50" t="s">
        <v>177</v>
      </c>
      <c r="D195" s="50"/>
      <c r="E195" s="50"/>
      <c r="F195" s="31">
        <f>(F194+F187-F189-F183-F152+F180)*F53</f>
        <v>3517.0537186233782</v>
      </c>
      <c r="G195" s="31">
        <f>(G194+G187-G189-G183-G152+G180)*G53</f>
        <v>3013.2898426992906</v>
      </c>
      <c r="H195" s="31">
        <f>(H194+H187-H189-H183-H152+H180)*H53</f>
        <v>3186.0973482844593</v>
      </c>
      <c r="I195" s="31">
        <f>(I194+I187-I189-I183-I152+I180)*I53</f>
        <v>3351.6122599078658</v>
      </c>
      <c r="J195" s="31">
        <f>(J194+J187-J189-J183-J152+J180)*J53</f>
        <v>3529.1639663412079</v>
      </c>
      <c r="K195" s="95"/>
      <c r="L195" s="125"/>
      <c r="M195" s="15"/>
    </row>
    <row r="196" spans="1:15">
      <c r="A196" s="50"/>
      <c r="B196" s="50"/>
      <c r="C196" s="50" t="s">
        <v>162</v>
      </c>
      <c r="D196" s="50"/>
      <c r="E196" s="50"/>
      <c r="F196" s="31">
        <f>IF(F195&lt;0,#N/A,F195)</f>
        <v>3517.0537186233782</v>
      </c>
      <c r="G196" s="31">
        <f>IF(G195&lt;0,#N/A,G195)</f>
        <v>3013.2898426992906</v>
      </c>
      <c r="H196" s="31">
        <f>IF(H195&lt;0,#N/A,H195)</f>
        <v>3186.0973482844593</v>
      </c>
      <c r="I196" s="31">
        <f>IF(I195&lt;0,#N/A,I195)</f>
        <v>3351.6122599078658</v>
      </c>
      <c r="J196" s="31">
        <f>IF(J195&lt;0,#N/A,J195)</f>
        <v>3529.1639663412079</v>
      </c>
      <c r="K196" s="95"/>
      <c r="L196" s="50"/>
      <c r="M196" s="15"/>
    </row>
    <row r="197" spans="1:15">
      <c r="A197" s="50"/>
      <c r="B197" s="50"/>
      <c r="C197" s="50" t="s">
        <v>171</v>
      </c>
      <c r="D197" s="50"/>
      <c r="E197" s="50"/>
      <c r="F197" s="31">
        <f>F175+F184+F190+(F196+F193)*$D$47-F193-F187*$D$49</f>
        <v>28358.163079482525</v>
      </c>
      <c r="G197" s="31">
        <f>G175+G184+G190+(G196+G193)*$D$47-G193-G187*$D$49</f>
        <v>28011.488316614308</v>
      </c>
      <c r="H197" s="31">
        <f>H175+H184+H190+(H196+H193)*$D$47-H193-H187*$D$49</f>
        <v>29183.287804108862</v>
      </c>
      <c r="I197" s="31">
        <f>I175+I184+I190+(I196+I193)*$D$47-I193-I187*$D$49</f>
        <v>30269.547564936725</v>
      </c>
      <c r="J197" s="31">
        <f>J175+J184+J190+(J196+J193)*$D$47-J193-J187*$D$49</f>
        <v>31356.266097878088</v>
      </c>
      <c r="K197" s="95"/>
      <c r="L197" s="27"/>
      <c r="M197" s="15"/>
    </row>
    <row r="198" spans="1:15">
      <c r="A198" s="50"/>
      <c r="B198" s="50"/>
      <c r="C198" s="50" t="s">
        <v>172</v>
      </c>
      <c r="D198" s="50"/>
      <c r="E198" s="50"/>
      <c r="F198" s="31">
        <f>F197/$D$50</f>
        <v>27407.813741825841</v>
      </c>
      <c r="G198" s="31">
        <f>G197/$D$50</f>
        <v>27072.756872907619</v>
      </c>
      <c r="H198" s="31">
        <f>H197/$D$50</f>
        <v>28205.286578939755</v>
      </c>
      <c r="I198" s="31">
        <f>I197/$D$50</f>
        <v>29255.143197528381</v>
      </c>
      <c r="J198" s="31">
        <f>J197/$D$50</f>
        <v>30305.443213688333</v>
      </c>
      <c r="K198" s="95"/>
      <c r="L198" s="50"/>
      <c r="M198" s="15"/>
    </row>
    <row r="199" spans="1:15">
      <c r="A199" s="50"/>
      <c r="B199" s="50"/>
      <c r="C199" s="50" t="s">
        <v>173</v>
      </c>
      <c r="D199" s="50"/>
      <c r="E199" s="50"/>
      <c r="F199" s="31">
        <f>F194-F198</f>
        <v>0</v>
      </c>
      <c r="G199" s="31">
        <f>G194-G198</f>
        <v>0</v>
      </c>
      <c r="H199" s="31">
        <f>H194-H198</f>
        <v>0</v>
      </c>
      <c r="I199" s="31">
        <f>I194-I198</f>
        <v>0</v>
      </c>
      <c r="J199" s="31">
        <f>J194-J198</f>
        <v>0</v>
      </c>
      <c r="K199" s="95"/>
      <c r="L199" s="27"/>
      <c r="M199" s="15"/>
    </row>
    <row r="200" spans="1:15">
      <c r="A200" s="50"/>
      <c r="B200" s="50"/>
      <c r="C200" s="50"/>
      <c r="D200" s="50"/>
      <c r="E200" s="50"/>
      <c r="F200" s="50"/>
      <c r="G200" s="50"/>
      <c r="H200" s="50"/>
      <c r="I200" s="50"/>
      <c r="J200" s="50"/>
      <c r="K200" s="50"/>
      <c r="L200" s="50"/>
      <c r="M200" s="15"/>
    </row>
    <row r="201" spans="1:15" ht="15.75">
      <c r="A201" s="50"/>
      <c r="B201" s="50"/>
      <c r="C201" s="162" t="s">
        <v>174</v>
      </c>
      <c r="D201" s="50"/>
      <c r="E201" s="50"/>
      <c r="F201" s="31"/>
      <c r="G201" s="31"/>
      <c r="H201" s="31"/>
      <c r="I201" s="31"/>
      <c r="J201" s="50"/>
      <c r="K201" s="95"/>
      <c r="L201" s="27"/>
      <c r="M201" s="15"/>
    </row>
    <row r="202" spans="1:15">
      <c r="A202" s="50"/>
      <c r="B202" s="50"/>
      <c r="C202" s="95" t="s">
        <v>103</v>
      </c>
      <c r="D202" s="50"/>
      <c r="E202" s="50"/>
      <c r="F202" s="31"/>
      <c r="G202" s="31"/>
      <c r="H202" s="31"/>
      <c r="I202" s="31"/>
      <c r="J202" s="50"/>
      <c r="K202" s="95"/>
      <c r="L202" s="50"/>
      <c r="M202" s="15"/>
      <c r="O202" s="8"/>
    </row>
    <row r="203" spans="1:15">
      <c r="A203" s="50"/>
      <c r="B203" s="50"/>
      <c r="C203" s="50" t="s">
        <v>175</v>
      </c>
      <c r="D203" s="50"/>
      <c r="E203" s="50"/>
      <c r="F203" s="50"/>
      <c r="G203" s="50"/>
      <c r="H203" s="31">
        <v>1</v>
      </c>
      <c r="I203" s="31">
        <v>2</v>
      </c>
      <c r="J203" s="31">
        <v>3</v>
      </c>
      <c r="K203" s="95"/>
      <c r="L203" s="27"/>
      <c r="M203" s="15"/>
    </row>
    <row r="204" spans="1:15">
      <c r="A204" s="50"/>
      <c r="B204" s="50" t="s">
        <v>135</v>
      </c>
      <c r="C204" s="50" t="s">
        <v>136</v>
      </c>
      <c r="D204" s="50"/>
      <c r="E204" s="50"/>
      <c r="F204" s="31"/>
      <c r="G204" s="31"/>
      <c r="H204" s="31">
        <f>H197</f>
        <v>29183.287804108862</v>
      </c>
      <c r="I204" s="31">
        <f>I197</f>
        <v>30269.547564936725</v>
      </c>
      <c r="J204" s="31">
        <f>J197</f>
        <v>31356.266097878088</v>
      </c>
      <c r="K204" s="95"/>
      <c r="L204" s="50"/>
      <c r="M204" s="15"/>
    </row>
    <row r="205" spans="1:15">
      <c r="A205" s="50"/>
      <c r="B205" s="50" t="s">
        <v>135</v>
      </c>
      <c r="C205" s="50" t="s">
        <v>137</v>
      </c>
      <c r="D205" s="50"/>
      <c r="E205" s="50"/>
      <c r="F205" s="31"/>
      <c r="G205" s="31"/>
      <c r="H205" s="31">
        <f>H204/(1+WACC)^H$203</f>
        <v>26830.272873134931</v>
      </c>
      <c r="I205" s="31">
        <f>I204/(1+WACC)^I$203</f>
        <v>25585.132627370396</v>
      </c>
      <c r="J205" s="31">
        <f>J204/(1+WACC)^J$203</f>
        <v>24366.713431126915</v>
      </c>
      <c r="K205" s="95"/>
      <c r="L205" s="50"/>
      <c r="M205" s="15"/>
    </row>
    <row r="206" spans="1:15">
      <c r="A206" s="50"/>
      <c r="B206" s="50" t="s">
        <v>135</v>
      </c>
      <c r="C206" s="50" t="s">
        <v>101</v>
      </c>
      <c r="D206" s="31">
        <f>SUM(H205:J205)</f>
        <v>76782.118931632242</v>
      </c>
      <c r="E206" s="50"/>
      <c r="F206" s="31"/>
      <c r="G206" s="31"/>
      <c r="H206" s="31"/>
      <c r="I206" s="31"/>
      <c r="J206" s="31"/>
      <c r="K206" s="95"/>
      <c r="L206" s="50"/>
      <c r="M206" s="15"/>
    </row>
    <row r="207" spans="1:15">
      <c r="A207" s="50"/>
      <c r="B207" s="50"/>
      <c r="C207" s="50"/>
      <c r="D207" s="50"/>
      <c r="E207" s="50"/>
      <c r="F207" s="123"/>
      <c r="G207" s="50"/>
      <c r="H207" s="50"/>
      <c r="I207" s="50"/>
      <c r="J207" s="50"/>
      <c r="K207" s="95"/>
      <c r="L207" s="50"/>
      <c r="M207" s="15"/>
    </row>
    <row r="208" spans="1:15" ht="21">
      <c r="A208" s="50"/>
      <c r="B208" s="50"/>
      <c r="C208" s="155" t="s">
        <v>104</v>
      </c>
      <c r="D208" s="50"/>
      <c r="E208" s="50"/>
      <c r="F208" s="123"/>
      <c r="G208" s="50"/>
      <c r="H208" s="50"/>
      <c r="I208" s="50"/>
      <c r="J208" s="50"/>
      <c r="K208" s="95"/>
      <c r="L208" s="50"/>
      <c r="M208" s="15"/>
    </row>
    <row r="209" spans="1:13" ht="15.75">
      <c r="A209" s="50"/>
      <c r="B209" s="50"/>
      <c r="C209" s="50"/>
      <c r="D209" s="50"/>
      <c r="E209" s="162" t="str">
        <f>Inputs!D$11</f>
        <v>2009/10</v>
      </c>
      <c r="F209" s="168" t="str">
        <f>Inputs!E$11</f>
        <v>2010/11</v>
      </c>
      <c r="G209" s="162" t="str">
        <f>Inputs!F$11</f>
        <v>2011/12</v>
      </c>
      <c r="H209" s="162" t="str">
        <f>Inputs!G$11</f>
        <v>2012/13</v>
      </c>
      <c r="I209" s="162" t="str">
        <f>Inputs!H$11</f>
        <v>2013/14</v>
      </c>
      <c r="J209" s="162" t="str">
        <f>Inputs!I$11</f>
        <v>2014/15</v>
      </c>
      <c r="K209" s="95"/>
      <c r="L209" s="50"/>
      <c r="M209" s="15"/>
    </row>
    <row r="210" spans="1:13">
      <c r="A210" s="50"/>
      <c r="B210" s="50"/>
      <c r="C210" s="50" t="s">
        <v>53</v>
      </c>
      <c r="D210" s="32">
        <f>D206</f>
        <v>76782.118931632242</v>
      </c>
      <c r="E210" s="50"/>
      <c r="F210" s="169"/>
      <c r="G210" s="32"/>
      <c r="H210" s="32"/>
      <c r="I210" s="32"/>
      <c r="J210" s="32"/>
      <c r="K210" s="95"/>
      <c r="L210" s="50"/>
      <c r="M210" s="15"/>
    </row>
    <row r="211" spans="1:13">
      <c r="A211" s="50"/>
      <c r="B211" s="50"/>
      <c r="C211" s="50" t="s">
        <v>143</v>
      </c>
      <c r="D211" s="50"/>
      <c r="E211" s="50"/>
      <c r="F211" s="113"/>
      <c r="G211" s="113"/>
      <c r="H211" s="170">
        <v>1</v>
      </c>
      <c r="I211" s="113">
        <f>H211*(1+I$35)*(1+I$30)*(1-X_industry_wide)</f>
        <v>1.0298751533485786</v>
      </c>
      <c r="J211" s="113">
        <f>I211*(1+J$35)*(1+J$30)*(1-X_industry_wide)</f>
        <v>1.0589899799831124</v>
      </c>
      <c r="K211" s="95"/>
      <c r="L211" s="50" t="s">
        <v>290</v>
      </c>
    </row>
    <row r="212" spans="1:13">
      <c r="A212" s="50"/>
      <c r="B212" s="50"/>
      <c r="C212" s="50" t="s">
        <v>102</v>
      </c>
      <c r="D212" s="50"/>
      <c r="E212" s="50"/>
      <c r="F212" s="171"/>
      <c r="G212" s="113"/>
      <c r="H212" s="113">
        <f>H211/(1+WACC)^H$203</f>
        <v>0.91937115013330895</v>
      </c>
      <c r="I212" s="113">
        <f>I211/(1+WACC)^I$203</f>
        <v>0.87049508525126484</v>
      </c>
      <c r="J212" s="113">
        <f>J211/(1+WACC)^J$203</f>
        <v>0.82293297576108781</v>
      </c>
      <c r="K212" s="95"/>
      <c r="L212" s="50" t="s">
        <v>165</v>
      </c>
    </row>
    <row r="213" spans="1:13">
      <c r="A213" s="50"/>
      <c r="B213" s="50"/>
      <c r="C213" s="50" t="s">
        <v>91</v>
      </c>
      <c r="D213" s="113">
        <f>SUM(H212:J212)</f>
        <v>2.6127992111456617</v>
      </c>
      <c r="E213" s="50"/>
      <c r="F213" s="171"/>
      <c r="G213" s="113"/>
      <c r="H213" s="113"/>
      <c r="I213" s="113"/>
      <c r="J213" s="113"/>
      <c r="K213" s="95"/>
      <c r="L213" s="50" t="s">
        <v>279</v>
      </c>
    </row>
    <row r="214" spans="1:13">
      <c r="A214" s="50"/>
      <c r="B214" s="50"/>
      <c r="C214" s="50" t="s">
        <v>142</v>
      </c>
      <c r="D214" s="32">
        <f>D210/D213</f>
        <v>29386.919057574567</v>
      </c>
      <c r="E214" s="50"/>
      <c r="F214" s="171"/>
      <c r="G214" s="113"/>
      <c r="H214" s="31"/>
      <c r="I214" s="31"/>
      <c r="J214" s="31"/>
      <c r="K214" s="95"/>
      <c r="L214" s="31"/>
    </row>
    <row r="215" spans="1:13">
      <c r="A215" s="50"/>
      <c r="B215" s="50"/>
      <c r="C215" s="50" t="s">
        <v>138</v>
      </c>
      <c r="D215" s="32"/>
      <c r="E215" s="50"/>
      <c r="F215" s="171"/>
      <c r="G215" s="113"/>
      <c r="H215" s="31">
        <f>$D214*H211</f>
        <v>29386.919057574567</v>
      </c>
      <c r="I215" s="31">
        <f>$D214*I211</f>
        <v>30264.857770861872</v>
      </c>
      <c r="J215" s="31">
        <f>$D214*J211</f>
        <v>31120.452824546235</v>
      </c>
      <c r="K215" s="95"/>
      <c r="L215" s="50" t="s">
        <v>131</v>
      </c>
    </row>
    <row r="216" spans="1:13">
      <c r="A216" s="50"/>
      <c r="B216" s="50"/>
      <c r="C216" s="50" t="s">
        <v>139</v>
      </c>
      <c r="D216" s="32"/>
      <c r="E216" s="50"/>
      <c r="F216" s="171"/>
      <c r="G216" s="113"/>
      <c r="H216" s="54">
        <f>H215/$D$50</f>
        <v>28402.093665892455</v>
      </c>
      <c r="I216" s="54">
        <f>I215/$D$50</f>
        <v>29250.610569581684</v>
      </c>
      <c r="J216" s="54">
        <f>J215/$D$50</f>
        <v>30077.532602721934</v>
      </c>
      <c r="K216" s="95"/>
      <c r="L216" s="50" t="s">
        <v>133</v>
      </c>
    </row>
    <row r="217" spans="1:13">
      <c r="A217" s="50"/>
      <c r="B217" s="50"/>
      <c r="C217" s="50" t="s">
        <v>140</v>
      </c>
      <c r="D217" s="50"/>
      <c r="E217" s="50"/>
      <c r="F217" s="171"/>
      <c r="G217" s="113"/>
      <c r="H217" s="31">
        <f>H215/(1+WACC)^H$203</f>
        <v>27017.485572836784</v>
      </c>
      <c r="I217" s="31">
        <f>I215/(1+WACC)^I$203</f>
        <v>25581.16861029539</v>
      </c>
      <c r="J217" s="31">
        <f>J215/(1+WACC)^J$203</f>
        <v>24183.464748500061</v>
      </c>
      <c r="K217" s="95"/>
      <c r="L217" s="50" t="s">
        <v>181</v>
      </c>
    </row>
    <row r="218" spans="1:13">
      <c r="A218" s="50"/>
      <c r="B218" s="50"/>
      <c r="C218" s="50" t="s">
        <v>141</v>
      </c>
      <c r="D218" s="32">
        <f>SUM(H217:J217)</f>
        <v>76782.118931632227</v>
      </c>
      <c r="E218" s="50"/>
      <c r="F218" s="171"/>
      <c r="G218" s="113"/>
      <c r="H218" s="31"/>
      <c r="I218" s="31"/>
      <c r="J218" s="31"/>
      <c r="K218" s="95"/>
      <c r="L218" s="50" t="s">
        <v>134</v>
      </c>
      <c r="M218" s="15"/>
    </row>
    <row r="219" spans="1:13">
      <c r="A219" s="50"/>
      <c r="B219" s="50"/>
      <c r="C219" s="50" t="s">
        <v>132</v>
      </c>
      <c r="D219" s="172">
        <f>D210-D218</f>
        <v>0</v>
      </c>
      <c r="E219" s="50"/>
      <c r="F219" s="171"/>
      <c r="G219" s="113"/>
      <c r="H219" s="31"/>
      <c r="I219" s="31"/>
      <c r="J219" s="31"/>
      <c r="K219" s="95"/>
      <c r="L219" s="50"/>
      <c r="M219" s="15"/>
    </row>
    <row r="220" spans="1:13">
      <c r="A220" s="50"/>
      <c r="B220" s="50"/>
      <c r="C220" s="50" t="s">
        <v>202</v>
      </c>
      <c r="D220" s="32">
        <f>SUM(I217:J217)</f>
        <v>49764.63335879545</v>
      </c>
      <c r="E220" s="50"/>
      <c r="F220" s="171"/>
      <c r="G220" s="113"/>
      <c r="H220" s="31"/>
      <c r="I220" s="31"/>
      <c r="J220" s="31"/>
      <c r="K220" s="95"/>
      <c r="L220" s="27"/>
      <c r="M220" s="15"/>
    </row>
    <row r="221" spans="1:13">
      <c r="A221" s="50"/>
      <c r="B221" s="50"/>
      <c r="C221" s="50"/>
      <c r="D221" s="31"/>
      <c r="E221" s="50"/>
      <c r="F221" s="123"/>
      <c r="G221" s="50"/>
      <c r="H221" s="50"/>
      <c r="I221" s="50"/>
      <c r="J221" s="50"/>
      <c r="K221" s="95"/>
      <c r="L221" s="50"/>
      <c r="M221" s="15"/>
    </row>
    <row r="222" spans="1:13" ht="21">
      <c r="A222" s="50"/>
      <c r="B222" s="50"/>
      <c r="C222" s="155" t="s">
        <v>113</v>
      </c>
      <c r="D222" s="155"/>
      <c r="E222" s="155"/>
      <c r="F222" s="155"/>
      <c r="G222" s="155"/>
      <c r="H222" s="50"/>
      <c r="I222" s="50"/>
      <c r="J222" s="50"/>
      <c r="K222" s="173"/>
      <c r="L222" s="174"/>
      <c r="M222" s="53"/>
    </row>
    <row r="223" spans="1:13" ht="15.75">
      <c r="A223" s="50"/>
      <c r="B223" s="50"/>
      <c r="C223" s="50"/>
      <c r="D223" s="50"/>
      <c r="E223" s="162" t="str">
        <f>Inputs!D$11</f>
        <v>2009/10</v>
      </c>
      <c r="F223" s="168" t="str">
        <f>Inputs!E$11</f>
        <v>2010/11</v>
      </c>
      <c r="G223" s="162" t="str">
        <f>Inputs!F$11</f>
        <v>2011/12</v>
      </c>
      <c r="H223" s="162" t="str">
        <f>Inputs!G$11</f>
        <v>2012/13</v>
      </c>
      <c r="I223" s="162" t="str">
        <f>Inputs!H$11</f>
        <v>2013/14</v>
      </c>
      <c r="J223" s="162" t="str">
        <f>Inputs!I$11</f>
        <v>2014/15</v>
      </c>
      <c r="K223" s="95"/>
      <c r="L223" s="50"/>
      <c r="M223" s="15"/>
    </row>
    <row r="224" spans="1:13" ht="15.75">
      <c r="A224" s="50"/>
      <c r="B224" s="50"/>
      <c r="C224" s="175" t="s">
        <v>318</v>
      </c>
      <c r="D224" s="50"/>
      <c r="E224" s="162"/>
      <c r="F224" s="95"/>
      <c r="G224" s="95"/>
      <c r="H224" s="95"/>
      <c r="I224" s="95"/>
      <c r="J224" s="95"/>
      <c r="K224" s="95"/>
      <c r="L224" s="50"/>
      <c r="M224" s="15"/>
    </row>
    <row r="225" spans="1:13" ht="15.75">
      <c r="A225" s="50"/>
      <c r="B225" s="50"/>
      <c r="C225" s="175" t="s">
        <v>204</v>
      </c>
      <c r="D225" s="50"/>
      <c r="E225" s="162"/>
      <c r="F225" s="95"/>
      <c r="G225" s="95"/>
      <c r="H225" s="95"/>
      <c r="I225" s="95"/>
      <c r="J225" s="95"/>
      <c r="K225" s="95"/>
      <c r="L225" s="50"/>
      <c r="M225" s="15"/>
    </row>
    <row r="226" spans="1:13">
      <c r="A226" s="50"/>
      <c r="B226" s="50" t="s">
        <v>150</v>
      </c>
      <c r="C226" s="50" t="s">
        <v>203</v>
      </c>
      <c r="D226" s="32">
        <f>D220</f>
        <v>49764.63335879545</v>
      </c>
      <c r="E226" s="50"/>
      <c r="F226" s="169"/>
      <c r="G226" s="32"/>
      <c r="H226" s="32"/>
      <c r="I226" s="32"/>
      <c r="J226" s="32"/>
      <c r="K226" s="95"/>
      <c r="L226" s="50"/>
      <c r="M226" s="15"/>
    </row>
    <row r="227" spans="1:13">
      <c r="A227" s="32"/>
      <c r="B227" s="50" t="s">
        <v>150</v>
      </c>
      <c r="C227" s="50" t="s">
        <v>319</v>
      </c>
      <c r="D227" s="49">
        <f>IF(E26="IWX",X_industry_wide,E26)</f>
        <v>0</v>
      </c>
      <c r="E227" s="32"/>
      <c r="F227" s="49"/>
      <c r="G227" s="49"/>
      <c r="H227" s="49"/>
      <c r="I227" s="49"/>
      <c r="J227" s="49"/>
      <c r="K227" s="95"/>
      <c r="L227" s="50"/>
      <c r="M227" s="15"/>
    </row>
    <row r="228" spans="1:13">
      <c r="A228" s="50"/>
      <c r="B228" s="50" t="s">
        <v>150</v>
      </c>
      <c r="C228" s="50" t="s">
        <v>143</v>
      </c>
      <c r="D228" s="50"/>
      <c r="E228" s="50"/>
      <c r="F228" s="171"/>
      <c r="G228" s="113"/>
      <c r="H228" s="113"/>
      <c r="I228" s="113">
        <v>1</v>
      </c>
      <c r="J228" s="113">
        <f>I228*(1+J$35)*(1+J$30)*(1-D227)</f>
        <v>1.0282702486217563</v>
      </c>
      <c r="K228" s="95"/>
      <c r="L228" s="50" t="s">
        <v>278</v>
      </c>
    </row>
    <row r="229" spans="1:13">
      <c r="A229" s="50"/>
      <c r="B229" s="50" t="s">
        <v>150</v>
      </c>
      <c r="C229" s="50" t="s">
        <v>102</v>
      </c>
      <c r="D229" s="50"/>
      <c r="E229" s="50"/>
      <c r="F229" s="171"/>
      <c r="G229" s="113"/>
      <c r="H229" s="113"/>
      <c r="I229" s="113">
        <f>I228/(1+WACC)^I$203</f>
        <v>0.84524331169744327</v>
      </c>
      <c r="J229" s="113">
        <f>J228/(1+WACC)^J$203</f>
        <v>0.79906090858233592</v>
      </c>
      <c r="K229" s="95"/>
      <c r="L229" s="50" t="s">
        <v>165</v>
      </c>
    </row>
    <row r="230" spans="1:13">
      <c r="A230" s="50"/>
      <c r="B230" s="50" t="s">
        <v>150</v>
      </c>
      <c r="C230" s="50" t="s">
        <v>91</v>
      </c>
      <c r="D230" s="113">
        <f>SUM(I229:J229)</f>
        <v>1.6443042202797793</v>
      </c>
      <c r="E230" s="50"/>
      <c r="F230" s="171"/>
      <c r="G230" s="113"/>
      <c r="H230" s="113"/>
      <c r="I230" s="113"/>
      <c r="J230" s="113"/>
      <c r="K230" s="95"/>
      <c r="L230" s="50" t="s">
        <v>279</v>
      </c>
    </row>
    <row r="231" spans="1:13">
      <c r="A231" s="50"/>
      <c r="B231" s="50" t="s">
        <v>150</v>
      </c>
      <c r="C231" s="50" t="s">
        <v>142</v>
      </c>
      <c r="D231" s="32">
        <f>D226/D230</f>
        <v>30264.857770861872</v>
      </c>
      <c r="E231" s="50"/>
      <c r="F231" s="171"/>
      <c r="G231" s="113"/>
      <c r="H231" s="31"/>
      <c r="I231" s="31"/>
      <c r="J231" s="31"/>
      <c r="K231" s="95"/>
      <c r="L231" s="50"/>
    </row>
    <row r="232" spans="1:13">
      <c r="A232" s="50"/>
      <c r="B232" s="50" t="s">
        <v>150</v>
      </c>
      <c r="C232" s="50" t="s">
        <v>138</v>
      </c>
      <c r="D232" s="32"/>
      <c r="E232" s="50"/>
      <c r="F232" s="171"/>
      <c r="G232" s="113"/>
      <c r="H232" s="31">
        <f>H215</f>
        <v>29386.919057574567</v>
      </c>
      <c r="I232" s="31">
        <f>$D231*I228</f>
        <v>30264.857770861872</v>
      </c>
      <c r="J232" s="31">
        <f>$D231*J228</f>
        <v>31120.452824546232</v>
      </c>
      <c r="K232" s="95"/>
      <c r="L232" s="50" t="s">
        <v>131</v>
      </c>
    </row>
    <row r="233" spans="1:13">
      <c r="A233" s="50"/>
      <c r="B233" s="50" t="s">
        <v>150</v>
      </c>
      <c r="C233" s="50" t="s">
        <v>139</v>
      </c>
      <c r="D233" s="32"/>
      <c r="E233" s="50"/>
      <c r="F233" s="171"/>
      <c r="G233" s="113"/>
      <c r="H233" s="54">
        <f>H232/$D$50</f>
        <v>28402.093665892455</v>
      </c>
      <c r="I233" s="54">
        <f>I232/$D$50</f>
        <v>29250.610569581684</v>
      </c>
      <c r="J233" s="54">
        <f>J232/$D$50</f>
        <v>30077.532602721931</v>
      </c>
      <c r="K233" s="95"/>
      <c r="L233" s="50" t="s">
        <v>133</v>
      </c>
    </row>
    <row r="234" spans="1:13">
      <c r="A234" s="50"/>
      <c r="B234" s="50" t="s">
        <v>150</v>
      </c>
      <c r="C234" s="50" t="s">
        <v>209</v>
      </c>
      <c r="D234" s="50"/>
      <c r="E234" s="50"/>
      <c r="F234" s="171"/>
      <c r="G234" s="113"/>
      <c r="H234" s="31"/>
      <c r="I234" s="31">
        <f>I232/(1+WACC)^I$203</f>
        <v>25581.16861029539</v>
      </c>
      <c r="J234" s="31">
        <f>J232/(1+WACC)^J$203</f>
        <v>24183.464748500057</v>
      </c>
      <c r="K234" s="95"/>
      <c r="L234" s="50" t="s">
        <v>181</v>
      </c>
    </row>
    <row r="235" spans="1:13">
      <c r="A235" s="50"/>
      <c r="B235" s="50" t="s">
        <v>150</v>
      </c>
      <c r="C235" s="50" t="s">
        <v>390</v>
      </c>
      <c r="D235" s="32">
        <f>SUM(I234:J234)</f>
        <v>49764.633358795443</v>
      </c>
      <c r="E235" s="50"/>
      <c r="F235" s="50"/>
      <c r="G235" s="113"/>
      <c r="H235" s="31"/>
      <c r="I235" s="31"/>
      <c r="J235" s="31"/>
      <c r="K235" s="95"/>
      <c r="L235" s="50" t="s">
        <v>134</v>
      </c>
    </row>
    <row r="236" spans="1:13">
      <c r="A236" s="50"/>
      <c r="B236" s="50" t="s">
        <v>150</v>
      </c>
      <c r="C236" s="50" t="s">
        <v>132</v>
      </c>
      <c r="D236" s="172">
        <f>D226-D235</f>
        <v>0</v>
      </c>
      <c r="E236" s="50"/>
      <c r="F236" s="171"/>
      <c r="G236" s="113"/>
      <c r="H236" s="31"/>
      <c r="I236" s="31"/>
      <c r="J236" s="31"/>
      <c r="K236" s="95"/>
      <c r="L236" s="50"/>
      <c r="M236" s="15"/>
    </row>
    <row r="237" spans="1:13">
      <c r="A237" s="50"/>
      <c r="B237" s="119" t="s">
        <v>150</v>
      </c>
      <c r="C237" s="119" t="s">
        <v>190</v>
      </c>
      <c r="D237" s="119"/>
      <c r="E237" s="50"/>
      <c r="F237" s="176"/>
      <c r="G237" s="177"/>
      <c r="H237" s="178">
        <f>(H233+H187-H$189-H$183-H152+H$180)*H$53</f>
        <v>3241.2033326312153</v>
      </c>
      <c r="I237" s="178">
        <f>(I233+I187-I$189-I$183-I152+I$180)*I$53</f>
        <v>3350.3431240827908</v>
      </c>
      <c r="J237" s="178">
        <f>(J233+J187-J$189-J$183-J152+J$180)*J$53</f>
        <v>3465.3489952706141</v>
      </c>
      <c r="K237" s="54"/>
      <c r="L237" s="50"/>
      <c r="M237" s="15"/>
    </row>
    <row r="238" spans="1:13">
      <c r="A238" s="50"/>
      <c r="B238" s="119"/>
      <c r="C238" s="119"/>
      <c r="D238" s="119"/>
      <c r="E238" s="178"/>
      <c r="F238" s="176"/>
      <c r="G238" s="177"/>
      <c r="H238" s="178"/>
      <c r="I238" s="178"/>
      <c r="J238" s="178"/>
      <c r="K238" s="95"/>
      <c r="L238" s="50"/>
      <c r="M238" s="15"/>
    </row>
    <row r="239" spans="1:13" ht="21">
      <c r="A239" s="50"/>
      <c r="B239" s="50"/>
      <c r="C239" s="155" t="s">
        <v>199</v>
      </c>
      <c r="D239" s="155"/>
      <c r="E239" s="155"/>
      <c r="F239" s="155"/>
      <c r="G239" s="155"/>
      <c r="H239" s="155"/>
      <c r="I239" s="155"/>
      <c r="J239" s="50"/>
      <c r="K239" s="50"/>
      <c r="L239" s="50"/>
      <c r="M239" s="15"/>
    </row>
    <row r="240" spans="1:13">
      <c r="A240" s="50"/>
      <c r="B240" s="50"/>
      <c r="C240" s="50" t="s">
        <v>197</v>
      </c>
      <c r="D240" s="179"/>
      <c r="E240" s="50"/>
      <c r="F240" s="31">
        <f>G240/((1+G35)*(1+G30)*(1-X_industry_wide))</f>
        <v>27036.104182590068</v>
      </c>
      <c r="G240" s="31">
        <f>H240/((1+H35)*(1+H30)*(1-X_industry_wide))</f>
        <v>27659.738935100664</v>
      </c>
      <c r="H240" s="31">
        <f>H233</f>
        <v>28402.093665892455</v>
      </c>
      <c r="I240" s="50"/>
      <c r="J240" s="50"/>
      <c r="K240" s="50"/>
      <c r="L240" s="50"/>
      <c r="M240" s="15"/>
    </row>
    <row r="241" spans="1:13">
      <c r="A241" s="50"/>
      <c r="B241" s="50"/>
      <c r="C241" s="50"/>
      <c r="D241" s="179"/>
      <c r="E241" s="50"/>
      <c r="F241" s="31"/>
      <c r="G241" s="31"/>
      <c r="H241" s="31"/>
      <c r="I241" s="50"/>
      <c r="J241" s="50"/>
      <c r="K241" s="50"/>
      <c r="L241" s="50"/>
      <c r="M241" s="15"/>
    </row>
    <row r="242" spans="1:13" ht="21">
      <c r="A242" s="50"/>
      <c r="B242" s="50"/>
      <c r="C242" s="155" t="s">
        <v>198</v>
      </c>
      <c r="D242" s="179"/>
      <c r="E242" s="50"/>
      <c r="F242" s="123"/>
      <c r="G242" s="50"/>
      <c r="H242" s="50"/>
      <c r="I242" s="50"/>
      <c r="J242" s="50"/>
      <c r="K242" s="50"/>
      <c r="L242" s="27"/>
      <c r="M242" s="15"/>
    </row>
    <row r="243" spans="1:13">
      <c r="A243" s="50"/>
      <c r="B243" s="50"/>
      <c r="C243" s="180" t="s">
        <v>212</v>
      </c>
      <c r="D243" s="179"/>
      <c r="E243" s="181">
        <f>(1+H30)*(1+I30)</f>
        <v>1.0119824965114665</v>
      </c>
      <c r="F243" s="123"/>
      <c r="G243" s="50"/>
      <c r="H243" s="50"/>
      <c r="I243" s="50"/>
      <c r="J243" s="50"/>
      <c r="K243" s="50"/>
      <c r="L243" s="27"/>
      <c r="M243" s="15"/>
    </row>
    <row r="244" spans="1:13">
      <c r="A244" s="50"/>
      <c r="B244" s="50"/>
      <c r="C244" s="50"/>
      <c r="D244" s="127"/>
      <c r="E244" s="50"/>
      <c r="F244" s="123"/>
      <c r="G244" s="50"/>
      <c r="H244" s="50"/>
      <c r="I244" s="50"/>
      <c r="J244" s="50"/>
      <c r="K244" s="50"/>
      <c r="L244" s="27"/>
    </row>
    <row r="245" spans="1:13" ht="21">
      <c r="A245" s="50"/>
      <c r="B245" s="50"/>
      <c r="C245" s="155" t="s">
        <v>315</v>
      </c>
      <c r="D245" s="162" t="s">
        <v>342</v>
      </c>
      <c r="E245" s="50"/>
      <c r="F245" s="123"/>
      <c r="G245" s="50"/>
      <c r="H245" s="50"/>
      <c r="I245" s="50"/>
      <c r="J245" s="50"/>
      <c r="K245" s="50"/>
      <c r="L245" s="27"/>
    </row>
    <row r="246" spans="1:13">
      <c r="A246" s="50"/>
      <c r="B246" s="50"/>
      <c r="C246" s="50"/>
      <c r="D246" s="50"/>
      <c r="E246" s="99" t="str">
        <f>Inputs!D$11</f>
        <v>2009/10</v>
      </c>
      <c r="F246" s="99" t="str">
        <f>Inputs!E$11</f>
        <v>2010/11</v>
      </c>
      <c r="G246" s="99" t="str">
        <f>Inputs!F$11</f>
        <v>2011/12</v>
      </c>
      <c r="H246" s="99" t="str">
        <f>Inputs!G$11</f>
        <v>2012/13</v>
      </c>
      <c r="I246" s="99" t="str">
        <f>Inputs!H$11</f>
        <v>2013/14</v>
      </c>
      <c r="J246" s="99" t="str">
        <f>Inputs!I$11</f>
        <v>2014/15</v>
      </c>
      <c r="K246" s="50"/>
      <c r="L246" s="27"/>
    </row>
    <row r="247" spans="1:13">
      <c r="A247" s="50"/>
      <c r="B247" s="50"/>
      <c r="C247" s="122" t="str">
        <f>C35</f>
        <v>2009 ΔCPI, 8 index, lagged, no GST adjustment</v>
      </c>
      <c r="D247" s="50"/>
      <c r="E247" s="50"/>
      <c r="F247" s="50"/>
      <c r="G247" s="50"/>
      <c r="H247" s="50"/>
      <c r="I247" s="100">
        <f>I35</f>
        <v>2.3759818812291389E-2</v>
      </c>
      <c r="J247" s="100">
        <f>J35</f>
        <v>2.2164443909808984E-2</v>
      </c>
      <c r="K247" s="50"/>
      <c r="L247" s="27"/>
    </row>
    <row r="248" spans="1:13">
      <c r="A248" s="50"/>
      <c r="B248" s="50"/>
      <c r="C248" s="122" t="str">
        <f>C37</f>
        <v>2012 ΔCPI, 8 index, lagged, with GST adjustment</v>
      </c>
      <c r="D248" s="50"/>
      <c r="E248" s="99"/>
      <c r="F248" s="100"/>
      <c r="G248" s="100"/>
      <c r="H248" s="100"/>
      <c r="I248" s="100">
        <f>I$37</f>
        <v>1.2820512820512775E-2</v>
      </c>
      <c r="J248" s="101">
        <f>J$37</f>
        <v>1.9725095732576747E-2</v>
      </c>
      <c r="K248" s="50"/>
      <c r="L248" s="27"/>
    </row>
    <row r="249" spans="1:13">
      <c r="A249" s="50"/>
      <c r="B249" s="50"/>
      <c r="C249" s="50" t="s">
        <v>200</v>
      </c>
      <c r="D249" s="50"/>
      <c r="E249" s="99"/>
      <c r="F249" s="100"/>
      <c r="G249" s="100">
        <f>G$30</f>
        <v>5.9734074574071209E-3</v>
      </c>
      <c r="H249" s="100">
        <f>H$30</f>
        <v>5.9734074574071209E-3</v>
      </c>
      <c r="I249" s="100">
        <f>I$30</f>
        <v>5.9734074574071209E-3</v>
      </c>
      <c r="J249" s="100">
        <f>J$30</f>
        <v>5.9734074574071209E-3</v>
      </c>
      <c r="K249" s="50"/>
      <c r="L249" s="27"/>
    </row>
    <row r="250" spans="1:13">
      <c r="A250" s="50"/>
      <c r="B250" s="50"/>
      <c r="C250" s="50" t="s">
        <v>309</v>
      </c>
      <c r="D250" s="54">
        <f>E25</f>
        <v>14124.799000000001</v>
      </c>
      <c r="E250" s="50"/>
      <c r="F250" s="123"/>
      <c r="G250" s="50"/>
      <c r="H250" s="50"/>
      <c r="I250" s="50"/>
      <c r="J250" s="50"/>
      <c r="K250" s="50"/>
      <c r="L250" s="27"/>
    </row>
    <row r="251" spans="1:13">
      <c r="A251" s="50"/>
      <c r="B251" s="50"/>
      <c r="C251" s="119" t="s">
        <v>335</v>
      </c>
      <c r="D251" s="32">
        <f>E24</f>
        <v>25556.057000000001</v>
      </c>
      <c r="E251" s="50"/>
      <c r="F251" s="123"/>
      <c r="G251" s="50"/>
      <c r="H251" s="50"/>
      <c r="I251" s="50"/>
      <c r="J251" s="50"/>
      <c r="K251" s="50"/>
      <c r="L251" s="27"/>
    </row>
    <row r="252" spans="1:13">
      <c r="A252" s="50"/>
      <c r="B252" s="50"/>
      <c r="C252" s="50" t="s">
        <v>383</v>
      </c>
      <c r="D252" s="50"/>
      <c r="E252" s="50"/>
      <c r="F252" s="123"/>
      <c r="G252" s="50"/>
      <c r="H252" s="124">
        <f>(D251+D250)*(1+G$249)*(1+H$249)-D250</f>
        <v>26031.532718592003</v>
      </c>
      <c r="I252" s="124">
        <f>H252*(1+I249)*(1+I248)</f>
        <v>26522.760819879706</v>
      </c>
      <c r="J252" s="124">
        <f>I252*(1+J249)*(1+J248)</f>
        <v>27207.481145133297</v>
      </c>
      <c r="K252" s="50"/>
      <c r="L252" s="27"/>
    </row>
    <row r="253" spans="1:13">
      <c r="A253" s="50"/>
      <c r="B253" s="50"/>
      <c r="C253" s="50" t="s">
        <v>314</v>
      </c>
      <c r="D253" s="50"/>
      <c r="E253" s="50"/>
      <c r="F253" s="123"/>
      <c r="G253" s="50"/>
      <c r="H253" s="124">
        <f>$D$250</f>
        <v>14124.799000000001</v>
      </c>
      <c r="I253" s="124">
        <f>H253*(1+I34)</f>
        <v>14375.111893670888</v>
      </c>
      <c r="J253" s="124"/>
      <c r="K253" s="50"/>
      <c r="L253" s="27"/>
    </row>
    <row r="254" spans="1:13">
      <c r="A254" s="50"/>
      <c r="B254" s="50"/>
      <c r="C254" s="119" t="s">
        <v>336</v>
      </c>
      <c r="D254" s="50"/>
      <c r="E254" s="50"/>
      <c r="F254" s="123"/>
      <c r="G254" s="50"/>
      <c r="H254" s="124">
        <f>D251</f>
        <v>25556.057000000001</v>
      </c>
      <c r="I254" s="124">
        <f>((H254+H253)*(1+G249)-H253)*(1+I248)*(1-X_industry_wide)</f>
        <v>26123.767522699862</v>
      </c>
      <c r="J254" s="97"/>
      <c r="K254" s="50"/>
      <c r="L254" s="27"/>
    </row>
    <row r="255" spans="1:13">
      <c r="A255" s="50"/>
      <c r="B255" s="50"/>
      <c r="C255" s="50" t="s">
        <v>337</v>
      </c>
      <c r="D255" s="50"/>
      <c r="E255" s="50"/>
      <c r="F255" s="123"/>
      <c r="G255" s="50"/>
      <c r="H255" s="124">
        <f>H216</f>
        <v>28402.093665892455</v>
      </c>
      <c r="I255" s="124">
        <f>I216</f>
        <v>29250.610569581684</v>
      </c>
      <c r="J255" s="124">
        <f>J216</f>
        <v>30077.532602721934</v>
      </c>
      <c r="K255" s="50"/>
      <c r="L255" s="27"/>
    </row>
    <row r="256" spans="1:13">
      <c r="A256" s="50"/>
      <c r="B256" s="50"/>
      <c r="C256" s="119" t="s">
        <v>371</v>
      </c>
      <c r="D256" s="50"/>
      <c r="E256" s="50"/>
      <c r="F256" s="123"/>
      <c r="G256" s="50"/>
      <c r="H256" s="124"/>
      <c r="I256" s="124">
        <f>(I255+I253)/((1+H249)*(1+I249))-I253</f>
        <v>28734.055126154402</v>
      </c>
      <c r="J256" s="124"/>
      <c r="K256" s="50"/>
      <c r="L256" s="27"/>
    </row>
    <row r="257" spans="1:12">
      <c r="A257" s="50"/>
      <c r="B257" s="50"/>
      <c r="C257" s="50" t="s">
        <v>344</v>
      </c>
      <c r="D257" s="50"/>
      <c r="E257" s="50"/>
      <c r="F257" s="123"/>
      <c r="G257" s="50"/>
      <c r="H257" s="124">
        <f>H255</f>
        <v>28402.093665892455</v>
      </c>
      <c r="I257" s="124">
        <f>I255*(1+I248)/(1+I247)</f>
        <v>28938.055443284353</v>
      </c>
      <c r="J257" s="124">
        <f>I257*(1+J$248)*(1+J$249)*(1-X_industry_wide)</f>
        <v>29685.129809708549</v>
      </c>
      <c r="K257" s="50"/>
      <c r="L257" s="27"/>
    </row>
    <row r="258" spans="1:12">
      <c r="A258" s="50"/>
      <c r="B258" s="50"/>
      <c r="C258" s="119" t="s">
        <v>346</v>
      </c>
      <c r="D258" s="50"/>
      <c r="E258" s="50"/>
      <c r="F258" s="123"/>
      <c r="G258" s="50"/>
      <c r="H258" s="124"/>
      <c r="I258" s="124">
        <f>(I257+I253)/((1+H249)*(1+I249))-I253</f>
        <v>28425.200845201143</v>
      </c>
      <c r="J258" s="97"/>
      <c r="K258" s="50"/>
      <c r="L258" s="27"/>
    </row>
    <row r="259" spans="1:12">
      <c r="A259" s="50"/>
      <c r="B259" s="50"/>
      <c r="C259" s="50" t="s">
        <v>338</v>
      </c>
      <c r="D259" s="50"/>
      <c r="E259" s="50"/>
      <c r="F259" s="123"/>
      <c r="G259" s="50"/>
      <c r="H259" s="124">
        <f>H233</f>
        <v>28402.093665892455</v>
      </c>
      <c r="I259" s="124">
        <f>I233</f>
        <v>29250.610569581684</v>
      </c>
      <c r="J259" s="124">
        <f>J233</f>
        <v>30077.532602721931</v>
      </c>
      <c r="K259" s="50"/>
      <c r="L259" s="27"/>
    </row>
    <row r="260" spans="1:12">
      <c r="A260" s="50"/>
      <c r="B260" s="50"/>
      <c r="C260" s="50" t="s">
        <v>345</v>
      </c>
      <c r="D260" s="50"/>
      <c r="E260" s="50"/>
      <c r="F260" s="123"/>
      <c r="G260" s="50"/>
      <c r="H260" s="124">
        <f>H259</f>
        <v>28402.093665892455</v>
      </c>
      <c r="I260" s="124">
        <f>I259*(1+I248)/(1+I247)</f>
        <v>28938.055443284353</v>
      </c>
      <c r="J260" s="124">
        <f>I260*(1+J$248)*(1+J$249)*(1-D227)</f>
        <v>29685.129809708549</v>
      </c>
      <c r="K260" s="50"/>
      <c r="L260" s="27"/>
    </row>
    <row r="261" spans="1:12">
      <c r="A261" s="50"/>
      <c r="B261" s="50"/>
      <c r="C261" s="119" t="s">
        <v>347</v>
      </c>
      <c r="D261" s="50"/>
      <c r="E261" s="50"/>
      <c r="F261" s="123"/>
      <c r="G261" s="50"/>
      <c r="H261" s="97"/>
      <c r="I261" s="124">
        <f>(I260+I253)/((1+H249)*(1+I249))-I253</f>
        <v>28425.200845201143</v>
      </c>
      <c r="J261" s="97"/>
      <c r="K261" s="50"/>
      <c r="L261" s="27"/>
    </row>
    <row r="262" spans="1:12">
      <c r="A262" s="50"/>
      <c r="B262" s="50"/>
      <c r="C262" s="50" t="s">
        <v>317</v>
      </c>
      <c r="D262" s="126">
        <f>E27</f>
        <v>0.2</v>
      </c>
      <c r="E262" s="50"/>
      <c r="F262" s="123"/>
      <c r="G262" s="50"/>
      <c r="H262" s="125"/>
      <c r="I262" s="125"/>
      <c r="J262" s="125"/>
      <c r="K262" s="50"/>
      <c r="L262" s="27"/>
    </row>
    <row r="263" spans="1:12" ht="18">
      <c r="A263" s="50"/>
      <c r="B263" s="50"/>
      <c r="C263" s="50" t="s">
        <v>339</v>
      </c>
      <c r="D263" s="127"/>
      <c r="E263" s="50"/>
      <c r="F263" s="123"/>
      <c r="G263" s="50"/>
      <c r="H263" s="124">
        <f>(D251+H253)*(1+G$249)*(1+H$249)-H253</f>
        <v>26031.532718592003</v>
      </c>
      <c r="I263" s="124">
        <f>H263*(1+$D262)*(1+I$247)*(1+I$249)</f>
        <v>32171.07450055017</v>
      </c>
      <c r="J263" s="124">
        <f>I264*(1+$D262)*(1+J247)*(1+J249)</f>
        <v>35707.369758355402</v>
      </c>
      <c r="K263" s="50"/>
      <c r="L263" s="27"/>
    </row>
    <row r="264" spans="1:12">
      <c r="A264" s="50"/>
      <c r="B264" s="50"/>
      <c r="C264" s="50" t="s">
        <v>367</v>
      </c>
      <c r="D264" s="127"/>
      <c r="E264" s="50"/>
      <c r="F264" s="123"/>
      <c r="G264" s="50"/>
      <c r="H264" s="124">
        <f>H260</f>
        <v>28402.093665892455</v>
      </c>
      <c r="I264" s="124">
        <f>MIN(I260,I263)</f>
        <v>28938.055443284353</v>
      </c>
      <c r="J264" s="124">
        <f>MIN(J260,J263)</f>
        <v>29685.129809708549</v>
      </c>
      <c r="K264" s="50"/>
      <c r="L264" s="27"/>
    </row>
    <row r="265" spans="1:12">
      <c r="A265" s="50"/>
      <c r="B265" s="50"/>
      <c r="C265" s="50" t="s">
        <v>373</v>
      </c>
      <c r="D265" s="31">
        <f>NPV(WACC,H255:J255)*D50</f>
        <v>76782.118931632227</v>
      </c>
      <c r="E265" s="50"/>
      <c r="F265" s="123"/>
      <c r="G265" s="50"/>
      <c r="H265" s="50"/>
      <c r="I265" s="50"/>
      <c r="J265" s="50"/>
      <c r="K265" s="50"/>
      <c r="L265" s="27"/>
    </row>
    <row r="266" spans="1:12">
      <c r="A266" s="50"/>
      <c r="B266" s="50"/>
      <c r="C266" s="50" t="s">
        <v>372</v>
      </c>
      <c r="D266" s="31">
        <f>NPV(WACC,H252:J252)*D50</f>
        <v>69833.848880274003</v>
      </c>
      <c r="E266" s="50"/>
      <c r="F266" s="123"/>
      <c r="G266" s="50"/>
      <c r="H266" s="50"/>
      <c r="I266" s="50"/>
      <c r="J266" s="50"/>
      <c r="K266" s="50"/>
      <c r="L266" s="27"/>
    </row>
    <row r="267" spans="1:12">
      <c r="A267" s="50"/>
      <c r="B267" s="50"/>
      <c r="C267" s="50" t="s">
        <v>340</v>
      </c>
      <c r="D267" s="31">
        <f>NPV(WACC,H259:J259)*D50</f>
        <v>76782.118931632227</v>
      </c>
      <c r="E267" s="50"/>
      <c r="F267" s="123"/>
      <c r="G267" s="50"/>
      <c r="H267" s="50"/>
      <c r="I267" s="50"/>
      <c r="J267" s="50"/>
      <c r="K267" s="50"/>
      <c r="L267" s="27"/>
    </row>
    <row r="268" spans="1:12">
      <c r="A268" s="50"/>
      <c r="B268" s="50"/>
      <c r="C268" s="50" t="s">
        <v>351</v>
      </c>
      <c r="D268" s="31">
        <f>NPV(WACC,H264:J264)*D50</f>
        <v>76193.266773367344</v>
      </c>
      <c r="E268" s="50"/>
      <c r="F268" s="123"/>
      <c r="G268" s="50"/>
      <c r="H268" s="50"/>
      <c r="I268" s="50"/>
      <c r="J268" s="50"/>
      <c r="K268" s="50"/>
      <c r="L268" s="27"/>
    </row>
    <row r="269" spans="1:12">
      <c r="A269" s="50"/>
      <c r="B269" s="50"/>
      <c r="C269" s="50" t="s">
        <v>348</v>
      </c>
      <c r="D269" s="31">
        <f>NPV(WACC,H257:J257)*D50</f>
        <v>76193.266773367344</v>
      </c>
      <c r="E269" s="50"/>
      <c r="F269" s="123"/>
      <c r="G269" s="50"/>
      <c r="H269" s="50"/>
      <c r="I269" s="50"/>
      <c r="J269" s="50"/>
      <c r="K269" s="50"/>
      <c r="L269" s="27"/>
    </row>
    <row r="270" spans="1:12">
      <c r="A270" s="50"/>
      <c r="B270" s="50"/>
      <c r="C270" s="50" t="s">
        <v>349</v>
      </c>
      <c r="D270" s="31">
        <f>NPV(WACC,H260:J260)*D50</f>
        <v>76193.266773367344</v>
      </c>
      <c r="E270" s="50"/>
      <c r="F270" s="123"/>
      <c r="G270" s="50"/>
      <c r="H270" s="50"/>
      <c r="I270" s="50"/>
      <c r="J270" s="50"/>
      <c r="K270" s="50"/>
      <c r="L270" s="27"/>
    </row>
    <row r="271" spans="1:12">
      <c r="A271" s="50"/>
      <c r="B271" s="50"/>
      <c r="C271" s="50" t="s">
        <v>368</v>
      </c>
      <c r="D271" s="31" t="b">
        <f>OR(I260&gt;I263,J260&gt;J263)</f>
        <v>0</v>
      </c>
      <c r="E271" s="50"/>
      <c r="F271" s="123"/>
      <c r="G271" s="50"/>
      <c r="H271" s="50"/>
      <c r="I271" s="50"/>
      <c r="J271" s="50"/>
      <c r="K271" s="50"/>
      <c r="L271" s="27"/>
    </row>
    <row r="272" spans="1:12">
      <c r="A272" s="50"/>
      <c r="B272" s="50"/>
      <c r="C272" s="50"/>
      <c r="D272" s="31"/>
      <c r="E272" s="50"/>
      <c r="F272" s="123"/>
      <c r="G272" s="50"/>
      <c r="H272" s="50"/>
      <c r="I272" s="50"/>
      <c r="J272" s="50"/>
      <c r="K272" s="50"/>
      <c r="L272" s="27"/>
    </row>
    <row r="273" spans="1:12" ht="21">
      <c r="A273" s="50"/>
      <c r="B273" s="50"/>
      <c r="C273" s="155" t="s">
        <v>343</v>
      </c>
      <c r="D273" s="127"/>
      <c r="E273" s="50"/>
      <c r="F273" s="123"/>
      <c r="G273" s="50"/>
      <c r="H273" s="50"/>
      <c r="I273" s="50"/>
      <c r="J273" s="50"/>
      <c r="K273" s="50"/>
      <c r="L273" s="27"/>
    </row>
    <row r="274" spans="1:12" ht="30">
      <c r="A274" s="50"/>
      <c r="B274" s="50"/>
      <c r="C274" s="123" t="s">
        <v>370</v>
      </c>
      <c r="D274" s="126">
        <f>I$261/(D$251*(1+I$249)*(1+I$248))-1</f>
        <v>9.166831365070327E-2</v>
      </c>
      <c r="E274" s="50"/>
      <c r="F274" s="123"/>
      <c r="G274" s="50"/>
      <c r="H274" s="50"/>
      <c r="I274" s="50"/>
      <c r="J274" s="50"/>
      <c r="K274" s="50"/>
      <c r="L274" s="27"/>
    </row>
    <row r="275" spans="1:12" ht="30">
      <c r="A275" s="50"/>
      <c r="B275" s="50"/>
      <c r="C275" s="123" t="s">
        <v>350</v>
      </c>
      <c r="D275" s="31">
        <f>D265-D268</f>
        <v>588.85215826488275</v>
      </c>
      <c r="E275" s="50"/>
      <c r="F275" s="123"/>
      <c r="G275" s="50"/>
      <c r="H275" s="50"/>
      <c r="I275" s="50"/>
      <c r="J275" s="50"/>
      <c r="K275" s="50"/>
      <c r="L275" s="27"/>
    </row>
    <row r="276" spans="1:12">
      <c r="A276" s="50"/>
      <c r="B276" s="50"/>
      <c r="C276" s="123" t="s">
        <v>366</v>
      </c>
      <c r="D276" s="31">
        <f>ROUNDUP(I264,0)</f>
        <v>28939</v>
      </c>
      <c r="E276" s="50"/>
      <c r="F276" s="123"/>
      <c r="G276" s="50"/>
      <c r="H276" s="50"/>
      <c r="I276" s="50"/>
      <c r="J276" s="50"/>
      <c r="K276" s="50"/>
      <c r="L276" s="27"/>
    </row>
    <row r="277" spans="1:12">
      <c r="A277" s="50"/>
      <c r="B277" s="50"/>
      <c r="C277" s="123" t="s">
        <v>378</v>
      </c>
      <c r="D277" s="31">
        <f>ROUNDUP(H233,0)</f>
        <v>28403</v>
      </c>
      <c r="E277" s="50"/>
      <c r="F277" s="123"/>
      <c r="G277" s="50"/>
      <c r="H277" s="50"/>
      <c r="I277" s="50"/>
      <c r="J277" s="50"/>
      <c r="K277" s="50"/>
      <c r="L277" s="27"/>
    </row>
    <row r="278" spans="1:12">
      <c r="A278" s="50"/>
      <c r="B278" s="50"/>
      <c r="C278" s="114" t="s">
        <v>382</v>
      </c>
      <c r="D278" s="31">
        <f>D269-D266</f>
        <v>6359.4178930933413</v>
      </c>
      <c r="E278" s="50"/>
      <c r="F278" s="123"/>
      <c r="G278" s="50"/>
      <c r="H278" s="50"/>
      <c r="I278" s="50"/>
      <c r="J278" s="50"/>
      <c r="K278" s="50"/>
      <c r="L278" s="27"/>
    </row>
    <row r="279" spans="1:12">
      <c r="A279" s="15"/>
      <c r="B279" s="15"/>
      <c r="C279" s="15"/>
      <c r="D279" s="15"/>
      <c r="E279" s="120"/>
      <c r="F279" s="15"/>
      <c r="G279" s="15"/>
      <c r="H279" s="15"/>
      <c r="I279" s="15"/>
      <c r="J279" s="15"/>
      <c r="K279" s="15"/>
    </row>
    <row r="280" spans="1:12">
      <c r="A280" s="15"/>
      <c r="B280" s="15"/>
      <c r="C280" s="15"/>
      <c r="D280" s="15"/>
      <c r="E280" s="120"/>
      <c r="F280" s="15"/>
      <c r="G280" s="15"/>
      <c r="H280" s="15"/>
      <c r="I280" s="15"/>
      <c r="J280" s="15"/>
      <c r="K280" s="15"/>
    </row>
    <row r="281" spans="1:12">
      <c r="A281" s="15"/>
      <c r="B281" s="15"/>
      <c r="C281" s="15"/>
      <c r="D281" s="15"/>
      <c r="E281" s="120"/>
      <c r="F281" s="15"/>
      <c r="G281" s="15"/>
      <c r="H281" s="15"/>
      <c r="I281" s="15"/>
      <c r="J281" s="15"/>
      <c r="K281" s="15"/>
    </row>
    <row r="282" spans="1:12">
      <c r="A282" s="15"/>
      <c r="B282" s="15"/>
      <c r="C282" s="15"/>
      <c r="D282" s="15"/>
      <c r="E282" s="120"/>
      <c r="F282" s="15"/>
      <c r="G282" s="15"/>
      <c r="H282" s="15"/>
      <c r="I282" s="15"/>
      <c r="J282" s="15"/>
      <c r="K282" s="15"/>
    </row>
    <row r="283" spans="1:12">
      <c r="A283" s="15"/>
      <c r="B283" s="15"/>
      <c r="C283" s="15"/>
      <c r="D283" s="15"/>
      <c r="E283" s="120"/>
      <c r="F283" s="15"/>
      <c r="G283" s="15"/>
      <c r="H283" s="15"/>
      <c r="I283" s="15"/>
      <c r="J283" s="15"/>
      <c r="K283" s="15"/>
    </row>
    <row r="284" spans="1:12">
      <c r="A284" s="15"/>
      <c r="B284" s="15"/>
      <c r="C284" s="15"/>
      <c r="D284" s="15"/>
      <c r="E284" s="120"/>
      <c r="F284" s="15"/>
      <c r="G284" s="15"/>
      <c r="H284" s="15"/>
      <c r="I284" s="15"/>
      <c r="J284" s="15"/>
      <c r="K284" s="15"/>
    </row>
    <row r="285" spans="1:12">
      <c r="A285" s="15"/>
      <c r="B285" s="15"/>
      <c r="C285" s="15"/>
      <c r="D285" s="15"/>
      <c r="E285" s="120"/>
      <c r="F285" s="15"/>
      <c r="G285" s="15"/>
      <c r="H285" s="15"/>
      <c r="I285" s="15"/>
      <c r="J285" s="15"/>
      <c r="K285" s="15"/>
    </row>
    <row r="286" spans="1:12">
      <c r="A286" s="15"/>
      <c r="B286" s="15"/>
      <c r="C286" s="15"/>
      <c r="D286" s="15"/>
      <c r="E286" s="120"/>
      <c r="F286" s="15"/>
      <c r="G286" s="15"/>
      <c r="H286" s="15"/>
      <c r="I286" s="15"/>
      <c r="J286" s="15"/>
      <c r="K286" s="15"/>
    </row>
    <row r="287" spans="1:12">
      <c r="A287" s="15"/>
      <c r="B287" s="15"/>
      <c r="C287" s="15"/>
      <c r="D287" s="15"/>
      <c r="E287" s="120"/>
      <c r="F287" s="15"/>
      <c r="G287" s="15"/>
      <c r="H287" s="15"/>
      <c r="I287" s="15"/>
      <c r="J287" s="15"/>
      <c r="K287" s="15"/>
    </row>
    <row r="288" spans="1:12">
      <c r="A288" s="15"/>
      <c r="B288" s="15"/>
      <c r="C288" s="15"/>
      <c r="D288" s="15"/>
      <c r="E288" s="120"/>
      <c r="F288" s="15"/>
      <c r="G288" s="15"/>
      <c r="H288" s="15"/>
      <c r="I288" s="15"/>
      <c r="J288" s="15"/>
      <c r="K288" s="15"/>
    </row>
    <row r="289" spans="1:11">
      <c r="A289" s="15"/>
      <c r="B289" s="15"/>
      <c r="C289" s="15"/>
      <c r="D289" s="15"/>
      <c r="E289" s="120"/>
      <c r="F289" s="15"/>
      <c r="G289" s="15"/>
      <c r="H289" s="15"/>
      <c r="I289" s="15"/>
      <c r="J289" s="15"/>
      <c r="K289" s="15"/>
    </row>
    <row r="290" spans="1:11">
      <c r="A290" s="15"/>
      <c r="B290" s="15"/>
      <c r="C290" s="15"/>
      <c r="D290" s="15"/>
      <c r="E290" s="120"/>
      <c r="F290" s="15"/>
      <c r="G290" s="15"/>
      <c r="H290" s="15"/>
      <c r="I290" s="15"/>
      <c r="J290" s="15"/>
      <c r="K290" s="15"/>
    </row>
    <row r="291" spans="1:11">
      <c r="A291" s="15"/>
      <c r="B291" s="15"/>
      <c r="C291" s="15"/>
      <c r="D291" s="15"/>
      <c r="E291" s="120"/>
      <c r="F291" s="15"/>
      <c r="G291" s="15"/>
      <c r="H291" s="15"/>
      <c r="I291" s="15"/>
      <c r="J291" s="15"/>
      <c r="K291" s="15"/>
    </row>
    <row r="292" spans="1:11">
      <c r="A292" s="15"/>
      <c r="B292" s="15"/>
      <c r="C292" s="15"/>
      <c r="D292" s="15"/>
      <c r="E292" s="120"/>
      <c r="F292" s="15"/>
      <c r="G292" s="15"/>
      <c r="H292" s="15"/>
      <c r="I292" s="15"/>
      <c r="J292" s="15"/>
      <c r="K292" s="15"/>
    </row>
    <row r="293" spans="1:11">
      <c r="A293" s="15"/>
      <c r="B293" s="15"/>
      <c r="C293" s="15"/>
      <c r="D293" s="15"/>
      <c r="E293" s="120"/>
      <c r="F293" s="15"/>
      <c r="G293" s="15"/>
      <c r="H293" s="15"/>
      <c r="I293" s="15"/>
      <c r="J293" s="15"/>
      <c r="K293" s="15"/>
    </row>
    <row r="294" spans="1:11">
      <c r="A294" s="15"/>
      <c r="B294" s="15"/>
      <c r="C294" s="15"/>
      <c r="D294" s="15"/>
      <c r="E294" s="120"/>
      <c r="F294" s="15"/>
      <c r="G294" s="15"/>
      <c r="H294" s="15"/>
      <c r="I294" s="15"/>
      <c r="J294" s="15"/>
      <c r="K294" s="15"/>
    </row>
    <row r="295" spans="1:11">
      <c r="A295" s="15"/>
      <c r="B295" s="15"/>
      <c r="C295" s="15"/>
      <c r="D295" s="15"/>
      <c r="E295" s="120"/>
      <c r="F295" s="15"/>
      <c r="G295" s="15"/>
      <c r="H295" s="15"/>
      <c r="I295" s="15"/>
      <c r="J295" s="15"/>
      <c r="K295" s="15"/>
    </row>
    <row r="296" spans="1:11">
      <c r="A296" s="15"/>
      <c r="B296" s="15"/>
      <c r="C296" s="15"/>
      <c r="D296" s="15"/>
      <c r="E296" s="120"/>
      <c r="F296" s="15"/>
      <c r="G296" s="15"/>
      <c r="H296" s="15"/>
      <c r="I296" s="15"/>
      <c r="J296" s="15"/>
      <c r="K296" s="15"/>
    </row>
    <row r="297" spans="1:11">
      <c r="A297" s="15"/>
      <c r="B297" s="15"/>
      <c r="C297" s="15"/>
      <c r="D297" s="15"/>
      <c r="E297" s="120"/>
      <c r="F297" s="15"/>
      <c r="G297" s="15"/>
      <c r="H297" s="15"/>
      <c r="I297" s="15"/>
      <c r="J297" s="15"/>
      <c r="K297" s="15"/>
    </row>
    <row r="298" spans="1:11">
      <c r="A298" s="15"/>
      <c r="B298" s="15"/>
      <c r="C298" s="15"/>
      <c r="D298" s="15"/>
      <c r="E298" s="120"/>
      <c r="F298" s="15"/>
      <c r="G298" s="15"/>
      <c r="H298" s="15"/>
      <c r="I298" s="15"/>
      <c r="J298" s="15"/>
      <c r="K298" s="15"/>
    </row>
    <row r="299" spans="1:11">
      <c r="A299" s="15"/>
      <c r="B299" s="15"/>
      <c r="C299" s="15"/>
      <c r="D299" s="15"/>
      <c r="E299" s="120"/>
      <c r="F299" s="15"/>
      <c r="G299" s="15"/>
      <c r="H299" s="15"/>
      <c r="I299" s="15"/>
      <c r="J299" s="15"/>
    </row>
    <row r="300" spans="1:11">
      <c r="A300" s="15"/>
      <c r="B300" s="15"/>
      <c r="C300" s="15"/>
      <c r="D300" s="15"/>
      <c r="E300" s="120"/>
      <c r="F300" s="15"/>
      <c r="G300" s="15"/>
      <c r="H300" s="15"/>
      <c r="I300" s="15"/>
      <c r="J300" s="15"/>
    </row>
    <row r="301" spans="1:11">
      <c r="A301" s="15"/>
      <c r="B301" s="15"/>
      <c r="C301" s="15"/>
      <c r="D301" s="15"/>
      <c r="E301" s="120"/>
      <c r="F301" s="15"/>
      <c r="G301" s="15"/>
      <c r="H301" s="15"/>
      <c r="I301" s="15"/>
      <c r="J301" s="15"/>
    </row>
    <row r="302" spans="1:11">
      <c r="A302" s="15"/>
      <c r="B302" s="15"/>
      <c r="C302" s="15"/>
      <c r="D302" s="15"/>
      <c r="E302" s="120"/>
      <c r="F302" s="15"/>
      <c r="G302" s="15"/>
      <c r="H302" s="15"/>
      <c r="I302" s="15"/>
      <c r="J302" s="15"/>
    </row>
    <row r="303" spans="1:11">
      <c r="A303" s="15"/>
      <c r="B303" s="15"/>
      <c r="C303" s="15"/>
      <c r="D303" s="15"/>
      <c r="E303" s="120"/>
      <c r="F303" s="15"/>
      <c r="G303" s="15"/>
      <c r="H303" s="15"/>
      <c r="I303" s="15"/>
      <c r="J303" s="15"/>
    </row>
    <row r="304" spans="1:11">
      <c r="A304" s="15"/>
      <c r="B304" s="15"/>
      <c r="C304" s="15"/>
      <c r="D304" s="15"/>
      <c r="E304" s="120"/>
      <c r="F304" s="15"/>
      <c r="G304" s="15"/>
      <c r="H304" s="15"/>
      <c r="I304" s="15"/>
      <c r="J304" s="15"/>
    </row>
    <row r="305" spans="1:10">
      <c r="A305" s="15"/>
      <c r="B305" s="15"/>
      <c r="C305" s="15"/>
      <c r="D305" s="15"/>
      <c r="E305" s="120"/>
      <c r="F305" s="15"/>
      <c r="G305" s="15"/>
      <c r="H305" s="15"/>
      <c r="I305" s="15"/>
      <c r="J305" s="15"/>
    </row>
    <row r="306" spans="1:10">
      <c r="A306" s="15"/>
      <c r="B306" s="15"/>
      <c r="C306" s="15"/>
      <c r="D306" s="15"/>
      <c r="E306" s="120"/>
      <c r="F306" s="15"/>
      <c r="G306" s="15"/>
      <c r="H306" s="15"/>
      <c r="I306" s="15"/>
      <c r="J306" s="15"/>
    </row>
    <row r="307" spans="1:10">
      <c r="A307" s="15"/>
      <c r="B307" s="15"/>
      <c r="C307" s="15"/>
      <c r="D307" s="15"/>
      <c r="E307" s="120"/>
      <c r="F307" s="15"/>
      <c r="G307" s="15"/>
      <c r="H307" s="15"/>
      <c r="I307" s="15"/>
      <c r="J307" s="15"/>
    </row>
    <row r="308" spans="1:10">
      <c r="A308" s="15"/>
      <c r="B308" s="15"/>
      <c r="C308" s="15"/>
      <c r="D308" s="15"/>
      <c r="E308" s="120"/>
      <c r="F308" s="15"/>
      <c r="G308" s="15"/>
      <c r="H308" s="15"/>
      <c r="I308" s="15"/>
      <c r="J308" s="15"/>
    </row>
    <row r="309" spans="1:10">
      <c r="A309" s="15"/>
      <c r="B309" s="15"/>
      <c r="C309" s="15"/>
      <c r="D309" s="15"/>
      <c r="E309" s="120"/>
      <c r="F309" s="15"/>
      <c r="G309" s="15"/>
      <c r="H309" s="15"/>
      <c r="I309" s="15"/>
      <c r="J309" s="15"/>
    </row>
    <row r="310" spans="1:10">
      <c r="A310" s="15"/>
      <c r="B310" s="15"/>
      <c r="C310" s="15"/>
      <c r="D310" s="15"/>
      <c r="E310" s="120"/>
      <c r="F310" s="15"/>
      <c r="G310" s="15"/>
      <c r="H310" s="15"/>
      <c r="I310" s="15"/>
      <c r="J310" s="15"/>
    </row>
    <row r="311" spans="1:10">
      <c r="A311" s="15"/>
      <c r="B311" s="15"/>
      <c r="C311" s="15"/>
      <c r="D311" s="15"/>
      <c r="E311" s="120"/>
      <c r="F311" s="15"/>
      <c r="G311" s="15"/>
      <c r="H311" s="15"/>
      <c r="I311" s="15"/>
      <c r="J311" s="15"/>
    </row>
    <row r="312" spans="1:10">
      <c r="A312" s="15"/>
      <c r="B312" s="15"/>
      <c r="C312" s="15"/>
      <c r="D312" s="15"/>
      <c r="E312" s="120"/>
      <c r="F312" s="15"/>
      <c r="G312" s="15"/>
      <c r="H312" s="15"/>
      <c r="I312" s="15"/>
      <c r="J312" s="15"/>
    </row>
    <row r="313" spans="1:10">
      <c r="E313" s="19"/>
    </row>
    <row r="314" spans="1:10">
      <c r="E314" s="19"/>
    </row>
    <row r="315" spans="1:10">
      <c r="E315" s="19"/>
    </row>
    <row r="316" spans="1:10">
      <c r="E316" s="19"/>
    </row>
    <row r="317" spans="1:10">
      <c r="E317" s="19"/>
    </row>
    <row r="318" spans="1:10">
      <c r="E318" s="19"/>
    </row>
    <row r="319" spans="1:10">
      <c r="E319" s="19"/>
    </row>
    <row r="320" spans="1:10">
      <c r="E320" s="19"/>
    </row>
    <row r="321" spans="5:5">
      <c r="E321" s="19"/>
    </row>
    <row r="322" spans="5:5">
      <c r="E322" s="19"/>
    </row>
    <row r="323" spans="5:5">
      <c r="E323" s="19"/>
    </row>
    <row r="324" spans="5:5">
      <c r="E324" s="19"/>
    </row>
    <row r="325" spans="5:5">
      <c r="E325" s="19"/>
    </row>
    <row r="326" spans="5:5">
      <c r="E326" s="19"/>
    </row>
    <row r="327" spans="5:5">
      <c r="E327" s="19"/>
    </row>
    <row r="328" spans="5:5">
      <c r="E328" s="19"/>
    </row>
    <row r="329" spans="5:5">
      <c r="E329" s="19"/>
    </row>
    <row r="330" spans="5:5">
      <c r="E330" s="19"/>
    </row>
    <row r="331" spans="5:5">
      <c r="E331" s="19"/>
    </row>
    <row r="332" spans="5:5">
      <c r="E332" s="19"/>
    </row>
    <row r="333" spans="5:5">
      <c r="E333" s="19"/>
    </row>
    <row r="334" spans="5:5">
      <c r="E334" s="19"/>
    </row>
    <row r="335" spans="5:5">
      <c r="E335" s="19"/>
    </row>
    <row r="336" spans="5:5">
      <c r="E336" s="19"/>
    </row>
    <row r="337" spans="5:5">
      <c r="E337" s="19"/>
    </row>
    <row r="338" spans="5:5">
      <c r="E338" s="19"/>
    </row>
    <row r="339" spans="5:5">
      <c r="E339" s="19"/>
    </row>
    <row r="340" spans="5:5">
      <c r="E340" s="19"/>
    </row>
    <row r="341" spans="5:5">
      <c r="E341" s="19"/>
    </row>
    <row r="342" spans="5:5">
      <c r="E342" s="19"/>
    </row>
    <row r="343" spans="5:5">
      <c r="E343" s="19"/>
    </row>
    <row r="344" spans="5:5">
      <c r="E344" s="19"/>
    </row>
    <row r="345" spans="5:5">
      <c r="E345" s="19"/>
    </row>
    <row r="346" spans="5:5">
      <c r="E346" s="19"/>
    </row>
    <row r="347" spans="5:5">
      <c r="E347" s="19"/>
    </row>
    <row r="348" spans="5:5">
      <c r="E348" s="19"/>
    </row>
    <row r="349" spans="5:5">
      <c r="E349" s="19"/>
    </row>
    <row r="350" spans="5:5">
      <c r="E350" s="19"/>
    </row>
    <row r="351" spans="5:5">
      <c r="E351" s="19"/>
    </row>
    <row r="352" spans="5:5">
      <c r="E352" s="19"/>
    </row>
    <row r="353" spans="5:5">
      <c r="E353" s="19"/>
    </row>
    <row r="354" spans="5:5">
      <c r="E354" s="19"/>
    </row>
    <row r="355" spans="5:5">
      <c r="E355" s="19"/>
    </row>
    <row r="356" spans="5:5">
      <c r="E356" s="19"/>
    </row>
    <row r="357" spans="5:5">
      <c r="E357" s="19"/>
    </row>
    <row r="358" spans="5:5">
      <c r="E358" s="19"/>
    </row>
    <row r="359" spans="5:5">
      <c r="E359" s="19"/>
    </row>
    <row r="360" spans="5:5">
      <c r="E360" s="19"/>
    </row>
    <row r="361" spans="5:5">
      <c r="E361" s="19"/>
    </row>
    <row r="362" spans="5:5">
      <c r="E362" s="19"/>
    </row>
    <row r="363" spans="5:5">
      <c r="E363" s="19"/>
    </row>
    <row r="364" spans="5:5">
      <c r="E364" s="19"/>
    </row>
    <row r="365" spans="5:5">
      <c r="E365" s="19"/>
    </row>
    <row r="366" spans="5:5">
      <c r="E366" s="19"/>
    </row>
    <row r="367" spans="5:5">
      <c r="E367" s="19"/>
    </row>
    <row r="368" spans="5:5">
      <c r="E368" s="19"/>
    </row>
    <row r="369" spans="5:5">
      <c r="E369" s="19"/>
    </row>
    <row r="370" spans="5:5">
      <c r="E370" s="19"/>
    </row>
    <row r="371" spans="5:5">
      <c r="E371" s="19"/>
    </row>
    <row r="372" spans="5:5">
      <c r="E372" s="19"/>
    </row>
    <row r="373" spans="5:5">
      <c r="E373" s="19"/>
    </row>
    <row r="374" spans="5:5">
      <c r="E374" s="19"/>
    </row>
    <row r="375" spans="5:5">
      <c r="E375" s="19"/>
    </row>
    <row r="376" spans="5:5">
      <c r="E376" s="19"/>
    </row>
    <row r="377" spans="5:5">
      <c r="E377" s="19"/>
    </row>
    <row r="378" spans="5:5">
      <c r="E378" s="19"/>
    </row>
    <row r="379" spans="5:5">
      <c r="E379" s="19"/>
    </row>
    <row r="380" spans="5:5">
      <c r="E380" s="19"/>
    </row>
    <row r="381" spans="5:5">
      <c r="E381" s="19"/>
    </row>
    <row r="382" spans="5:5">
      <c r="E382" s="19"/>
    </row>
    <row r="383" spans="5:5">
      <c r="E383" s="19"/>
    </row>
    <row r="384" spans="5:5">
      <c r="E384" s="19"/>
    </row>
    <row r="385" spans="5:5">
      <c r="E385" s="19"/>
    </row>
    <row r="386" spans="5:5">
      <c r="E386" s="19"/>
    </row>
    <row r="387" spans="5:5">
      <c r="E387" s="19"/>
    </row>
    <row r="388" spans="5:5">
      <c r="E388" s="19"/>
    </row>
    <row r="389" spans="5:5">
      <c r="E389" s="19"/>
    </row>
    <row r="390" spans="5:5">
      <c r="E390" s="19"/>
    </row>
    <row r="391" spans="5:5">
      <c r="E391" s="19"/>
    </row>
    <row r="392" spans="5:5">
      <c r="E392" s="19"/>
    </row>
    <row r="393" spans="5:5">
      <c r="E393" s="19"/>
    </row>
    <row r="394" spans="5:5">
      <c r="E394" s="19"/>
    </row>
    <row r="395" spans="5:5">
      <c r="E395" s="19"/>
    </row>
    <row r="396" spans="5:5">
      <c r="E396" s="19"/>
    </row>
    <row r="397" spans="5:5">
      <c r="E397" s="19"/>
    </row>
    <row r="398" spans="5:5">
      <c r="E398" s="19"/>
    </row>
    <row r="399" spans="5:5">
      <c r="E399" s="19"/>
    </row>
    <row r="400" spans="5:5">
      <c r="E400" s="19"/>
    </row>
    <row r="401" spans="5:5">
      <c r="E401" s="19"/>
    </row>
    <row r="402" spans="5:5">
      <c r="E402" s="19"/>
    </row>
    <row r="403" spans="5:5">
      <c r="E403" s="19"/>
    </row>
    <row r="404" spans="5:5">
      <c r="E404" s="19"/>
    </row>
    <row r="405" spans="5:5">
      <c r="E405" s="19"/>
    </row>
    <row r="406" spans="5:5">
      <c r="E406" s="19"/>
    </row>
    <row r="407" spans="5:5">
      <c r="E407" s="19"/>
    </row>
    <row r="408" spans="5:5">
      <c r="E408" s="19"/>
    </row>
    <row r="409" spans="5:5">
      <c r="E409" s="19"/>
    </row>
    <row r="410" spans="5:5">
      <c r="E410" s="19"/>
    </row>
    <row r="411" spans="5:5">
      <c r="E411" s="19"/>
    </row>
    <row r="412" spans="5:5">
      <c r="E412" s="19"/>
    </row>
    <row r="413" spans="5:5">
      <c r="E413" s="19"/>
    </row>
    <row r="414" spans="5:5">
      <c r="E414" s="19"/>
    </row>
    <row r="415" spans="5:5">
      <c r="E415" s="19"/>
    </row>
    <row r="416" spans="5:5">
      <c r="E416" s="19"/>
    </row>
    <row r="417" spans="5:5">
      <c r="E417" s="19"/>
    </row>
    <row r="418" spans="5:5">
      <c r="E418" s="19"/>
    </row>
    <row r="419" spans="5:5">
      <c r="E419" s="19"/>
    </row>
    <row r="420" spans="5:5">
      <c r="E420" s="19"/>
    </row>
    <row r="421" spans="5:5">
      <c r="E421" s="19"/>
    </row>
    <row r="422" spans="5:5">
      <c r="E422" s="19"/>
    </row>
    <row r="423" spans="5:5">
      <c r="E423" s="19"/>
    </row>
    <row r="424" spans="5:5">
      <c r="E424" s="19"/>
    </row>
    <row r="425" spans="5:5">
      <c r="E425" s="19"/>
    </row>
    <row r="426" spans="5:5">
      <c r="E426" s="19"/>
    </row>
    <row r="427" spans="5:5">
      <c r="E427" s="19"/>
    </row>
    <row r="428" spans="5:5">
      <c r="E428" s="19"/>
    </row>
    <row r="429" spans="5:5">
      <c r="E429" s="19"/>
    </row>
    <row r="430" spans="5:5">
      <c r="E430" s="19"/>
    </row>
    <row r="431" spans="5:5">
      <c r="E431" s="19"/>
    </row>
    <row r="432" spans="5:5">
      <c r="E432" s="19"/>
    </row>
    <row r="433" spans="5:5">
      <c r="E433" s="19"/>
    </row>
    <row r="434" spans="5:5">
      <c r="E434" s="19"/>
    </row>
    <row r="435" spans="5:5">
      <c r="E435" s="19"/>
    </row>
    <row r="436" spans="5:5">
      <c r="E436" s="19"/>
    </row>
    <row r="437" spans="5:5">
      <c r="E437" s="19"/>
    </row>
    <row r="438" spans="5:5">
      <c r="E438" s="19"/>
    </row>
    <row r="439" spans="5:5">
      <c r="E439" s="19"/>
    </row>
    <row r="440" spans="5:5">
      <c r="E440" s="19"/>
    </row>
    <row r="441" spans="5:5">
      <c r="E441" s="19"/>
    </row>
    <row r="442" spans="5:5">
      <c r="E442" s="19"/>
    </row>
    <row r="443" spans="5:5">
      <c r="E443" s="19"/>
    </row>
    <row r="444" spans="5:5">
      <c r="E444" s="19"/>
    </row>
    <row r="445" spans="5:5">
      <c r="E445" s="19"/>
    </row>
    <row r="446" spans="5:5">
      <c r="E446" s="19"/>
    </row>
    <row r="447" spans="5:5">
      <c r="E447" s="19"/>
    </row>
    <row r="448" spans="5:5">
      <c r="E448" s="19"/>
    </row>
    <row r="449" spans="5:5">
      <c r="E449" s="19"/>
    </row>
    <row r="450" spans="5:5">
      <c r="E450" s="19"/>
    </row>
    <row r="451" spans="5:5">
      <c r="E451" s="19"/>
    </row>
    <row r="452" spans="5:5">
      <c r="E452" s="19"/>
    </row>
    <row r="453" spans="5:5">
      <c r="E453" s="19"/>
    </row>
    <row r="454" spans="5:5">
      <c r="E454" s="19"/>
    </row>
    <row r="455" spans="5:5">
      <c r="E455" s="19"/>
    </row>
    <row r="456" spans="5:5">
      <c r="E456" s="19"/>
    </row>
    <row r="457" spans="5:5">
      <c r="E457" s="19"/>
    </row>
    <row r="458" spans="5:5">
      <c r="E458" s="19"/>
    </row>
    <row r="459" spans="5:5">
      <c r="E459" s="19"/>
    </row>
    <row r="460" spans="5:5">
      <c r="E460" s="19"/>
    </row>
    <row r="461" spans="5:5">
      <c r="E461" s="19"/>
    </row>
    <row r="462" spans="5:5">
      <c r="E462" s="19"/>
    </row>
    <row r="463" spans="5:5">
      <c r="E463" s="19"/>
    </row>
    <row r="464" spans="5:5">
      <c r="E464" s="19"/>
    </row>
    <row r="465" spans="5:5">
      <c r="E465" s="19"/>
    </row>
    <row r="466" spans="5:5">
      <c r="E466" s="19"/>
    </row>
    <row r="467" spans="5:5">
      <c r="E467" s="19"/>
    </row>
    <row r="468" spans="5:5">
      <c r="E468" s="19"/>
    </row>
    <row r="469" spans="5:5">
      <c r="E469" s="19"/>
    </row>
    <row r="470" spans="5:5">
      <c r="E470" s="19"/>
    </row>
    <row r="471" spans="5:5">
      <c r="E471" s="19"/>
    </row>
    <row r="472" spans="5:5">
      <c r="E472" s="19"/>
    </row>
    <row r="473" spans="5:5">
      <c r="E473" s="19"/>
    </row>
    <row r="474" spans="5:5">
      <c r="E474" s="19"/>
    </row>
    <row r="475" spans="5:5">
      <c r="E475" s="19"/>
    </row>
    <row r="476" spans="5:5">
      <c r="E476" s="19"/>
    </row>
    <row r="477" spans="5:5">
      <c r="E477" s="19"/>
    </row>
    <row r="478" spans="5:5">
      <c r="E478" s="19"/>
    </row>
    <row r="479" spans="5:5">
      <c r="E479" s="19"/>
    </row>
    <row r="480" spans="5:5">
      <c r="E480" s="19"/>
    </row>
    <row r="481" spans="5:5">
      <c r="E481" s="19"/>
    </row>
    <row r="482" spans="5:5">
      <c r="E482" s="19"/>
    </row>
    <row r="483" spans="5:5">
      <c r="E483" s="19"/>
    </row>
    <row r="484" spans="5:5">
      <c r="E484" s="19"/>
    </row>
    <row r="485" spans="5:5">
      <c r="E485" s="19"/>
    </row>
    <row r="486" spans="5:5">
      <c r="E486" s="19"/>
    </row>
    <row r="487" spans="5:5">
      <c r="E487" s="19"/>
    </row>
    <row r="488" spans="5:5">
      <c r="E488" s="19"/>
    </row>
    <row r="489" spans="5:5">
      <c r="E489" s="19"/>
    </row>
    <row r="490" spans="5:5">
      <c r="E490" s="19"/>
    </row>
    <row r="491" spans="5:5">
      <c r="E491" s="19"/>
    </row>
    <row r="492" spans="5:5">
      <c r="E492" s="19"/>
    </row>
    <row r="493" spans="5:5">
      <c r="E493" s="19"/>
    </row>
    <row r="494" spans="5:5">
      <c r="E494" s="19"/>
    </row>
    <row r="495" spans="5:5">
      <c r="E495" s="19"/>
    </row>
    <row r="496" spans="5:5">
      <c r="E496" s="19"/>
    </row>
    <row r="497" spans="5:5">
      <c r="E497" s="19"/>
    </row>
    <row r="498" spans="5:5">
      <c r="E498" s="19"/>
    </row>
    <row r="499" spans="5:5">
      <c r="E499" s="19"/>
    </row>
    <row r="500" spans="5:5">
      <c r="E500" s="19"/>
    </row>
    <row r="501" spans="5:5">
      <c r="E501" s="19"/>
    </row>
    <row r="502" spans="5:5">
      <c r="E502" s="19"/>
    </row>
    <row r="503" spans="5:5">
      <c r="E503" s="19"/>
    </row>
    <row r="504" spans="5:5">
      <c r="E504" s="19"/>
    </row>
    <row r="505" spans="5:5">
      <c r="E505" s="19"/>
    </row>
    <row r="506" spans="5:5">
      <c r="E506" s="19"/>
    </row>
    <row r="507" spans="5:5">
      <c r="E507" s="19"/>
    </row>
    <row r="508" spans="5:5">
      <c r="E508" s="19"/>
    </row>
    <row r="509" spans="5:5">
      <c r="E509" s="19"/>
    </row>
    <row r="510" spans="5:5">
      <c r="E510" s="19"/>
    </row>
    <row r="511" spans="5:5">
      <c r="E511" s="19"/>
    </row>
    <row r="512" spans="5:5">
      <c r="E512" s="19"/>
    </row>
    <row r="513" spans="5:5">
      <c r="E513" s="19"/>
    </row>
    <row r="514" spans="5:5">
      <c r="E514" s="19"/>
    </row>
    <row r="515" spans="5:5">
      <c r="E515" s="19"/>
    </row>
    <row r="516" spans="5:5">
      <c r="E516" s="19"/>
    </row>
    <row r="517" spans="5:5">
      <c r="E517" s="19"/>
    </row>
    <row r="518" spans="5:5">
      <c r="E518" s="19"/>
    </row>
    <row r="519" spans="5:5">
      <c r="E519" s="19"/>
    </row>
    <row r="520" spans="5:5">
      <c r="E520" s="19"/>
    </row>
    <row r="521" spans="5:5">
      <c r="E521" s="19"/>
    </row>
    <row r="522" spans="5:5">
      <c r="E522" s="19"/>
    </row>
    <row r="523" spans="5:5">
      <c r="E523" s="19"/>
    </row>
    <row r="524" spans="5:5">
      <c r="E524" s="19"/>
    </row>
    <row r="525" spans="5:5">
      <c r="E525" s="19"/>
    </row>
    <row r="526" spans="5:5">
      <c r="E526" s="19"/>
    </row>
    <row r="527" spans="5:5">
      <c r="E527" s="19"/>
    </row>
    <row r="528" spans="5:5">
      <c r="E528" s="19"/>
    </row>
    <row r="529" spans="5:5">
      <c r="E529" s="19"/>
    </row>
    <row r="530" spans="5:5">
      <c r="E530" s="19"/>
    </row>
    <row r="531" spans="5:5">
      <c r="E531" s="19"/>
    </row>
    <row r="532" spans="5:5">
      <c r="E532" s="19"/>
    </row>
    <row r="533" spans="5:5">
      <c r="E533" s="19"/>
    </row>
    <row r="534" spans="5:5">
      <c r="E534" s="19"/>
    </row>
    <row r="535" spans="5:5">
      <c r="E535" s="19"/>
    </row>
    <row r="536" spans="5:5">
      <c r="E536" s="19"/>
    </row>
    <row r="537" spans="5:5">
      <c r="E537" s="19"/>
    </row>
    <row r="538" spans="5:5">
      <c r="E538" s="19"/>
    </row>
    <row r="539" spans="5:5">
      <c r="E539" s="19"/>
    </row>
    <row r="540" spans="5:5">
      <c r="E540" s="19"/>
    </row>
    <row r="541" spans="5:5">
      <c r="E541" s="19"/>
    </row>
    <row r="542" spans="5:5">
      <c r="E542" s="19"/>
    </row>
    <row r="543" spans="5:5">
      <c r="E543" s="19"/>
    </row>
    <row r="544" spans="5:5">
      <c r="E544" s="19"/>
    </row>
    <row r="545" spans="5:5">
      <c r="E545" s="19"/>
    </row>
    <row r="546" spans="5:5">
      <c r="E546" s="19"/>
    </row>
    <row r="547" spans="5:5">
      <c r="E547" s="19"/>
    </row>
    <row r="548" spans="5:5">
      <c r="E548" s="19"/>
    </row>
    <row r="549" spans="5:5">
      <c r="E549" s="19"/>
    </row>
    <row r="550" spans="5:5">
      <c r="E550" s="19"/>
    </row>
    <row r="551" spans="5:5">
      <c r="E551" s="19"/>
    </row>
    <row r="552" spans="5:5">
      <c r="E552" s="19"/>
    </row>
    <row r="553" spans="5:5">
      <c r="E553" s="19"/>
    </row>
    <row r="554" spans="5:5">
      <c r="E554" s="19"/>
    </row>
    <row r="555" spans="5:5">
      <c r="E555" s="19"/>
    </row>
    <row r="556" spans="5:5">
      <c r="E556" s="19"/>
    </row>
    <row r="557" spans="5:5">
      <c r="E557" s="19"/>
    </row>
    <row r="558" spans="5:5">
      <c r="E558" s="19"/>
    </row>
    <row r="559" spans="5:5">
      <c r="E559" s="19"/>
    </row>
    <row r="560" spans="5:5">
      <c r="E560" s="19"/>
    </row>
    <row r="561" spans="5:5">
      <c r="E561" s="19"/>
    </row>
    <row r="562" spans="5:5">
      <c r="E562" s="19"/>
    </row>
    <row r="563" spans="5:5">
      <c r="E563" s="19"/>
    </row>
    <row r="564" spans="5:5">
      <c r="E564" s="19"/>
    </row>
    <row r="565" spans="5:5">
      <c r="E565" s="19"/>
    </row>
    <row r="566" spans="5:5">
      <c r="E566" s="19"/>
    </row>
    <row r="567" spans="5:5">
      <c r="E567" s="19"/>
    </row>
    <row r="568" spans="5:5">
      <c r="E568" s="19"/>
    </row>
    <row r="569" spans="5:5">
      <c r="E569" s="19"/>
    </row>
    <row r="570" spans="5:5">
      <c r="E570" s="19"/>
    </row>
    <row r="571" spans="5:5">
      <c r="E571" s="19"/>
    </row>
    <row r="572" spans="5:5">
      <c r="E572" s="19"/>
    </row>
    <row r="573" spans="5:5">
      <c r="E573" s="19"/>
    </row>
    <row r="574" spans="5:5">
      <c r="E574" s="19"/>
    </row>
    <row r="575" spans="5:5">
      <c r="E575" s="19"/>
    </row>
    <row r="576" spans="5:5">
      <c r="E576" s="19"/>
    </row>
    <row r="577" spans="5:5">
      <c r="E577" s="19"/>
    </row>
    <row r="578" spans="5:5">
      <c r="E578" s="19"/>
    </row>
    <row r="579" spans="5:5">
      <c r="E579" s="19"/>
    </row>
    <row r="580" spans="5:5">
      <c r="E580" s="19"/>
    </row>
    <row r="581" spans="5:5">
      <c r="E581" s="19"/>
    </row>
    <row r="582" spans="5:5">
      <c r="E582" s="19"/>
    </row>
    <row r="583" spans="5:5">
      <c r="E583" s="19"/>
    </row>
    <row r="584" spans="5:5">
      <c r="E584" s="19"/>
    </row>
    <row r="585" spans="5:5">
      <c r="E585" s="19"/>
    </row>
    <row r="586" spans="5:5">
      <c r="E586" s="19"/>
    </row>
    <row r="587" spans="5:5">
      <c r="E587" s="19"/>
    </row>
    <row r="588" spans="5:5">
      <c r="E588" s="19"/>
    </row>
    <row r="589" spans="5:5">
      <c r="E589" s="19"/>
    </row>
    <row r="590" spans="5:5">
      <c r="E590" s="19"/>
    </row>
    <row r="591" spans="5:5">
      <c r="E591" s="19"/>
    </row>
    <row r="592" spans="5:5">
      <c r="E592" s="19"/>
    </row>
    <row r="593" spans="5:5">
      <c r="E593" s="19"/>
    </row>
    <row r="594" spans="5:5">
      <c r="E594" s="19"/>
    </row>
    <row r="595" spans="5:5">
      <c r="E595" s="19"/>
    </row>
    <row r="596" spans="5:5">
      <c r="E596" s="19"/>
    </row>
    <row r="597" spans="5:5">
      <c r="E597" s="19"/>
    </row>
    <row r="598" spans="5:5">
      <c r="E598" s="19"/>
    </row>
    <row r="599" spans="5:5">
      <c r="E599" s="19"/>
    </row>
    <row r="600" spans="5:5">
      <c r="E600" s="19"/>
    </row>
    <row r="601" spans="5:5">
      <c r="E601" s="19"/>
    </row>
    <row r="602" spans="5:5">
      <c r="E602" s="19"/>
    </row>
    <row r="603" spans="5:5">
      <c r="E603" s="19"/>
    </row>
    <row r="604" spans="5:5">
      <c r="E604" s="19"/>
    </row>
    <row r="605" spans="5:5">
      <c r="E605" s="19"/>
    </row>
    <row r="606" spans="5:5">
      <c r="E606" s="19"/>
    </row>
    <row r="607" spans="5:5">
      <c r="E607" s="19"/>
    </row>
    <row r="608" spans="5:5">
      <c r="E608" s="19"/>
    </row>
    <row r="609" spans="5:5">
      <c r="E609" s="19"/>
    </row>
    <row r="610" spans="5:5">
      <c r="E610" s="19"/>
    </row>
    <row r="611" spans="5:5">
      <c r="E611" s="19"/>
    </row>
    <row r="612" spans="5:5">
      <c r="E612" s="19"/>
    </row>
    <row r="613" spans="5:5">
      <c r="E613" s="19"/>
    </row>
    <row r="614" spans="5:5">
      <c r="E614" s="19"/>
    </row>
    <row r="615" spans="5:5">
      <c r="E615" s="19"/>
    </row>
    <row r="616" spans="5:5">
      <c r="E616" s="19"/>
    </row>
    <row r="617" spans="5:5">
      <c r="E617" s="19"/>
    </row>
    <row r="618" spans="5:5">
      <c r="E618" s="19"/>
    </row>
    <row r="619" spans="5:5">
      <c r="E619" s="19"/>
    </row>
    <row r="620" spans="5:5">
      <c r="E620" s="19"/>
    </row>
    <row r="621" spans="5:5">
      <c r="E621" s="19"/>
    </row>
    <row r="622" spans="5:5">
      <c r="E622" s="19"/>
    </row>
    <row r="623" spans="5:5">
      <c r="E623" s="19"/>
    </row>
    <row r="624" spans="5:5">
      <c r="E624" s="19"/>
    </row>
    <row r="625" spans="5:5">
      <c r="E625" s="19"/>
    </row>
    <row r="626" spans="5:5">
      <c r="E626" s="19"/>
    </row>
    <row r="627" spans="5:5">
      <c r="E627" s="19"/>
    </row>
    <row r="628" spans="5:5">
      <c r="E628" s="19"/>
    </row>
    <row r="629" spans="5:5">
      <c r="E629" s="19"/>
    </row>
    <row r="630" spans="5:5">
      <c r="E630" s="19"/>
    </row>
    <row r="631" spans="5:5">
      <c r="E631" s="19"/>
    </row>
    <row r="632" spans="5:5">
      <c r="E632" s="19"/>
    </row>
    <row r="633" spans="5:5">
      <c r="E633" s="19"/>
    </row>
    <row r="634" spans="5:5">
      <c r="E634" s="19"/>
    </row>
    <row r="635" spans="5:5">
      <c r="E635" s="19"/>
    </row>
    <row r="636" spans="5:5">
      <c r="E636" s="19"/>
    </row>
    <row r="637" spans="5:5">
      <c r="E637" s="19"/>
    </row>
    <row r="638" spans="5:5">
      <c r="E638" s="19"/>
    </row>
    <row r="639" spans="5:5">
      <c r="E639" s="19"/>
    </row>
    <row r="640" spans="5:5">
      <c r="E640" s="19"/>
    </row>
    <row r="641" spans="5:5">
      <c r="E641" s="19"/>
    </row>
    <row r="642" spans="5:5">
      <c r="E642" s="19"/>
    </row>
    <row r="643" spans="5:5">
      <c r="E643" s="19"/>
    </row>
    <row r="644" spans="5:5">
      <c r="E644" s="19"/>
    </row>
    <row r="645" spans="5:5">
      <c r="E645" s="19"/>
    </row>
    <row r="646" spans="5:5">
      <c r="E646" s="19"/>
    </row>
    <row r="647" spans="5:5">
      <c r="E647" s="19"/>
    </row>
    <row r="648" spans="5:5">
      <c r="E648" s="19"/>
    </row>
    <row r="649" spans="5:5">
      <c r="E649" s="19"/>
    </row>
    <row r="650" spans="5:5">
      <c r="E650" s="19"/>
    </row>
    <row r="651" spans="5:5">
      <c r="E651" s="19"/>
    </row>
    <row r="652" spans="5:5">
      <c r="E652" s="19"/>
    </row>
    <row r="653" spans="5:5">
      <c r="E653" s="19"/>
    </row>
    <row r="654" spans="5:5">
      <c r="E654" s="19"/>
    </row>
    <row r="655" spans="5:5">
      <c r="E655" s="19"/>
    </row>
    <row r="656" spans="5:5">
      <c r="E656" s="19"/>
    </row>
    <row r="657" spans="5:5">
      <c r="E657" s="19"/>
    </row>
    <row r="658" spans="5:5">
      <c r="E658" s="19"/>
    </row>
    <row r="659" spans="5:5">
      <c r="E659" s="19"/>
    </row>
    <row r="660" spans="5:5">
      <c r="E660" s="19"/>
    </row>
    <row r="661" spans="5:5">
      <c r="E661" s="19"/>
    </row>
    <row r="662" spans="5:5">
      <c r="E662" s="19"/>
    </row>
    <row r="663" spans="5:5">
      <c r="E663" s="19"/>
    </row>
    <row r="664" spans="5:5">
      <c r="E664" s="19"/>
    </row>
    <row r="665" spans="5:5">
      <c r="E665" s="19"/>
    </row>
    <row r="666" spans="5:5">
      <c r="E666" s="19"/>
    </row>
    <row r="667" spans="5:5">
      <c r="E667" s="19"/>
    </row>
    <row r="668" spans="5:5">
      <c r="E668" s="19"/>
    </row>
    <row r="669" spans="5:5">
      <c r="E669" s="19"/>
    </row>
    <row r="670" spans="5:5">
      <c r="E670" s="19"/>
    </row>
    <row r="671" spans="5:5">
      <c r="E671" s="19"/>
    </row>
    <row r="672" spans="5:5">
      <c r="E672" s="19"/>
    </row>
    <row r="673" spans="5:5">
      <c r="E673" s="19"/>
    </row>
    <row r="674" spans="5:5">
      <c r="E674" s="19"/>
    </row>
    <row r="675" spans="5:5">
      <c r="E675" s="19"/>
    </row>
    <row r="676" spans="5:5">
      <c r="E676" s="19"/>
    </row>
    <row r="677" spans="5:5">
      <c r="E677" s="19"/>
    </row>
    <row r="678" spans="5:5">
      <c r="E678" s="19"/>
    </row>
    <row r="679" spans="5:5">
      <c r="E679" s="19"/>
    </row>
    <row r="680" spans="5:5">
      <c r="E680" s="19"/>
    </row>
    <row r="681" spans="5:5">
      <c r="E681" s="19"/>
    </row>
    <row r="682" spans="5:5">
      <c r="E682" s="19"/>
    </row>
    <row r="683" spans="5:5">
      <c r="E683" s="19"/>
    </row>
    <row r="684" spans="5:5">
      <c r="E684" s="19"/>
    </row>
    <row r="685" spans="5:5">
      <c r="E685" s="19"/>
    </row>
    <row r="686" spans="5:5">
      <c r="E686" s="19"/>
    </row>
    <row r="687" spans="5:5">
      <c r="E687" s="19"/>
    </row>
    <row r="688" spans="5:5">
      <c r="E688" s="19"/>
    </row>
    <row r="689" spans="5:5">
      <c r="E689" s="19"/>
    </row>
    <row r="690" spans="5:5">
      <c r="E690" s="19"/>
    </row>
    <row r="691" spans="5:5">
      <c r="E691" s="19"/>
    </row>
    <row r="692" spans="5:5">
      <c r="E692" s="19"/>
    </row>
    <row r="693" spans="5:5">
      <c r="E693" s="19"/>
    </row>
    <row r="694" spans="5:5">
      <c r="E694" s="19"/>
    </row>
    <row r="695" spans="5:5">
      <c r="E695" s="19"/>
    </row>
    <row r="696" spans="5:5">
      <c r="E696" s="19"/>
    </row>
    <row r="697" spans="5:5">
      <c r="E697" s="19"/>
    </row>
    <row r="698" spans="5:5">
      <c r="E698" s="19"/>
    </row>
    <row r="699" spans="5:5">
      <c r="E699" s="19"/>
    </row>
    <row r="700" spans="5:5">
      <c r="E700" s="19"/>
    </row>
    <row r="701" spans="5:5">
      <c r="E701" s="19"/>
    </row>
    <row r="702" spans="5:5">
      <c r="E702" s="19"/>
    </row>
    <row r="703" spans="5:5">
      <c r="E703" s="19"/>
    </row>
    <row r="704" spans="5:5">
      <c r="E704" s="19"/>
    </row>
    <row r="705" spans="5:5">
      <c r="E705" s="19"/>
    </row>
    <row r="706" spans="5:5">
      <c r="E706" s="19"/>
    </row>
    <row r="707" spans="5:5">
      <c r="E707" s="19"/>
    </row>
    <row r="708" spans="5:5">
      <c r="E708" s="19"/>
    </row>
    <row r="709" spans="5:5">
      <c r="E709" s="19"/>
    </row>
    <row r="710" spans="5:5">
      <c r="E710" s="19"/>
    </row>
    <row r="711" spans="5:5">
      <c r="E711" s="19"/>
    </row>
    <row r="712" spans="5:5">
      <c r="E712" s="19"/>
    </row>
    <row r="713" spans="5:5">
      <c r="E713" s="19"/>
    </row>
    <row r="714" spans="5:5">
      <c r="E714" s="19"/>
    </row>
    <row r="715" spans="5:5">
      <c r="E715" s="19"/>
    </row>
    <row r="716" spans="5:5">
      <c r="E716" s="19"/>
    </row>
    <row r="717" spans="5:5">
      <c r="E717" s="19"/>
    </row>
    <row r="718" spans="5:5">
      <c r="E718" s="19"/>
    </row>
    <row r="719" spans="5:5">
      <c r="E719" s="19"/>
    </row>
    <row r="720" spans="5:5">
      <c r="E720" s="19"/>
    </row>
    <row r="721" spans="5:5">
      <c r="E721" s="19"/>
    </row>
    <row r="722" spans="5:5">
      <c r="E722" s="19"/>
    </row>
    <row r="723" spans="5:5">
      <c r="E723" s="19"/>
    </row>
    <row r="724" spans="5:5">
      <c r="E724" s="19"/>
    </row>
    <row r="725" spans="5:5">
      <c r="E725" s="19"/>
    </row>
    <row r="726" spans="5:5">
      <c r="E726" s="19"/>
    </row>
    <row r="727" spans="5:5">
      <c r="E727" s="19"/>
    </row>
    <row r="728" spans="5:5">
      <c r="E728" s="19"/>
    </row>
    <row r="729" spans="5:5">
      <c r="E729" s="19"/>
    </row>
    <row r="730" spans="5:5">
      <c r="E730" s="19"/>
    </row>
    <row r="731" spans="5:5">
      <c r="E731" s="19"/>
    </row>
    <row r="732" spans="5:5">
      <c r="E732" s="19"/>
    </row>
    <row r="733" spans="5:5">
      <c r="E733" s="19"/>
    </row>
    <row r="734" spans="5:5">
      <c r="E734" s="19"/>
    </row>
    <row r="735" spans="5:5">
      <c r="E735" s="19"/>
    </row>
    <row r="736" spans="5:5">
      <c r="E736" s="19"/>
    </row>
    <row r="737" spans="5:5">
      <c r="E737" s="19"/>
    </row>
    <row r="738" spans="5:5">
      <c r="E738" s="19"/>
    </row>
    <row r="739" spans="5:5">
      <c r="E739" s="19"/>
    </row>
    <row r="740" spans="5:5">
      <c r="E740" s="19"/>
    </row>
    <row r="741" spans="5:5">
      <c r="E741" s="19"/>
    </row>
    <row r="742" spans="5:5">
      <c r="E742" s="19"/>
    </row>
    <row r="743" spans="5:5">
      <c r="E743" s="19"/>
    </row>
    <row r="744" spans="5:5">
      <c r="E744" s="19"/>
    </row>
    <row r="745" spans="5:5">
      <c r="E745" s="19"/>
    </row>
    <row r="746" spans="5:5">
      <c r="E746" s="19"/>
    </row>
    <row r="747" spans="5:5">
      <c r="E747" s="19"/>
    </row>
    <row r="748" spans="5:5">
      <c r="E748" s="19"/>
    </row>
    <row r="749" spans="5:5">
      <c r="E749" s="19"/>
    </row>
    <row r="750" spans="5:5">
      <c r="E750" s="19"/>
    </row>
    <row r="751" spans="5:5">
      <c r="E751" s="19"/>
    </row>
    <row r="752" spans="5:5">
      <c r="E752" s="19"/>
    </row>
    <row r="753" spans="5:5">
      <c r="E753" s="19"/>
    </row>
    <row r="754" spans="5:5">
      <c r="E754" s="19"/>
    </row>
    <row r="755" spans="5:5">
      <c r="E755" s="19"/>
    </row>
    <row r="756" spans="5:5">
      <c r="E756" s="19"/>
    </row>
    <row r="757" spans="5:5">
      <c r="E757" s="19"/>
    </row>
    <row r="758" spans="5:5">
      <c r="E758" s="19"/>
    </row>
    <row r="759" spans="5:5">
      <c r="E759" s="19"/>
    </row>
    <row r="760" spans="5:5">
      <c r="E760" s="19"/>
    </row>
    <row r="761" spans="5:5">
      <c r="E761" s="19"/>
    </row>
    <row r="762" spans="5:5">
      <c r="E762" s="19"/>
    </row>
    <row r="763" spans="5:5">
      <c r="E763" s="19"/>
    </row>
    <row r="764" spans="5:5">
      <c r="E764" s="19"/>
    </row>
    <row r="765" spans="5:5">
      <c r="E765" s="19"/>
    </row>
    <row r="766" spans="5:5">
      <c r="E766" s="19"/>
    </row>
    <row r="767" spans="5:5">
      <c r="E767" s="19"/>
    </row>
    <row r="768" spans="5:5">
      <c r="E768" s="19"/>
    </row>
    <row r="769" spans="5:5">
      <c r="E769" s="19"/>
    </row>
    <row r="770" spans="5:5">
      <c r="E770" s="19"/>
    </row>
    <row r="771" spans="5:5">
      <c r="E771" s="19"/>
    </row>
    <row r="772" spans="5:5">
      <c r="E772" s="19"/>
    </row>
    <row r="773" spans="5:5">
      <c r="E773" s="19"/>
    </row>
    <row r="774" spans="5:5">
      <c r="E774" s="19"/>
    </row>
    <row r="775" spans="5:5">
      <c r="E775" s="19"/>
    </row>
    <row r="776" spans="5:5">
      <c r="E776" s="19"/>
    </row>
    <row r="777" spans="5:5">
      <c r="E777" s="19"/>
    </row>
    <row r="778" spans="5:5">
      <c r="E778" s="19"/>
    </row>
    <row r="779" spans="5:5">
      <c r="E779" s="19"/>
    </row>
    <row r="780" spans="5:5">
      <c r="E780" s="19"/>
    </row>
    <row r="781" spans="5:5">
      <c r="E781" s="19"/>
    </row>
    <row r="782" spans="5:5">
      <c r="E782" s="19"/>
    </row>
    <row r="783" spans="5:5">
      <c r="E783" s="19"/>
    </row>
    <row r="784" spans="5:5">
      <c r="E784" s="19"/>
    </row>
    <row r="785" spans="5:5">
      <c r="E785" s="19"/>
    </row>
    <row r="786" spans="5:5">
      <c r="E786" s="19"/>
    </row>
    <row r="787" spans="5:5">
      <c r="E787" s="19"/>
    </row>
    <row r="788" spans="5:5">
      <c r="E788" s="19"/>
    </row>
    <row r="789" spans="5:5">
      <c r="E789" s="19"/>
    </row>
    <row r="790" spans="5:5">
      <c r="E790" s="19"/>
    </row>
    <row r="791" spans="5:5">
      <c r="E791" s="19"/>
    </row>
    <row r="792" spans="5:5">
      <c r="E792" s="19"/>
    </row>
    <row r="793" spans="5:5">
      <c r="E793" s="19"/>
    </row>
    <row r="794" spans="5:5">
      <c r="E794" s="19"/>
    </row>
    <row r="795" spans="5:5">
      <c r="E795" s="19"/>
    </row>
    <row r="796" spans="5:5">
      <c r="E796" s="19"/>
    </row>
    <row r="797" spans="5:5">
      <c r="E797" s="19"/>
    </row>
    <row r="798" spans="5:5">
      <c r="E798" s="19"/>
    </row>
    <row r="799" spans="5:5">
      <c r="E799" s="19"/>
    </row>
    <row r="800" spans="5:5">
      <c r="E800" s="19"/>
    </row>
    <row r="801" spans="5:5">
      <c r="E801" s="19"/>
    </row>
    <row r="802" spans="5:5">
      <c r="E802" s="19"/>
    </row>
    <row r="803" spans="5:5">
      <c r="E803" s="19"/>
    </row>
    <row r="804" spans="5:5">
      <c r="E804" s="19"/>
    </row>
    <row r="805" spans="5:5">
      <c r="E805" s="19"/>
    </row>
    <row r="806" spans="5:5">
      <c r="E806" s="19"/>
    </row>
    <row r="807" spans="5:5">
      <c r="E807" s="19"/>
    </row>
    <row r="808" spans="5:5">
      <c r="E808" s="19"/>
    </row>
    <row r="809" spans="5:5">
      <c r="E809" s="19"/>
    </row>
    <row r="810" spans="5:5">
      <c r="E810" s="19"/>
    </row>
    <row r="811" spans="5:5">
      <c r="E811" s="19"/>
    </row>
    <row r="812" spans="5:5">
      <c r="E812" s="19"/>
    </row>
    <row r="813" spans="5:5">
      <c r="E813" s="19"/>
    </row>
    <row r="814" spans="5:5">
      <c r="E814" s="19"/>
    </row>
    <row r="815" spans="5:5">
      <c r="E815" s="19"/>
    </row>
    <row r="816" spans="5:5">
      <c r="E816" s="19"/>
    </row>
    <row r="817" spans="5:5">
      <c r="E817" s="19"/>
    </row>
    <row r="818" spans="5:5">
      <c r="E818" s="19"/>
    </row>
    <row r="819" spans="5:5">
      <c r="E819" s="19"/>
    </row>
    <row r="820" spans="5:5">
      <c r="E820" s="19"/>
    </row>
    <row r="821" spans="5:5">
      <c r="E821" s="19"/>
    </row>
    <row r="822" spans="5:5">
      <c r="E822" s="19"/>
    </row>
    <row r="823" spans="5:5">
      <c r="E823" s="19"/>
    </row>
    <row r="824" spans="5:5">
      <c r="E824" s="19"/>
    </row>
    <row r="825" spans="5:5">
      <c r="E825" s="19"/>
    </row>
    <row r="826" spans="5:5">
      <c r="E826" s="19"/>
    </row>
    <row r="827" spans="5:5">
      <c r="E827" s="19"/>
    </row>
    <row r="828" spans="5:5">
      <c r="E828" s="19"/>
    </row>
    <row r="829" spans="5:5">
      <c r="E829" s="19"/>
    </row>
    <row r="830" spans="5:5">
      <c r="E830" s="19"/>
    </row>
    <row r="831" spans="5:5">
      <c r="E831" s="19"/>
    </row>
    <row r="832" spans="5:5">
      <c r="E832" s="19"/>
    </row>
    <row r="833" spans="5:5">
      <c r="E833" s="19"/>
    </row>
    <row r="834" spans="5:5">
      <c r="E834" s="19"/>
    </row>
    <row r="835" spans="5:5">
      <c r="E835" s="19"/>
    </row>
    <row r="836" spans="5:5">
      <c r="E836" s="19"/>
    </row>
    <row r="837" spans="5:5">
      <c r="E837" s="19"/>
    </row>
    <row r="838" spans="5:5">
      <c r="E838" s="19"/>
    </row>
    <row r="839" spans="5:5">
      <c r="E839" s="19"/>
    </row>
    <row r="840" spans="5:5">
      <c r="E840" s="19"/>
    </row>
    <row r="841" spans="5:5">
      <c r="E841" s="19"/>
    </row>
    <row r="842" spans="5:5">
      <c r="E842" s="19"/>
    </row>
    <row r="843" spans="5:5">
      <c r="E843" s="19"/>
    </row>
    <row r="844" spans="5:5">
      <c r="E844" s="19"/>
    </row>
    <row r="845" spans="5:5">
      <c r="E845" s="19"/>
    </row>
    <row r="846" spans="5:5">
      <c r="E846" s="19"/>
    </row>
    <row r="847" spans="5:5">
      <c r="E847" s="19"/>
    </row>
    <row r="848" spans="5:5">
      <c r="E848" s="19"/>
    </row>
    <row r="849" spans="5:5">
      <c r="E849" s="19"/>
    </row>
    <row r="850" spans="5:5">
      <c r="E850" s="19"/>
    </row>
    <row r="851" spans="5:5">
      <c r="E851" s="19"/>
    </row>
    <row r="852" spans="5:5">
      <c r="E852" s="19"/>
    </row>
    <row r="853" spans="5:5">
      <c r="E853" s="19"/>
    </row>
    <row r="854" spans="5:5">
      <c r="E854" s="19"/>
    </row>
    <row r="855" spans="5:5">
      <c r="E855" s="19"/>
    </row>
    <row r="856" spans="5:5">
      <c r="E856" s="19"/>
    </row>
    <row r="857" spans="5:5">
      <c r="E857" s="19"/>
    </row>
    <row r="858" spans="5:5">
      <c r="E858" s="19"/>
    </row>
  </sheetData>
  <conditionalFormatting sqref="G229:G237 F229:F234 F236:F237 F227:J227 H237:K237 H229:H231 E238:J238 H233:H236 I229:J236 F212:J220">
    <cfRule type="expression" dxfId="7" priority="1">
      <formula>#REF!=0</formula>
    </cfRule>
  </conditionalFormatting>
  <printOptions headings="1"/>
  <pageMargins left="0.23622047244094491" right="0.27559055118110237" top="0.74803149606299213" bottom="0.74803149606299213" header="0.31496062992125984" footer="0.31496062992125984"/>
  <pageSetup paperSize="8" scale="53" fitToHeight="0" orientation="portrait" r:id="rId1"/>
  <drawing r:id="rId2"/>
  <legacyDrawing r:id="rId3"/>
</worksheet>
</file>

<file path=xl/worksheets/sheet14.xml><?xml version="1.0" encoding="utf-8"?>
<worksheet xmlns="http://schemas.openxmlformats.org/spreadsheetml/2006/main" xmlns:r="http://schemas.openxmlformats.org/officeDocument/2006/relationships">
  <sheetPr codeName="Sheet36">
    <tabColor theme="9" tint="0.79998168889431442"/>
    <pageSetUpPr fitToPage="1"/>
  </sheetPr>
  <dimension ref="A1:Z858"/>
  <sheetViews>
    <sheetView zoomScaleNormal="100" workbookViewId="0"/>
  </sheetViews>
  <sheetFormatPr defaultRowHeight="15"/>
  <cols>
    <col min="1" max="2" width="4.140625" style="22" customWidth="1"/>
    <col min="3" max="3" width="47.5703125" style="22" customWidth="1"/>
    <col min="4" max="4" width="13.5703125" style="22" customWidth="1"/>
    <col min="5" max="5" width="10.5703125" style="22" customWidth="1"/>
    <col min="6" max="6" width="13.42578125" style="22" customWidth="1"/>
    <col min="7" max="7" width="10.42578125" style="22" customWidth="1"/>
    <col min="8" max="8" width="11.5703125" style="22" customWidth="1"/>
    <col min="9" max="9" width="10.28515625" style="22" customWidth="1"/>
    <col min="10" max="10" width="13.7109375" style="22" customWidth="1"/>
    <col min="11" max="11" width="11.28515625" style="22" customWidth="1"/>
    <col min="12" max="12" width="19.5703125" style="22" bestFit="1" customWidth="1"/>
    <col min="13" max="13" width="11.5703125" style="22" bestFit="1" customWidth="1"/>
    <col min="14" max="16384" width="9.140625" style="22"/>
  </cols>
  <sheetData>
    <row r="1" spans="1:16" ht="23.25">
      <c r="A1" s="27"/>
      <c r="C1" s="1" t="str">
        <f ca="1">OFFSET(Inputs_Anchor,0,G1+1)</f>
        <v xml:space="preserve">OtagoNet </v>
      </c>
      <c r="D1" s="1"/>
      <c r="E1" s="1"/>
      <c r="F1" s="4" t="s">
        <v>109</v>
      </c>
      <c r="G1" s="5">
        <v>10</v>
      </c>
      <c r="H1" s="1"/>
      <c r="I1" s="1"/>
      <c r="J1" s="1"/>
      <c r="K1" s="1"/>
      <c r="L1" s="1"/>
      <c r="M1" s="1"/>
      <c r="N1" s="1"/>
      <c r="O1" s="1"/>
      <c r="P1" s="1"/>
    </row>
    <row r="2" spans="1:16">
      <c r="A2" s="27"/>
      <c r="L2" s="26"/>
    </row>
    <row r="3" spans="1:16" ht="23.25">
      <c r="C3" s="1" t="s">
        <v>3</v>
      </c>
      <c r="D3" s="1"/>
      <c r="E3" s="1"/>
      <c r="F3" s="1"/>
      <c r="G3" s="1"/>
      <c r="H3" s="1"/>
      <c r="I3" s="1"/>
      <c r="J3" s="1"/>
      <c r="K3" s="1"/>
      <c r="L3" s="1"/>
      <c r="M3" s="1"/>
      <c r="N3" s="1"/>
      <c r="O3" s="1"/>
      <c r="P3" s="1"/>
    </row>
    <row r="4" spans="1:16">
      <c r="A4" s="27"/>
      <c r="B4" s="27"/>
      <c r="C4" s="27"/>
      <c r="D4" s="147" t="s">
        <v>57</v>
      </c>
      <c r="E4" s="147" t="s">
        <v>58</v>
      </c>
      <c r="F4" s="27"/>
      <c r="G4" s="27"/>
      <c r="H4" s="148" t="s">
        <v>5</v>
      </c>
      <c r="I4" s="27"/>
      <c r="J4" s="27"/>
      <c r="K4" s="27"/>
      <c r="L4" s="27"/>
    </row>
    <row r="5" spans="1:16">
      <c r="A5" s="30"/>
      <c r="B5" s="27"/>
      <c r="C5" s="27"/>
      <c r="D5" s="147" t="s">
        <v>56</v>
      </c>
      <c r="E5" s="147"/>
      <c r="F5" s="27"/>
      <c r="G5" s="27"/>
      <c r="H5" s="27"/>
      <c r="I5" s="27"/>
      <c r="J5" s="27"/>
      <c r="K5" s="27"/>
      <c r="L5" s="27"/>
    </row>
    <row r="6" spans="1:16">
      <c r="A6" s="119"/>
      <c r="B6" s="50"/>
      <c r="C6" s="99" t="s">
        <v>1</v>
      </c>
      <c r="D6" s="50"/>
      <c r="E6" s="99" t="str">
        <f>Inputs!D11</f>
        <v>2009/10</v>
      </c>
      <c r="F6" s="99" t="str">
        <f>Inputs!E11</f>
        <v>2010/11</v>
      </c>
      <c r="G6" s="99" t="str">
        <f>Inputs!F11</f>
        <v>2011/12</v>
      </c>
      <c r="H6" s="99" t="str">
        <f>Inputs!G11</f>
        <v>2012/13</v>
      </c>
      <c r="I6" s="99" t="str">
        <f>Inputs!H11</f>
        <v>2013/14</v>
      </c>
      <c r="J6" s="99" t="str">
        <f>Inputs!I11</f>
        <v>2014/15</v>
      </c>
      <c r="K6" s="99"/>
      <c r="L6" s="67"/>
    </row>
    <row r="7" spans="1:16">
      <c r="A7" s="119"/>
      <c r="B7" s="50"/>
      <c r="C7" s="50" t="s">
        <v>59</v>
      </c>
      <c r="D7" s="50"/>
      <c r="E7" s="125">
        <v>1</v>
      </c>
      <c r="F7" s="125">
        <v>2</v>
      </c>
      <c r="G7" s="125">
        <v>3</v>
      </c>
      <c r="H7" s="125">
        <v>4</v>
      </c>
      <c r="I7" s="125">
        <v>5</v>
      </c>
      <c r="J7" s="125">
        <v>6</v>
      </c>
      <c r="K7" s="125"/>
      <c r="L7" s="67"/>
    </row>
    <row r="8" spans="1:16">
      <c r="A8" s="119">
        <v>1</v>
      </c>
      <c r="B8" s="149"/>
      <c r="C8" s="50" t="str">
        <f>Inputs!B20</f>
        <v>Line Revenue through Prices</v>
      </c>
      <c r="D8" s="50"/>
      <c r="E8" s="47">
        <f t="shared" ref="E8:E27" si="0">INDEX(InputsBlock,A8+1,$G$1+2)</f>
        <v>25337</v>
      </c>
      <c r="F8" s="50"/>
      <c r="G8" s="50"/>
      <c r="H8" s="50"/>
      <c r="I8" s="50"/>
      <c r="J8" s="50"/>
      <c r="K8" s="50"/>
      <c r="L8" s="27"/>
    </row>
    <row r="9" spans="1:16">
      <c r="A9" s="119">
        <f t="shared" ref="A9:A27" si="1">A8+1</f>
        <v>2</v>
      </c>
      <c r="B9" s="149"/>
      <c r="C9" s="50" t="str">
        <f>Inputs!B21</f>
        <v>Pass-through costs</v>
      </c>
      <c r="D9" s="50"/>
      <c r="E9" s="47">
        <f t="shared" si="0"/>
        <v>164</v>
      </c>
      <c r="F9" s="50"/>
      <c r="G9" s="50"/>
      <c r="H9" s="50"/>
      <c r="I9" s="50"/>
      <c r="J9" s="50"/>
      <c r="K9" s="50"/>
      <c r="L9" s="27"/>
    </row>
    <row r="10" spans="1:16">
      <c r="A10" s="119">
        <f t="shared" si="1"/>
        <v>3</v>
      </c>
      <c r="B10" s="149"/>
      <c r="C10" s="50" t="str">
        <f>Inputs!B22</f>
        <v>Recoverable costs</v>
      </c>
      <c r="D10" s="50"/>
      <c r="E10" s="47">
        <f t="shared" si="0"/>
        <v>5924</v>
      </c>
      <c r="F10" s="50"/>
      <c r="G10" s="50"/>
      <c r="H10" s="50"/>
      <c r="I10" s="50"/>
      <c r="J10" s="50"/>
      <c r="K10" s="50"/>
      <c r="L10" s="27"/>
    </row>
    <row r="11" spans="1:16">
      <c r="A11" s="119">
        <f t="shared" si="1"/>
        <v>4</v>
      </c>
      <c r="B11" s="149"/>
      <c r="C11" s="50" t="str">
        <f>Inputs!B23</f>
        <v>Opening RAB</v>
      </c>
      <c r="D11" s="50"/>
      <c r="E11" s="47">
        <f t="shared" si="0"/>
        <v>130998</v>
      </c>
      <c r="F11" s="50"/>
      <c r="G11" s="50"/>
      <c r="H11" s="50"/>
      <c r="I11" s="50"/>
      <c r="J11" s="50"/>
      <c r="K11" s="50"/>
      <c r="L11" s="150"/>
    </row>
    <row r="12" spans="1:16">
      <c r="A12" s="119">
        <f t="shared" si="1"/>
        <v>5</v>
      </c>
      <c r="B12" s="149"/>
      <c r="C12" s="50" t="str">
        <f>Inputs!B24</f>
        <v>Lost assets</v>
      </c>
      <c r="D12" s="50"/>
      <c r="E12" s="47">
        <f t="shared" si="0"/>
        <v>0</v>
      </c>
      <c r="F12" s="50"/>
      <c r="G12" s="50"/>
      <c r="H12" s="50"/>
      <c r="I12" s="50"/>
      <c r="J12" s="50"/>
      <c r="K12" s="50"/>
      <c r="L12" s="150"/>
    </row>
    <row r="13" spans="1:16">
      <c r="A13" s="119">
        <f t="shared" si="1"/>
        <v>6</v>
      </c>
      <c r="B13" s="149"/>
      <c r="C13" s="50" t="str">
        <f>Inputs!B25</f>
        <v>Found Assets</v>
      </c>
      <c r="D13" s="50"/>
      <c r="E13" s="47">
        <f t="shared" si="0"/>
        <v>0</v>
      </c>
      <c r="F13" s="50"/>
      <c r="G13" s="50"/>
      <c r="H13" s="50"/>
      <c r="I13" s="50"/>
      <c r="J13" s="50"/>
      <c r="K13" s="50"/>
      <c r="L13" s="150"/>
    </row>
    <row r="14" spans="1:16">
      <c r="A14" s="119">
        <f t="shared" si="1"/>
        <v>7</v>
      </c>
      <c r="B14" s="149"/>
      <c r="C14" s="50" t="str">
        <f>Inputs!B26</f>
        <v>Total Depreciation</v>
      </c>
      <c r="D14" s="50"/>
      <c r="E14" s="47">
        <f t="shared" si="0"/>
        <v>6303</v>
      </c>
      <c r="F14" s="47"/>
      <c r="G14" s="191" t="s">
        <v>280</v>
      </c>
      <c r="H14" s="50"/>
      <c r="I14" s="50"/>
      <c r="J14" s="50"/>
      <c r="K14" s="50"/>
      <c r="L14" s="27"/>
    </row>
    <row r="15" spans="1:16">
      <c r="A15" s="119">
        <f t="shared" si="1"/>
        <v>8</v>
      </c>
      <c r="B15" s="149"/>
      <c r="C15" s="50" t="str">
        <f>Inputs!B27</f>
        <v>RAB of disposed assets</v>
      </c>
      <c r="D15" s="50"/>
      <c r="E15" s="47">
        <f t="shared" si="0"/>
        <v>0</v>
      </c>
      <c r="F15" s="50"/>
      <c r="G15" s="175" t="s">
        <v>281</v>
      </c>
      <c r="H15" s="50"/>
      <c r="I15" s="50"/>
      <c r="J15" s="50"/>
      <c r="K15" s="50"/>
      <c r="L15" s="27"/>
    </row>
    <row r="16" spans="1:16">
      <c r="A16" s="119">
        <f t="shared" si="1"/>
        <v>9</v>
      </c>
      <c r="B16" s="149"/>
      <c r="C16" s="50" t="str">
        <f>Inputs!B28</f>
        <v>Discretionary discounts &amp;  rebates</v>
      </c>
      <c r="D16" s="50"/>
      <c r="E16" s="47">
        <f t="shared" si="0"/>
        <v>0</v>
      </c>
      <c r="F16" s="50"/>
      <c r="G16" s="175" t="s">
        <v>282</v>
      </c>
      <c r="H16" s="50"/>
      <c r="I16" s="50"/>
      <c r="J16" s="50"/>
      <c r="K16" s="50"/>
      <c r="L16" s="27"/>
    </row>
    <row r="17" spans="1:22">
      <c r="A17" s="119">
        <f t="shared" si="1"/>
        <v>10</v>
      </c>
      <c r="B17" s="149"/>
      <c r="C17" s="50" t="str">
        <f>Inputs!B29</f>
        <v>Tax Depreciation</v>
      </c>
      <c r="D17" s="50"/>
      <c r="E17" s="47">
        <f t="shared" si="0"/>
        <v>7144</v>
      </c>
      <c r="F17" s="50"/>
      <c r="G17" s="175" t="s">
        <v>283</v>
      </c>
      <c r="H17" s="50"/>
      <c r="I17" s="50"/>
      <c r="J17" s="50"/>
      <c r="K17" s="50"/>
      <c r="L17" s="27"/>
    </row>
    <row r="18" spans="1:22">
      <c r="A18" s="119">
        <f t="shared" si="1"/>
        <v>11</v>
      </c>
      <c r="B18" s="149"/>
      <c r="C18" s="50" t="str">
        <f>Inputs!B30</f>
        <v>Opening regulatory tax asset value</v>
      </c>
      <c r="D18" s="50"/>
      <c r="E18" s="47">
        <f t="shared" si="0"/>
        <v>88066</v>
      </c>
      <c r="F18" s="50"/>
      <c r="G18" s="50"/>
      <c r="H18" s="50"/>
      <c r="I18" s="50"/>
      <c r="J18" s="50"/>
      <c r="K18" s="50"/>
      <c r="L18" s="27"/>
    </row>
    <row r="19" spans="1:22">
      <c r="A19" s="119">
        <f t="shared" si="1"/>
        <v>12</v>
      </c>
      <c r="B19" s="149"/>
      <c r="C19" s="50" t="str">
        <f>Inputs!B31</f>
        <v>Weighted Average Remaining Life at year-end</v>
      </c>
      <c r="D19" s="50"/>
      <c r="E19" s="47">
        <f t="shared" si="0"/>
        <v>22.41</v>
      </c>
      <c r="F19" s="50"/>
      <c r="G19" s="50"/>
      <c r="H19" s="50"/>
      <c r="I19" s="50"/>
      <c r="J19" s="50"/>
      <c r="K19" s="50"/>
      <c r="L19" s="27"/>
    </row>
    <row r="20" spans="1:22">
      <c r="A20" s="119">
        <f t="shared" si="1"/>
        <v>13</v>
      </c>
      <c r="B20" s="149"/>
      <c r="C20" s="50" t="str">
        <f>Inputs!B32</f>
        <v>Term Credit Spread Differential Allowance</v>
      </c>
      <c r="D20" s="50"/>
      <c r="E20" s="47">
        <f t="shared" si="0"/>
        <v>0</v>
      </c>
      <c r="F20" s="50"/>
      <c r="G20" s="50"/>
      <c r="H20" s="50"/>
      <c r="I20" s="50"/>
      <c r="J20" s="50"/>
      <c r="K20" s="50"/>
      <c r="L20" s="27"/>
    </row>
    <row r="21" spans="1:22">
      <c r="A21" s="119">
        <f t="shared" si="1"/>
        <v>14</v>
      </c>
      <c r="B21" s="149"/>
      <c r="C21" s="50" t="s">
        <v>98</v>
      </c>
      <c r="D21" s="50"/>
      <c r="E21" s="47">
        <f t="shared" si="0"/>
        <v>5314</v>
      </c>
      <c r="F21" s="50"/>
      <c r="G21" s="50"/>
      <c r="H21" s="50"/>
      <c r="I21" s="50"/>
      <c r="J21" s="50"/>
      <c r="K21" s="50"/>
      <c r="L21" s="27"/>
    </row>
    <row r="22" spans="1:22">
      <c r="A22" s="119">
        <f t="shared" si="1"/>
        <v>15</v>
      </c>
      <c r="B22" s="149"/>
      <c r="C22" s="50" t="str">
        <f>Inputs!B34</f>
        <v>Operating expenditure 2009/10</v>
      </c>
      <c r="D22" s="50"/>
      <c r="E22" s="47">
        <f t="shared" si="0"/>
        <v>4855</v>
      </c>
      <c r="F22" s="50"/>
      <c r="G22" s="50"/>
      <c r="H22" s="50"/>
      <c r="I22" s="50"/>
      <c r="J22" s="50"/>
      <c r="K22" s="50"/>
      <c r="L22" s="27"/>
    </row>
    <row r="23" spans="1:22">
      <c r="A23" s="119">
        <f t="shared" si="1"/>
        <v>16</v>
      </c>
      <c r="B23" s="149"/>
      <c r="C23" s="50" t="str">
        <f>Inputs!B35</f>
        <v>Other reg income (avg of 2008 to 11, in 2009/10 $)</v>
      </c>
      <c r="D23" s="50"/>
      <c r="E23" s="47">
        <f t="shared" si="0"/>
        <v>304.0805752321744</v>
      </c>
      <c r="F23" s="50"/>
      <c r="G23" s="50"/>
      <c r="H23" s="50"/>
      <c r="I23" s="50"/>
      <c r="J23" s="50"/>
      <c r="K23" s="49"/>
      <c r="L23" s="27"/>
    </row>
    <row r="24" spans="1:22">
      <c r="A24" s="119">
        <f t="shared" si="1"/>
        <v>17</v>
      </c>
      <c r="B24" s="149"/>
      <c r="C24" s="119" t="str">
        <f>Inputs!B36</f>
        <v>Allowable notional revenue 2012/13</v>
      </c>
      <c r="D24" s="50"/>
      <c r="E24" s="47">
        <f t="shared" si="0"/>
        <v>23679</v>
      </c>
      <c r="F24" s="50"/>
      <c r="G24" s="50"/>
      <c r="H24" s="50"/>
      <c r="I24" s="50"/>
      <c r="J24" s="50"/>
      <c r="K24" s="49"/>
      <c r="L24" s="27"/>
    </row>
    <row r="25" spans="1:22">
      <c r="A25" s="119">
        <f t="shared" si="1"/>
        <v>18</v>
      </c>
      <c r="B25" s="149"/>
      <c r="C25" s="119" t="str">
        <f>Inputs!B37</f>
        <v>Pass-through costs 2012/13</v>
      </c>
      <c r="D25" s="50"/>
      <c r="E25" s="47">
        <f t="shared" si="0"/>
        <v>6419</v>
      </c>
      <c r="F25" s="50"/>
      <c r="G25" s="50"/>
      <c r="H25" s="50"/>
      <c r="I25" s="50"/>
      <c r="J25" s="50"/>
      <c r="K25" s="49"/>
      <c r="L25" s="27"/>
    </row>
    <row r="26" spans="1:22">
      <c r="A26" s="119">
        <f t="shared" si="1"/>
        <v>19</v>
      </c>
      <c r="B26" s="50"/>
      <c r="C26" s="50" t="str">
        <f>Inputs!B38</f>
        <v>Alternate X value to 2014/15</v>
      </c>
      <c r="D26" s="49"/>
      <c r="E26" s="151" t="str">
        <f t="shared" si="0"/>
        <v>IWX</v>
      </c>
      <c r="F26" s="50"/>
      <c r="G26" s="50"/>
      <c r="H26" s="50"/>
      <c r="I26" s="50"/>
      <c r="J26" s="50"/>
      <c r="K26" s="49"/>
      <c r="L26" s="27"/>
    </row>
    <row r="27" spans="1:22">
      <c r="A27" s="119">
        <f t="shared" si="1"/>
        <v>20</v>
      </c>
      <c r="B27" s="50"/>
      <c r="C27" s="50" t="str">
        <f>Inputs!B39</f>
        <v>Cap on growth of maximum allowable revenue</v>
      </c>
      <c r="D27" s="50"/>
      <c r="E27" s="151">
        <f t="shared" si="0"/>
        <v>0.2</v>
      </c>
      <c r="F27" s="50"/>
      <c r="G27" s="50"/>
      <c r="H27" s="50"/>
      <c r="I27" s="50"/>
      <c r="J27" s="50"/>
      <c r="K27" s="49"/>
      <c r="L27" s="27"/>
    </row>
    <row r="28" spans="1:22">
      <c r="A28" s="119"/>
      <c r="B28" s="149"/>
      <c r="C28" s="50" t="s">
        <v>30</v>
      </c>
      <c r="D28" s="50"/>
      <c r="E28" s="130">
        <f>E22</f>
        <v>4855</v>
      </c>
      <c r="F28" s="47">
        <f>INDEX(OpexBlock,F7-1,$G$1)</f>
        <v>4980.2484336147554</v>
      </c>
      <c r="G28" s="47">
        <f>INDEX(OpexBlock,G7-1,$G$1)</f>
        <v>5153.9882922058459</v>
      </c>
      <c r="H28" s="47">
        <f>INDEX(OpexBlock,H7-1,$G$1)</f>
        <v>5265.8946779284342</v>
      </c>
      <c r="I28" s="47">
        <f>INDEX(OpexBlock,I7-1,$G$1)</f>
        <v>5395.4926016644267</v>
      </c>
      <c r="J28" s="47">
        <f>INDEX(OpexBlock,J7-1,$G$1)</f>
        <v>5533.1658601582785</v>
      </c>
      <c r="K28" s="49"/>
      <c r="L28" s="50"/>
      <c r="M28" s="15"/>
    </row>
    <row r="29" spans="1:22">
      <c r="A29" s="119"/>
      <c r="B29" s="149"/>
      <c r="C29" s="50" t="s">
        <v>158</v>
      </c>
      <c r="D29" s="47"/>
      <c r="E29" s="130">
        <f>E21</f>
        <v>5314</v>
      </c>
      <c r="F29" s="47">
        <f>INDEX(CommAssetsBlock,F7-1,$G$1)</f>
        <v>9617.8194802400612</v>
      </c>
      <c r="G29" s="47">
        <f>INDEX(CommAssetsBlock,G7-1,$G$1)</f>
        <v>9875.5356247567215</v>
      </c>
      <c r="H29" s="47">
        <f>INDEX(CommAssetsBlock,H7-1,$G$1)</f>
        <v>10366.171567149242</v>
      </c>
      <c r="I29" s="47">
        <f>INDEX(CommAssetsBlock,I7-1,$G$1)</f>
        <v>10310.510041897414</v>
      </c>
      <c r="J29" s="47">
        <f>INDEX(CommAssetsBlock,J7-1,$G$1)</f>
        <v>10184.89598193329</v>
      </c>
      <c r="K29" s="49"/>
      <c r="L29" s="50"/>
      <c r="M29" s="15"/>
    </row>
    <row r="30" spans="1:22">
      <c r="A30" s="119"/>
      <c r="B30" s="149"/>
      <c r="C30" s="50" t="s">
        <v>200</v>
      </c>
      <c r="D30" s="47"/>
      <c r="E30" s="49"/>
      <c r="F30" s="110">
        <f>INDEX(ConstPriceRevGrwth,F$7-1,$G$1)</f>
        <v>3.0042551825458278E-3</v>
      </c>
      <c r="G30" s="110">
        <f>INDEX(ConstPriceRevGrwth,G$7-1,$G$1)</f>
        <v>3.0042551825458278E-3</v>
      </c>
      <c r="H30" s="110">
        <f>INDEX(ConstPriceRevGrwth,H$7-1,$G$1)</f>
        <v>3.0042551825458278E-3</v>
      </c>
      <c r="I30" s="110">
        <f>INDEX(ConstPriceRevGrwth,I$7-1,$G$1)</f>
        <v>3.0042551825458278E-3</v>
      </c>
      <c r="J30" s="110">
        <f>INDEX(ConstPriceRevGrwth,J$7-1,$G$1)</f>
        <v>3.0042551825458278E-3</v>
      </c>
      <c r="K30" s="49"/>
      <c r="L30" s="50"/>
      <c r="M30" s="15"/>
      <c r="U30" s="15"/>
      <c r="V30" s="15"/>
    </row>
    <row r="31" spans="1:22" ht="15.75" thickBot="1">
      <c r="A31" s="119"/>
      <c r="B31" s="149"/>
      <c r="C31" s="50"/>
      <c r="D31" s="47"/>
      <c r="E31" s="49"/>
      <c r="F31" s="50"/>
      <c r="G31" s="49"/>
      <c r="H31" s="49"/>
      <c r="I31" s="49"/>
      <c r="J31" s="49"/>
      <c r="K31" s="49"/>
      <c r="L31" s="27"/>
      <c r="M31" s="15"/>
      <c r="U31" s="15"/>
      <c r="V31" s="15"/>
    </row>
    <row r="32" spans="1:22" ht="16.5" thickBot="1">
      <c r="A32" s="119"/>
      <c r="B32" s="149"/>
      <c r="C32" s="121" t="s">
        <v>182</v>
      </c>
      <c r="D32" s="47"/>
      <c r="E32" s="49"/>
      <c r="F32" s="50"/>
      <c r="G32" s="49"/>
      <c r="H32" s="49"/>
      <c r="I32" s="49"/>
      <c r="J32" s="49"/>
      <c r="K32" s="49"/>
      <c r="L32" s="195" t="s">
        <v>322</v>
      </c>
      <c r="M32" s="111"/>
      <c r="N32" s="34"/>
      <c r="O32" s="34"/>
      <c r="P32" s="34"/>
      <c r="Q32" s="34"/>
      <c r="R32" s="34"/>
      <c r="S32" s="34"/>
      <c r="T32" s="34"/>
      <c r="U32" s="34"/>
      <c r="V32" s="35"/>
    </row>
    <row r="33" spans="1:26">
      <c r="A33" s="119"/>
      <c r="B33" s="149"/>
      <c r="C33" s="122" t="str">
        <f>Inputs!B13</f>
        <v>2009 ΔCPI, 2 index, no lag, no GST adjustment</v>
      </c>
      <c r="D33" s="47"/>
      <c r="E33" s="49">
        <f>Inputs!D13</f>
        <v>1.7233850022212005E-2</v>
      </c>
      <c r="F33" s="49">
        <f>Inputs!E13</f>
        <v>1.9812209526758329E-2</v>
      </c>
      <c r="G33" s="49">
        <f>Inputs!F13</f>
        <v>2.4339880629970168E-2</v>
      </c>
      <c r="H33" s="49">
        <f>Inputs!G13</f>
        <v>2.2893253753313525E-2</v>
      </c>
      <c r="I33" s="49">
        <f>Inputs!H13</f>
        <v>2.144662687665666E-2</v>
      </c>
      <c r="J33" s="49">
        <f>Inputs!I13</f>
        <v>2.0000000000000018E-2</v>
      </c>
      <c r="K33" s="50"/>
      <c r="L33" s="196" t="s">
        <v>194</v>
      </c>
      <c r="M33" s="50"/>
      <c r="N33" s="15"/>
      <c r="O33" s="15"/>
      <c r="P33" s="15"/>
      <c r="Q33" s="15"/>
      <c r="R33" s="15"/>
      <c r="S33" s="15"/>
      <c r="T33" s="15"/>
      <c r="U33" s="15"/>
      <c r="V33" s="29"/>
    </row>
    <row r="34" spans="1:26">
      <c r="A34" s="119"/>
      <c r="B34" s="149"/>
      <c r="C34" s="122" t="str">
        <f>Inputs!B14</f>
        <v>2012 ΔCPI, 2 index, no lag, no GST adjustment</v>
      </c>
      <c r="D34" s="47"/>
      <c r="E34" s="49"/>
      <c r="F34" s="49">
        <f>Inputs!E14</f>
        <v>4.4667274384685429E-2</v>
      </c>
      <c r="G34" s="49">
        <f>Inputs!F14</f>
        <v>1.5706806282722585E-2</v>
      </c>
      <c r="H34" s="49">
        <f>Inputs!G14</f>
        <v>1.8041237113401998E-2</v>
      </c>
      <c r="I34" s="49">
        <f>Inputs!H14</f>
        <v>1.7721518987341867E-2</v>
      </c>
      <c r="J34" s="49">
        <f>Inputs!I14</f>
        <v>2.3217247097844007E-2</v>
      </c>
      <c r="K34" s="50"/>
      <c r="L34" s="196" t="s">
        <v>320</v>
      </c>
      <c r="M34" s="50"/>
      <c r="N34" s="15"/>
      <c r="O34" s="15"/>
      <c r="P34" s="15"/>
      <c r="Q34" s="15"/>
      <c r="R34" s="15"/>
      <c r="S34" s="15"/>
      <c r="T34" s="15"/>
      <c r="U34" s="15"/>
      <c r="V34" s="29"/>
    </row>
    <row r="35" spans="1:26">
      <c r="A35" s="119"/>
      <c r="B35" s="149"/>
      <c r="C35" s="122" t="str">
        <f>Inputs!B15</f>
        <v>2009 ΔCPI, 8 index, lagged, no GST adjustment</v>
      </c>
      <c r="D35" s="47"/>
      <c r="E35" s="49"/>
      <c r="F35" s="49"/>
      <c r="G35" s="49">
        <f>Inputs!F15</f>
        <v>1.6991832174541255E-2</v>
      </c>
      <c r="H35" s="49">
        <f>Inputs!G15</f>
        <v>2.0741514169093644E-2</v>
      </c>
      <c r="I35" s="49">
        <f>Inputs!H15</f>
        <v>2.3759818812291389E-2</v>
      </c>
      <c r="J35" s="49">
        <f>Inputs!I15</f>
        <v>2.2164443909808984E-2</v>
      </c>
      <c r="K35" s="50"/>
      <c r="L35" s="196" t="s">
        <v>321</v>
      </c>
      <c r="M35" s="50"/>
      <c r="N35" s="15"/>
      <c r="O35" s="15"/>
      <c r="P35" s="15"/>
      <c r="Q35" s="15"/>
      <c r="R35" s="15"/>
      <c r="S35" s="15"/>
      <c r="T35" s="15"/>
      <c r="U35" s="15"/>
      <c r="V35" s="29"/>
    </row>
    <row r="36" spans="1:26">
      <c r="A36" s="149"/>
      <c r="B36" s="149"/>
      <c r="C36" s="122" t="str">
        <f>Inputs!B16</f>
        <v>2012 ΔCPI, 8 index, lagged, no GST adjustment</v>
      </c>
      <c r="D36" s="50"/>
      <c r="E36" s="49"/>
      <c r="F36" s="49">
        <f>Inputs!E16</f>
        <v>2.465039108793543E-2</v>
      </c>
      <c r="G36" s="49">
        <f>Inputs!F16</f>
        <v>1.7811704834605591E-2</v>
      </c>
      <c r="H36" s="49">
        <f>Inputs!G16</f>
        <v>4.5909090909090899E-2</v>
      </c>
      <c r="I36" s="49">
        <f>Inputs!H16</f>
        <v>1.2820512820512775E-2</v>
      </c>
      <c r="J36" s="49">
        <f>Inputs!I16</f>
        <v>1.9725095732576747E-2</v>
      </c>
      <c r="K36" s="50"/>
      <c r="L36" s="196" t="s">
        <v>365</v>
      </c>
      <c r="M36" s="50"/>
      <c r="N36" s="15"/>
      <c r="O36" s="15"/>
      <c r="P36" s="15"/>
      <c r="Q36" s="15"/>
      <c r="R36" s="15"/>
      <c r="S36" s="15"/>
      <c r="T36" s="15"/>
      <c r="U36" s="15"/>
      <c r="V36" s="29"/>
    </row>
    <row r="37" spans="1:26" ht="15.75" thickBot="1">
      <c r="A37" s="149"/>
      <c r="B37" s="149"/>
      <c r="C37" s="122" t="str">
        <f>Inputs!B17</f>
        <v>2012 ΔCPI, 8 index, lagged, with GST adjustment</v>
      </c>
      <c r="D37" s="50"/>
      <c r="E37" s="49"/>
      <c r="F37" s="112">
        <f>Inputs!E17</f>
        <v>2.4650391087935652E-2</v>
      </c>
      <c r="G37" s="112">
        <f>Inputs!F17</f>
        <v>1.7811704834605369E-2</v>
      </c>
      <c r="H37" s="112">
        <f>Inputs!G17</f>
        <v>2.5401069518716568E-2</v>
      </c>
      <c r="I37" s="49">
        <f>Inputs!H17</f>
        <v>1.2820512820512775E-2</v>
      </c>
      <c r="J37" s="49">
        <f>Inputs!I17</f>
        <v>1.9725095732576747E-2</v>
      </c>
      <c r="K37" s="50"/>
      <c r="L37" s="219" t="s">
        <v>409</v>
      </c>
      <c r="M37" s="220"/>
      <c r="N37" s="220"/>
      <c r="O37" s="220"/>
      <c r="P37" s="220"/>
      <c r="Q37" s="220"/>
      <c r="R37" s="220"/>
      <c r="S37" s="220"/>
      <c r="T37" s="220"/>
      <c r="U37" s="220"/>
      <c r="V37" s="221"/>
    </row>
    <row r="38" spans="1:26">
      <c r="A38" s="149"/>
      <c r="B38" s="149"/>
      <c r="C38" s="122"/>
      <c r="D38" s="50"/>
      <c r="E38" s="49"/>
      <c r="F38" s="112"/>
      <c r="G38" s="112"/>
      <c r="H38" s="112"/>
      <c r="I38" s="49"/>
      <c r="J38" s="49"/>
      <c r="K38" s="49"/>
      <c r="L38" s="49"/>
      <c r="M38" s="49"/>
      <c r="N38" s="49"/>
      <c r="O38" s="49"/>
      <c r="P38" s="49"/>
      <c r="Q38" s="49"/>
      <c r="R38" s="49"/>
      <c r="S38" s="49"/>
      <c r="T38" s="49"/>
      <c r="U38" s="49"/>
      <c r="V38" s="49"/>
      <c r="W38" s="49"/>
      <c r="X38" s="49"/>
      <c r="Y38" s="49"/>
      <c r="Z38" s="49"/>
    </row>
    <row r="39" spans="1:26" ht="23.25">
      <c r="A39" s="50"/>
      <c r="B39" s="50"/>
      <c r="C39" s="1" t="s">
        <v>4</v>
      </c>
      <c r="D39" s="153" t="s">
        <v>36</v>
      </c>
      <c r="E39" s="153" t="s">
        <v>35</v>
      </c>
      <c r="F39" s="152"/>
      <c r="G39" s="152"/>
      <c r="H39" s="152"/>
      <c r="I39" s="152"/>
      <c r="J39" s="152"/>
      <c r="K39" s="152"/>
      <c r="L39" s="152"/>
      <c r="M39" s="152"/>
      <c r="N39" s="194"/>
      <c r="O39" s="194"/>
      <c r="P39" s="194"/>
    </row>
    <row r="40" spans="1:26">
      <c r="A40" s="50"/>
      <c r="B40" s="50"/>
      <c r="C40" s="50"/>
      <c r="D40" s="50"/>
      <c r="E40" s="154" t="s">
        <v>183</v>
      </c>
      <c r="F40" s="154" t="s">
        <v>184</v>
      </c>
      <c r="G40" s="154" t="s">
        <v>185</v>
      </c>
      <c r="H40" s="154" t="s">
        <v>186</v>
      </c>
      <c r="I40" s="154" t="s">
        <v>187</v>
      </c>
      <c r="J40" s="154" t="s">
        <v>188</v>
      </c>
      <c r="K40" s="154"/>
      <c r="L40" s="154"/>
      <c r="M40" s="48"/>
    </row>
    <row r="41" spans="1:26">
      <c r="A41" s="50"/>
      <c r="B41" s="50"/>
      <c r="C41" s="50" t="s">
        <v>129</v>
      </c>
      <c r="D41" s="50"/>
      <c r="E41" s="49">
        <f t="shared" ref="E41:J41" si="2">E33</f>
        <v>1.7233850022212005E-2</v>
      </c>
      <c r="F41" s="49">
        <f t="shared" si="2"/>
        <v>1.9812209526758329E-2</v>
      </c>
      <c r="G41" s="49">
        <f t="shared" si="2"/>
        <v>2.4339880629970168E-2</v>
      </c>
      <c r="H41" s="49">
        <f t="shared" si="2"/>
        <v>2.2893253753313525E-2</v>
      </c>
      <c r="I41" s="49">
        <f t="shared" si="2"/>
        <v>2.144662687665666E-2</v>
      </c>
      <c r="J41" s="49">
        <f t="shared" si="2"/>
        <v>2.0000000000000018E-2</v>
      </c>
      <c r="K41" s="51"/>
      <c r="L41" s="47"/>
      <c r="M41" s="15"/>
    </row>
    <row r="42" spans="1:26">
      <c r="A42" s="50"/>
      <c r="B42" s="50"/>
      <c r="C42" s="50" t="s">
        <v>163</v>
      </c>
      <c r="D42" s="50"/>
      <c r="E42" s="49"/>
      <c r="F42" s="49">
        <f>F34</f>
        <v>4.4667274384685429E-2</v>
      </c>
      <c r="G42" s="49">
        <f>G34</f>
        <v>1.5706806282722585E-2</v>
      </c>
      <c r="H42" s="49">
        <f>H34</f>
        <v>1.8041237113401998E-2</v>
      </c>
      <c r="I42" s="49">
        <f>I34</f>
        <v>1.7721518987341867E-2</v>
      </c>
      <c r="J42" s="49">
        <f>J34</f>
        <v>2.3217247097844007E-2</v>
      </c>
      <c r="K42" s="51"/>
      <c r="L42" s="47"/>
      <c r="M42" s="15"/>
    </row>
    <row r="43" spans="1:26">
      <c r="A43" s="50"/>
      <c r="B43" s="50"/>
      <c r="C43" s="50" t="s">
        <v>122</v>
      </c>
      <c r="D43" s="50"/>
      <c r="E43" s="130">
        <f>E23</f>
        <v>304.0805752321744</v>
      </c>
      <c r="F43" s="47">
        <f>E43*(1+F42)</f>
        <v>317.66302572112289</v>
      </c>
      <c r="G43" s="47">
        <f>F43*(1+G42)</f>
        <v>322.65249732930812</v>
      </c>
      <c r="H43" s="47">
        <f>G43*(1+H42)</f>
        <v>328.47354753885747</v>
      </c>
      <c r="I43" s="47">
        <f>H43*(1+I42)</f>
        <v>334.29459774840689</v>
      </c>
      <c r="J43" s="47">
        <f>I43*(1+J42)</f>
        <v>342.05599802780603</v>
      </c>
      <c r="K43" s="50"/>
      <c r="L43" s="47"/>
      <c r="M43" s="15"/>
    </row>
    <row r="44" spans="1:26">
      <c r="A44" s="50"/>
      <c r="B44" s="50"/>
      <c r="C44" s="50"/>
      <c r="D44" s="50"/>
      <c r="E44" s="51"/>
      <c r="F44" s="51"/>
      <c r="G44" s="51"/>
      <c r="H44" s="51"/>
      <c r="I44" s="51"/>
      <c r="J44" s="51"/>
      <c r="K44" s="51"/>
      <c r="L44" s="27"/>
      <c r="M44" s="15"/>
    </row>
    <row r="45" spans="1:26" ht="21">
      <c r="A45" s="50"/>
      <c r="B45" s="50"/>
      <c r="C45" s="155" t="s">
        <v>69</v>
      </c>
      <c r="D45" s="50"/>
      <c r="E45" s="50"/>
      <c r="F45" s="51"/>
      <c r="G45" s="51"/>
      <c r="H45" s="51"/>
      <c r="I45" s="51"/>
      <c r="J45" s="51"/>
      <c r="K45" s="51"/>
      <c r="L45" s="27"/>
      <c r="M45" s="15"/>
    </row>
    <row r="46" spans="1:26" ht="18">
      <c r="A46" s="50"/>
      <c r="B46" s="50"/>
      <c r="C46" s="50" t="s">
        <v>70</v>
      </c>
      <c r="D46" s="156">
        <f>'Timing Assumptions'!C23</f>
        <v>1.0428084742793051</v>
      </c>
      <c r="E46" s="50"/>
      <c r="F46" s="51"/>
      <c r="G46" s="51"/>
      <c r="H46" s="51"/>
      <c r="I46" s="51"/>
      <c r="J46" s="51"/>
      <c r="K46" s="51"/>
      <c r="L46" s="51"/>
      <c r="M46" s="15"/>
    </row>
    <row r="47" spans="1:26" ht="18">
      <c r="A47" s="50"/>
      <c r="B47" s="50"/>
      <c r="C47" s="50" t="s">
        <v>71</v>
      </c>
      <c r="D47" s="156">
        <f>'Timing Assumptions'!C24</f>
        <v>1.0428084742793051</v>
      </c>
      <c r="E47" s="50"/>
      <c r="F47" s="51"/>
      <c r="G47" s="51"/>
      <c r="H47" s="51"/>
      <c r="I47" s="51"/>
      <c r="J47" s="51"/>
      <c r="K47" s="51"/>
      <c r="L47" s="51"/>
      <c r="M47" s="15"/>
    </row>
    <row r="48" spans="1:26" ht="18">
      <c r="A48" s="50"/>
      <c r="B48" s="50"/>
      <c r="C48" s="50" t="s">
        <v>125</v>
      </c>
      <c r="D48" s="156">
        <f>'Timing Assumptions'!C25</f>
        <v>1.0428084742793051</v>
      </c>
      <c r="E48" s="50"/>
      <c r="F48" s="50"/>
      <c r="G48" s="51"/>
      <c r="H48" s="51"/>
      <c r="I48" s="51"/>
      <c r="J48" s="51"/>
      <c r="K48" s="95"/>
      <c r="L48" s="51"/>
      <c r="M48" s="15"/>
    </row>
    <row r="49" spans="1:16" ht="18">
      <c r="A49" s="50"/>
      <c r="B49" s="50"/>
      <c r="C49" s="50" t="s">
        <v>123</v>
      </c>
      <c r="D49" s="156">
        <f>'Timing Assumptions'!C26</f>
        <v>1.0428084742793051</v>
      </c>
      <c r="E49" s="50"/>
      <c r="F49" s="50"/>
      <c r="G49" s="51"/>
      <c r="H49" s="51"/>
      <c r="I49" s="51"/>
      <c r="J49" s="51"/>
      <c r="K49" s="95"/>
      <c r="L49" s="51"/>
      <c r="M49" s="15"/>
    </row>
    <row r="50" spans="1:16" ht="18">
      <c r="A50" s="50"/>
      <c r="B50" s="50"/>
      <c r="C50" s="50" t="s">
        <v>72</v>
      </c>
      <c r="D50" s="156">
        <f>'Timing Assumptions'!C27</f>
        <v>1.0346743941931567</v>
      </c>
      <c r="E50" s="51"/>
      <c r="F50" s="51"/>
      <c r="G50" s="51"/>
      <c r="H50" s="51"/>
      <c r="I50" s="50"/>
      <c r="J50" s="50"/>
      <c r="K50" s="95"/>
      <c r="L50" s="51"/>
      <c r="M50" s="15"/>
    </row>
    <row r="51" spans="1:16">
      <c r="A51" s="50"/>
      <c r="B51" s="50"/>
      <c r="C51" s="50"/>
      <c r="D51" s="50"/>
      <c r="E51" s="50"/>
      <c r="F51" s="50"/>
      <c r="G51" s="50"/>
      <c r="H51" s="50"/>
      <c r="I51" s="50"/>
      <c r="J51" s="50"/>
      <c r="K51" s="95"/>
      <c r="L51" s="27"/>
      <c r="M51" s="15"/>
    </row>
    <row r="52" spans="1:16" ht="21">
      <c r="A52" s="50"/>
      <c r="B52" s="50"/>
      <c r="C52" s="155" t="s">
        <v>105</v>
      </c>
      <c r="D52" s="155"/>
      <c r="E52" s="155"/>
      <c r="F52" s="155"/>
      <c r="G52" s="155"/>
      <c r="H52" s="155"/>
      <c r="I52" s="155"/>
      <c r="J52" s="155"/>
      <c r="K52" s="155"/>
      <c r="L52" s="157"/>
      <c r="M52" s="52"/>
      <c r="N52" s="2"/>
      <c r="O52" s="2"/>
      <c r="P52" s="2"/>
    </row>
    <row r="53" spans="1:16" ht="15.75">
      <c r="A53" s="50"/>
      <c r="B53" s="50"/>
      <c r="C53" s="158" t="s">
        <v>37</v>
      </c>
      <c r="D53" s="50"/>
      <c r="E53" s="159">
        <f>Inputs!D12</f>
        <v>0.3</v>
      </c>
      <c r="F53" s="159">
        <f>Inputs!E12</f>
        <v>0.3</v>
      </c>
      <c r="G53" s="159">
        <f>Inputs!F12</f>
        <v>0.28000000000000003</v>
      </c>
      <c r="H53" s="159">
        <f>Inputs!G12</f>
        <v>0.28000000000000003</v>
      </c>
      <c r="I53" s="159">
        <f>Inputs!H12</f>
        <v>0.28000000000000003</v>
      </c>
      <c r="J53" s="159">
        <f>Inputs!I12</f>
        <v>0.28000000000000003</v>
      </c>
      <c r="K53" s="95"/>
      <c r="L53" s="50"/>
      <c r="M53" s="15"/>
    </row>
    <row r="54" spans="1:16">
      <c r="A54" s="50"/>
      <c r="B54" s="50"/>
      <c r="C54" s="50" t="s">
        <v>38</v>
      </c>
      <c r="D54" s="50"/>
      <c r="E54" s="160">
        <f>E11/E14</f>
        <v>20.783436458829129</v>
      </c>
      <c r="F54" s="161">
        <f>E54-1</f>
        <v>19.783436458829129</v>
      </c>
      <c r="G54" s="161">
        <f>F54-1</f>
        <v>18.783436458829129</v>
      </c>
      <c r="H54" s="161">
        <f>G54-1</f>
        <v>17.783436458829129</v>
      </c>
      <c r="I54" s="161">
        <f>H54-1</f>
        <v>16.783436458829129</v>
      </c>
      <c r="J54" s="161">
        <f>I54-1</f>
        <v>15.783436458829129</v>
      </c>
      <c r="K54" s="95"/>
      <c r="L54" s="50"/>
      <c r="M54" s="15"/>
    </row>
    <row r="55" spans="1:16">
      <c r="A55" s="50"/>
      <c r="B55" s="50"/>
      <c r="C55" s="50" t="s">
        <v>159</v>
      </c>
      <c r="D55" s="50"/>
      <c r="E55" s="156"/>
      <c r="F55" s="49">
        <f>F34</f>
        <v>4.4667274384685429E-2</v>
      </c>
      <c r="G55" s="49">
        <f>G34</f>
        <v>1.5706806282722585E-2</v>
      </c>
      <c r="H55" s="49">
        <f>H34</f>
        <v>1.8041237113401998E-2</v>
      </c>
      <c r="I55" s="49">
        <f>I34</f>
        <v>1.7721518987341867E-2</v>
      </c>
      <c r="J55" s="49">
        <f>J34</f>
        <v>2.3217247097844007E-2</v>
      </c>
      <c r="K55" s="95"/>
      <c r="L55" s="50"/>
      <c r="M55" s="15"/>
    </row>
    <row r="56" spans="1:16">
      <c r="A56" s="50"/>
      <c r="B56" s="50"/>
      <c r="C56" s="50" t="s">
        <v>40</v>
      </c>
      <c r="D56" s="50"/>
      <c r="E56" s="129">
        <f>E15</f>
        <v>0</v>
      </c>
      <c r="F56" s="32">
        <f>E56*(1+F55)</f>
        <v>0</v>
      </c>
      <c r="G56" s="32">
        <f>F56*(1+G55)</f>
        <v>0</v>
      </c>
      <c r="H56" s="32">
        <f>G56*(1+H55)</f>
        <v>0</v>
      </c>
      <c r="I56" s="32">
        <f>H56*(1+I55)</f>
        <v>0</v>
      </c>
      <c r="J56" s="32">
        <f>I56*(1+J55)</f>
        <v>0</v>
      </c>
      <c r="K56" s="95"/>
      <c r="L56" s="50"/>
      <c r="M56" s="15"/>
    </row>
    <row r="57" spans="1:16">
      <c r="A57" s="50"/>
      <c r="B57" s="50"/>
      <c r="C57" s="50"/>
      <c r="D57" s="122"/>
      <c r="E57" s="50"/>
      <c r="F57" s="50"/>
      <c r="G57" s="50"/>
      <c r="H57" s="50"/>
      <c r="I57" s="50"/>
      <c r="J57" s="50"/>
      <c r="K57" s="95"/>
      <c r="L57" s="27"/>
      <c r="M57" s="15"/>
    </row>
    <row r="58" spans="1:16" ht="15.75">
      <c r="A58" s="50"/>
      <c r="B58" s="50"/>
      <c r="C58" s="162" t="s">
        <v>89</v>
      </c>
      <c r="D58" s="32"/>
      <c r="E58" s="163" t="str">
        <f>Inputs!D11</f>
        <v>2009/10</v>
      </c>
      <c r="F58" s="163" t="str">
        <f>Inputs!E11</f>
        <v>2010/11</v>
      </c>
      <c r="G58" s="163" t="str">
        <f>Inputs!F11</f>
        <v>2011/12</v>
      </c>
      <c r="H58" s="163" t="str">
        <f>Inputs!G11</f>
        <v>2012/13</v>
      </c>
      <c r="I58" s="163" t="str">
        <f>Inputs!H11</f>
        <v>2013/14</v>
      </c>
      <c r="J58" s="163" t="str">
        <f>Inputs!I11</f>
        <v>2014/15</v>
      </c>
      <c r="K58" s="95"/>
      <c r="L58" s="27"/>
      <c r="M58" s="15"/>
    </row>
    <row r="59" spans="1:16">
      <c r="A59" s="50"/>
      <c r="B59" s="50"/>
      <c r="C59" s="50" t="s">
        <v>110</v>
      </c>
      <c r="D59" s="50"/>
      <c r="E59" s="129">
        <f>E11</f>
        <v>130998</v>
      </c>
      <c r="F59" s="32">
        <f>E65</f>
        <v>126950.34228532453</v>
      </c>
      <c r="G59" s="32">
        <f>F65</f>
        <v>123045.99235623371</v>
      </c>
      <c r="H59" s="32">
        <f>G65</f>
        <v>119487.15111641819</v>
      </c>
      <c r="I59" s="32">
        <f>H65</f>
        <v>115500.8517546776</v>
      </c>
      <c r="J59" s="32">
        <f>I65</f>
        <v>111093.64264852497</v>
      </c>
      <c r="K59" s="95"/>
      <c r="L59" s="50"/>
      <c r="M59" s="15"/>
    </row>
    <row r="60" spans="1:16">
      <c r="A60" s="50"/>
      <c r="B60" s="50"/>
      <c r="C60" s="50" t="s">
        <v>40</v>
      </c>
      <c r="D60" s="32"/>
      <c r="E60" s="32">
        <f t="shared" ref="E60:J60" si="3">E56</f>
        <v>0</v>
      </c>
      <c r="F60" s="32">
        <f t="shared" si="3"/>
        <v>0</v>
      </c>
      <c r="G60" s="32">
        <f t="shared" si="3"/>
        <v>0</v>
      </c>
      <c r="H60" s="32">
        <f t="shared" si="3"/>
        <v>0</v>
      </c>
      <c r="I60" s="32">
        <f t="shared" si="3"/>
        <v>0</v>
      </c>
      <c r="J60" s="32">
        <f t="shared" si="3"/>
        <v>0</v>
      </c>
      <c r="K60" s="95"/>
      <c r="L60" s="50"/>
      <c r="M60" s="15"/>
    </row>
    <row r="61" spans="1:16">
      <c r="A61" s="50"/>
      <c r="B61" s="50"/>
      <c r="C61" s="50" t="s">
        <v>312</v>
      </c>
      <c r="D61" s="32"/>
      <c r="E61" s="32">
        <f>Ota!E12</f>
        <v>0</v>
      </c>
      <c r="F61" s="95"/>
      <c r="G61" s="95"/>
      <c r="H61" s="95"/>
      <c r="I61" s="95"/>
      <c r="J61" s="95"/>
      <c r="K61" s="95"/>
      <c r="L61" s="50"/>
      <c r="M61" s="15"/>
    </row>
    <row r="62" spans="1:16">
      <c r="A62" s="50"/>
      <c r="B62" s="50"/>
      <c r="C62" s="50" t="s">
        <v>313</v>
      </c>
      <c r="D62" s="32"/>
      <c r="E62" s="32">
        <f>Ota!E13</f>
        <v>0</v>
      </c>
      <c r="F62" s="95"/>
      <c r="G62" s="95"/>
      <c r="H62" s="95"/>
      <c r="I62" s="95"/>
      <c r="J62" s="95"/>
      <c r="K62" s="95"/>
      <c r="L62" s="50"/>
      <c r="M62" s="15"/>
    </row>
    <row r="63" spans="1:16">
      <c r="A63" s="50"/>
      <c r="B63" s="50"/>
      <c r="C63" s="50" t="s">
        <v>41</v>
      </c>
      <c r="D63" s="50"/>
      <c r="E63" s="32">
        <f t="shared" ref="E63:J63" si="4">(E59*0.999-E60)*E41</f>
        <v>2255.3422853245183</v>
      </c>
      <c r="F63" s="32">
        <f t="shared" si="4"/>
        <v>2512.6516140696867</v>
      </c>
      <c r="G63" s="32">
        <f t="shared" si="4"/>
        <v>2991.9298411810032</v>
      </c>
      <c r="H63" s="32">
        <f t="shared" si="4"/>
        <v>2732.7142210979123</v>
      </c>
      <c r="I63" s="32">
        <f t="shared" si="4"/>
        <v>2474.6265678470863</v>
      </c>
      <c r="J63" s="32">
        <f t="shared" si="4"/>
        <v>2219.6509801175307</v>
      </c>
      <c r="K63" s="95"/>
      <c r="L63" s="50"/>
      <c r="M63" s="15"/>
    </row>
    <row r="64" spans="1:16">
      <c r="A64" s="50"/>
      <c r="B64" s="50"/>
      <c r="C64" s="50" t="s">
        <v>42</v>
      </c>
      <c r="D64" s="50"/>
      <c r="E64" s="129">
        <f>E14</f>
        <v>6303</v>
      </c>
      <c r="F64" s="32">
        <f>F59/F54</f>
        <v>6417.0015431605152</v>
      </c>
      <c r="G64" s="32">
        <f>G59/G54</f>
        <v>6550.7710809965283</v>
      </c>
      <c r="H64" s="32">
        <f>H59/H54</f>
        <v>6719.0135828384928</v>
      </c>
      <c r="I64" s="32">
        <f>I59/I54</f>
        <v>6881.8356739997062</v>
      </c>
      <c r="J64" s="32">
        <f>J59/J54</f>
        <v>7038.6219717303748</v>
      </c>
      <c r="K64" s="95"/>
      <c r="L64" s="50"/>
      <c r="M64" s="15"/>
    </row>
    <row r="65" spans="1:13">
      <c r="A65" s="50"/>
      <c r="B65" s="50"/>
      <c r="C65" s="50" t="s">
        <v>43</v>
      </c>
      <c r="D65" s="50"/>
      <c r="E65" s="129">
        <f>E59-E60-E61+E62+E63-E64</f>
        <v>126950.34228532453</v>
      </c>
      <c r="F65" s="32">
        <f>F59-F60+F63-F64</f>
        <v>123045.99235623371</v>
      </c>
      <c r="G65" s="32">
        <f>G59-G60+G63-G64</f>
        <v>119487.15111641819</v>
      </c>
      <c r="H65" s="32">
        <f>H59-H60+H63-H64</f>
        <v>115500.8517546776</v>
      </c>
      <c r="I65" s="32">
        <f>I59-I60+I63-I64</f>
        <v>111093.64264852497</v>
      </c>
      <c r="J65" s="32">
        <f>J59-J60+J63-J64</f>
        <v>106274.67165691212</v>
      </c>
      <c r="K65" s="95"/>
      <c r="L65" s="50"/>
      <c r="M65" s="15"/>
    </row>
    <row r="66" spans="1:13">
      <c r="A66" s="50"/>
      <c r="B66" s="50"/>
      <c r="C66" s="50"/>
      <c r="D66" s="50"/>
      <c r="E66" s="50"/>
      <c r="F66" s="50"/>
      <c r="G66" s="50"/>
      <c r="H66" s="50"/>
      <c r="I66" s="50"/>
      <c r="J66" s="50"/>
      <c r="K66" s="95"/>
      <c r="L66" s="27"/>
      <c r="M66" s="15"/>
    </row>
    <row r="67" spans="1:13" ht="15.75">
      <c r="A67" s="50"/>
      <c r="B67" s="50"/>
      <c r="C67" s="162" t="s">
        <v>67</v>
      </c>
      <c r="D67" s="50"/>
      <c r="E67" s="162" t="str">
        <f>Inputs!D$11</f>
        <v>2009/10</v>
      </c>
      <c r="F67" s="162" t="str">
        <f>Inputs!E$11</f>
        <v>2010/11</v>
      </c>
      <c r="G67" s="162" t="str">
        <f>Inputs!F$11</f>
        <v>2011/12</v>
      </c>
      <c r="H67" s="162" t="str">
        <f>Inputs!G$11</f>
        <v>2012/13</v>
      </c>
      <c r="I67" s="162" t="str">
        <f>Inputs!H$11</f>
        <v>2013/14</v>
      </c>
      <c r="J67" s="162" t="str">
        <f>Inputs!I$11</f>
        <v>2014/15</v>
      </c>
      <c r="K67" s="95"/>
      <c r="L67" s="27"/>
      <c r="M67" s="15"/>
    </row>
    <row r="68" spans="1:13">
      <c r="A68" s="50"/>
      <c r="B68" s="50"/>
      <c r="C68" s="164" t="s">
        <v>60</v>
      </c>
      <c r="D68" s="50"/>
      <c r="E68" s="192">
        <v>1</v>
      </c>
      <c r="F68" s="164">
        <f>E68+1</f>
        <v>2</v>
      </c>
      <c r="G68" s="164">
        <f>F68+1</f>
        <v>3</v>
      </c>
      <c r="H68" s="164">
        <f>G68+1</f>
        <v>4</v>
      </c>
      <c r="I68" s="164">
        <f>H68+1</f>
        <v>5</v>
      </c>
      <c r="J68" s="164">
        <f>I68+1</f>
        <v>6</v>
      </c>
      <c r="K68" s="95"/>
      <c r="L68" s="27"/>
      <c r="M68" s="15"/>
    </row>
    <row r="69" spans="1:13">
      <c r="A69" s="50"/>
      <c r="B69" s="50"/>
      <c r="C69" s="50" t="s">
        <v>39</v>
      </c>
      <c r="D69" s="32"/>
      <c r="E69" s="32">
        <f t="shared" ref="E69:J69" si="5">E$29</f>
        <v>5314</v>
      </c>
      <c r="F69" s="32">
        <f t="shared" si="5"/>
        <v>9617.8194802400612</v>
      </c>
      <c r="G69" s="32">
        <f t="shared" si="5"/>
        <v>9875.5356247567215</v>
      </c>
      <c r="H69" s="32">
        <f t="shared" si="5"/>
        <v>10366.171567149242</v>
      </c>
      <c r="I69" s="32">
        <f t="shared" si="5"/>
        <v>10310.510041897414</v>
      </c>
      <c r="J69" s="32">
        <f t="shared" si="5"/>
        <v>10184.89598193329</v>
      </c>
      <c r="K69" s="95"/>
      <c r="L69" s="50"/>
      <c r="M69" s="15"/>
    </row>
    <row r="70" spans="1:13">
      <c r="A70" s="50">
        <v>1</v>
      </c>
      <c r="B70" s="50"/>
      <c r="C70" s="50" t="s">
        <v>254</v>
      </c>
      <c r="D70" s="50"/>
      <c r="E70" s="129">
        <v>0</v>
      </c>
      <c r="F70" s="32">
        <f t="shared" ref="F70:J75" si="6">E94</f>
        <v>5314</v>
      </c>
      <c r="G70" s="32">
        <f t="shared" si="6"/>
        <v>5301.1931925363051</v>
      </c>
      <c r="H70" s="32">
        <f t="shared" si="6"/>
        <v>5309.7419385723151</v>
      </c>
      <c r="I70" s="32">
        <f t="shared" si="6"/>
        <v>5307.8168374721899</v>
      </c>
      <c r="J70" s="32">
        <f t="shared" si="6"/>
        <v>5295.2750133467061</v>
      </c>
      <c r="K70" s="95"/>
      <c r="L70" s="50"/>
      <c r="M70" s="15"/>
    </row>
    <row r="71" spans="1:13">
      <c r="A71" s="50">
        <v>2</v>
      </c>
      <c r="B71" s="50"/>
      <c r="C71" s="50" t="s">
        <v>255</v>
      </c>
      <c r="D71" s="50"/>
      <c r="E71" s="129">
        <v>0</v>
      </c>
      <c r="F71" s="32">
        <f t="shared" si="6"/>
        <v>0</v>
      </c>
      <c r="G71" s="32">
        <f t="shared" si="6"/>
        <v>9617.8194802400612</v>
      </c>
      <c r="H71" s="32">
        <f t="shared" si="6"/>
        <v>9638.1867365265934</v>
      </c>
      <c r="I71" s="32">
        <f t="shared" si="6"/>
        <v>9639.7864926502953</v>
      </c>
      <c r="J71" s="32">
        <f t="shared" si="6"/>
        <v>9622.3463155043755</v>
      </c>
      <c r="K71" s="95"/>
      <c r="L71" s="50"/>
      <c r="M71" s="15"/>
    </row>
    <row r="72" spans="1:13">
      <c r="A72" s="50">
        <v>3</v>
      </c>
      <c r="B72" s="50"/>
      <c r="C72" s="50" t="s">
        <v>256</v>
      </c>
      <c r="D72" s="50"/>
      <c r="E72" s="129">
        <v>0</v>
      </c>
      <c r="F72" s="32">
        <f t="shared" si="6"/>
        <v>0</v>
      </c>
      <c r="G72" s="32">
        <f t="shared" si="6"/>
        <v>0</v>
      </c>
      <c r="H72" s="32">
        <f t="shared" si="6"/>
        <v>9875.5356247567215</v>
      </c>
      <c r="I72" s="32">
        <f t="shared" si="6"/>
        <v>9882.162420547349</v>
      </c>
      <c r="J72" s="32">
        <f t="shared" si="6"/>
        <v>9869.5068702483604</v>
      </c>
      <c r="K72" s="95"/>
      <c r="L72" s="50"/>
      <c r="M72" s="15"/>
    </row>
    <row r="73" spans="1:13">
      <c r="A73" s="50">
        <v>4</v>
      </c>
      <c r="B73" s="50"/>
      <c r="C73" s="50" t="s">
        <v>257</v>
      </c>
      <c r="D73" s="50"/>
      <c r="E73" s="129">
        <v>0</v>
      </c>
      <c r="F73" s="32">
        <f t="shared" si="6"/>
        <v>0</v>
      </c>
      <c r="G73" s="32">
        <f t="shared" si="6"/>
        <v>0</v>
      </c>
      <c r="H73" s="32">
        <f t="shared" si="6"/>
        <v>0</v>
      </c>
      <c r="I73" s="32">
        <f t="shared" si="6"/>
        <v>10366.171567149242</v>
      </c>
      <c r="J73" s="32">
        <f t="shared" si="6"/>
        <v>10358.131612730427</v>
      </c>
      <c r="K73" s="95"/>
      <c r="L73" s="50"/>
      <c r="M73" s="15"/>
    </row>
    <row r="74" spans="1:13">
      <c r="A74" s="50">
        <v>5</v>
      </c>
      <c r="B74" s="50"/>
      <c r="C74" s="50" t="s">
        <v>258</v>
      </c>
      <c r="D74" s="50"/>
      <c r="E74" s="129">
        <v>0</v>
      </c>
      <c r="F74" s="32">
        <f t="shared" si="6"/>
        <v>0</v>
      </c>
      <c r="G74" s="32">
        <f t="shared" si="6"/>
        <v>0</v>
      </c>
      <c r="H74" s="32">
        <f t="shared" si="6"/>
        <v>0</v>
      </c>
      <c r="I74" s="32">
        <f t="shared" si="6"/>
        <v>0</v>
      </c>
      <c r="J74" s="32">
        <f t="shared" si="6"/>
        <v>10310.510041897414</v>
      </c>
      <c r="K74" s="95"/>
      <c r="L74" s="50"/>
      <c r="M74" s="15"/>
    </row>
    <row r="75" spans="1:13">
      <c r="A75" s="50">
        <v>6</v>
      </c>
      <c r="B75" s="50"/>
      <c r="C75" s="50" t="s">
        <v>259</v>
      </c>
      <c r="D75" s="50"/>
      <c r="E75" s="129">
        <v>0</v>
      </c>
      <c r="F75" s="32">
        <f t="shared" si="6"/>
        <v>0</v>
      </c>
      <c r="G75" s="32">
        <f t="shared" si="6"/>
        <v>0</v>
      </c>
      <c r="H75" s="32">
        <f t="shared" si="6"/>
        <v>0</v>
      </c>
      <c r="I75" s="32">
        <f t="shared" si="6"/>
        <v>0</v>
      </c>
      <c r="J75" s="32">
        <f t="shared" si="6"/>
        <v>0</v>
      </c>
      <c r="K75" s="95"/>
      <c r="L75" s="50"/>
      <c r="M75" s="15"/>
    </row>
    <row r="76" spans="1:13">
      <c r="A76" s="50">
        <v>1</v>
      </c>
      <c r="B76" s="50"/>
      <c r="C76" s="50" t="s">
        <v>236</v>
      </c>
      <c r="D76" s="50"/>
      <c r="E76" s="129">
        <f>Inputs!$C$7+$A76</f>
        <v>46</v>
      </c>
      <c r="F76" s="32">
        <f t="shared" ref="F76:J81" si="7">E76-1</f>
        <v>45</v>
      </c>
      <c r="G76" s="32">
        <f t="shared" si="7"/>
        <v>44</v>
      </c>
      <c r="H76" s="32">
        <f t="shared" si="7"/>
        <v>43</v>
      </c>
      <c r="I76" s="32">
        <f t="shared" si="7"/>
        <v>42</v>
      </c>
      <c r="J76" s="32">
        <f t="shared" si="7"/>
        <v>41</v>
      </c>
      <c r="K76" s="95"/>
      <c r="L76" s="50"/>
      <c r="M76" s="15"/>
    </row>
    <row r="77" spans="1:13">
      <c r="A77" s="50">
        <v>2</v>
      </c>
      <c r="B77" s="50"/>
      <c r="C77" s="50" t="s">
        <v>237</v>
      </c>
      <c r="D77" s="50"/>
      <c r="E77" s="129">
        <f>Inputs!$C$7+$A77</f>
        <v>47</v>
      </c>
      <c r="F77" s="32">
        <f t="shared" si="7"/>
        <v>46</v>
      </c>
      <c r="G77" s="32">
        <f t="shared" si="7"/>
        <v>45</v>
      </c>
      <c r="H77" s="32">
        <f t="shared" si="7"/>
        <v>44</v>
      </c>
      <c r="I77" s="32">
        <f t="shared" si="7"/>
        <v>43</v>
      </c>
      <c r="J77" s="32">
        <f t="shared" si="7"/>
        <v>42</v>
      </c>
      <c r="K77" s="95"/>
      <c r="L77" s="50"/>
      <c r="M77" s="15"/>
    </row>
    <row r="78" spans="1:13">
      <c r="A78" s="50">
        <v>3</v>
      </c>
      <c r="B78" s="50"/>
      <c r="C78" s="50" t="s">
        <v>238</v>
      </c>
      <c r="D78" s="50"/>
      <c r="E78" s="129">
        <f>Inputs!$C$7+$A78</f>
        <v>48</v>
      </c>
      <c r="F78" s="32">
        <f t="shared" si="7"/>
        <v>47</v>
      </c>
      <c r="G78" s="32">
        <f t="shared" si="7"/>
        <v>46</v>
      </c>
      <c r="H78" s="32">
        <f t="shared" si="7"/>
        <v>45</v>
      </c>
      <c r="I78" s="32">
        <f t="shared" si="7"/>
        <v>44</v>
      </c>
      <c r="J78" s="32">
        <f t="shared" si="7"/>
        <v>43</v>
      </c>
      <c r="K78" s="95"/>
      <c r="L78" s="50"/>
      <c r="M78" s="15"/>
    </row>
    <row r="79" spans="1:13">
      <c r="A79" s="50">
        <v>4</v>
      </c>
      <c r="B79" s="50"/>
      <c r="C79" s="50" t="s">
        <v>239</v>
      </c>
      <c r="D79" s="50"/>
      <c r="E79" s="129">
        <f>Inputs!$C$7+$A79</f>
        <v>49</v>
      </c>
      <c r="F79" s="32">
        <f t="shared" si="7"/>
        <v>48</v>
      </c>
      <c r="G79" s="32">
        <f t="shared" si="7"/>
        <v>47</v>
      </c>
      <c r="H79" s="32">
        <f t="shared" si="7"/>
        <v>46</v>
      </c>
      <c r="I79" s="32">
        <f t="shared" si="7"/>
        <v>45</v>
      </c>
      <c r="J79" s="32">
        <f t="shared" si="7"/>
        <v>44</v>
      </c>
      <c r="K79" s="95"/>
      <c r="L79" s="50"/>
      <c r="M79" s="15"/>
    </row>
    <row r="80" spans="1:13">
      <c r="A80" s="50">
        <v>5</v>
      </c>
      <c r="B80" s="50"/>
      <c r="C80" s="50" t="s">
        <v>240</v>
      </c>
      <c r="D80" s="50"/>
      <c r="E80" s="129">
        <f>Inputs!$C$7+$A80</f>
        <v>50</v>
      </c>
      <c r="F80" s="32">
        <f t="shared" si="7"/>
        <v>49</v>
      </c>
      <c r="G80" s="32">
        <f t="shared" si="7"/>
        <v>48</v>
      </c>
      <c r="H80" s="32">
        <f t="shared" si="7"/>
        <v>47</v>
      </c>
      <c r="I80" s="32">
        <f t="shared" si="7"/>
        <v>46</v>
      </c>
      <c r="J80" s="32">
        <f t="shared" si="7"/>
        <v>45</v>
      </c>
      <c r="K80" s="95"/>
      <c r="L80" s="50"/>
      <c r="M80" s="15"/>
    </row>
    <row r="81" spans="1:13">
      <c r="A81" s="50">
        <v>6</v>
      </c>
      <c r="B81" s="50"/>
      <c r="C81" s="50" t="s">
        <v>241</v>
      </c>
      <c r="D81" s="50"/>
      <c r="E81" s="129">
        <f>Inputs!$C$7+$A81</f>
        <v>51</v>
      </c>
      <c r="F81" s="32">
        <f t="shared" si="7"/>
        <v>50</v>
      </c>
      <c r="G81" s="32">
        <f t="shared" si="7"/>
        <v>49</v>
      </c>
      <c r="H81" s="32">
        <f t="shared" si="7"/>
        <v>48</v>
      </c>
      <c r="I81" s="32">
        <f t="shared" si="7"/>
        <v>47</v>
      </c>
      <c r="J81" s="32">
        <f t="shared" si="7"/>
        <v>46</v>
      </c>
      <c r="K81" s="95"/>
      <c r="L81" s="50"/>
      <c r="M81" s="15"/>
    </row>
    <row r="82" spans="1:13">
      <c r="A82" s="50">
        <v>1</v>
      </c>
      <c r="B82" s="50"/>
      <c r="C82" s="50" t="s">
        <v>260</v>
      </c>
      <c r="D82" s="50"/>
      <c r="E82" s="32">
        <f t="shared" ref="E82:J87" si="8">E70*E$41</f>
        <v>0</v>
      </c>
      <c r="F82" s="32">
        <f t="shared" si="8"/>
        <v>105.28208142519375</v>
      </c>
      <c r="G82" s="32">
        <f t="shared" si="8"/>
        <v>129.03040950274413</v>
      </c>
      <c r="H82" s="32">
        <f t="shared" si="8"/>
        <v>121.55726956434688</v>
      </c>
      <c r="I82" s="32">
        <f t="shared" si="8"/>
        <v>113.83476724290182</v>
      </c>
      <c r="J82" s="32">
        <f t="shared" si="8"/>
        <v>105.90550026693421</v>
      </c>
      <c r="K82" s="95"/>
      <c r="L82" s="50"/>
      <c r="M82" s="15"/>
    </row>
    <row r="83" spans="1:13">
      <c r="A83" s="50">
        <v>2</v>
      </c>
      <c r="B83" s="50"/>
      <c r="C83" s="50" t="s">
        <v>261</v>
      </c>
      <c r="D83" s="50"/>
      <c r="E83" s="32">
        <f t="shared" si="8"/>
        <v>0</v>
      </c>
      <c r="F83" s="32">
        <f t="shared" si="8"/>
        <v>0</v>
      </c>
      <c r="G83" s="32">
        <f t="shared" si="8"/>
        <v>234.09657806964481</v>
      </c>
      <c r="H83" s="32">
        <f t="shared" si="8"/>
        <v>220.64945468112407</v>
      </c>
      <c r="I83" s="32">
        <f t="shared" si="8"/>
        <v>206.74090407850565</v>
      </c>
      <c r="J83" s="32">
        <f t="shared" si="8"/>
        <v>192.44692631008769</v>
      </c>
      <c r="K83" s="95"/>
      <c r="L83" s="50"/>
      <c r="M83" s="15"/>
    </row>
    <row r="84" spans="1:13">
      <c r="A84" s="50">
        <v>3</v>
      </c>
      <c r="B84" s="50"/>
      <c r="C84" s="50" t="s">
        <v>262</v>
      </c>
      <c r="D84" s="50"/>
      <c r="E84" s="32">
        <f t="shared" si="8"/>
        <v>0</v>
      </c>
      <c r="F84" s="32">
        <f t="shared" si="8"/>
        <v>0</v>
      </c>
      <c r="G84" s="32">
        <f t="shared" si="8"/>
        <v>0</v>
      </c>
      <c r="H84" s="32">
        <f t="shared" si="8"/>
        <v>226.08314300744325</v>
      </c>
      <c r="I84" s="32">
        <f t="shared" si="8"/>
        <v>211.93905016799721</v>
      </c>
      <c r="J84" s="32">
        <f t="shared" si="8"/>
        <v>197.39013740496739</v>
      </c>
      <c r="K84" s="95"/>
      <c r="L84" s="50"/>
      <c r="M84" s="15"/>
    </row>
    <row r="85" spans="1:13">
      <c r="A85" s="50">
        <v>4</v>
      </c>
      <c r="B85" s="50"/>
      <c r="C85" s="50" t="s">
        <v>263</v>
      </c>
      <c r="D85" s="50"/>
      <c r="E85" s="32">
        <f t="shared" si="8"/>
        <v>0</v>
      </c>
      <c r="F85" s="32">
        <f t="shared" si="8"/>
        <v>0</v>
      </c>
      <c r="G85" s="32">
        <f t="shared" si="8"/>
        <v>0</v>
      </c>
      <c r="H85" s="32">
        <f t="shared" si="8"/>
        <v>0</v>
      </c>
      <c r="I85" s="32">
        <f t="shared" si="8"/>
        <v>222.31941374005703</v>
      </c>
      <c r="J85" s="32">
        <f t="shared" si="8"/>
        <v>207.16263225460872</v>
      </c>
      <c r="K85" s="95"/>
      <c r="L85" s="50"/>
      <c r="M85" s="15"/>
    </row>
    <row r="86" spans="1:13">
      <c r="A86" s="50">
        <v>5</v>
      </c>
      <c r="B86" s="50"/>
      <c r="C86" s="50" t="s">
        <v>264</v>
      </c>
      <c r="D86" s="50"/>
      <c r="E86" s="32">
        <f t="shared" si="8"/>
        <v>0</v>
      </c>
      <c r="F86" s="32">
        <f t="shared" si="8"/>
        <v>0</v>
      </c>
      <c r="G86" s="32">
        <f t="shared" si="8"/>
        <v>0</v>
      </c>
      <c r="H86" s="32">
        <f t="shared" si="8"/>
        <v>0</v>
      </c>
      <c r="I86" s="32">
        <f t="shared" si="8"/>
        <v>0</v>
      </c>
      <c r="J86" s="32">
        <f t="shared" si="8"/>
        <v>206.21020083794846</v>
      </c>
      <c r="K86" s="95"/>
      <c r="L86" s="50"/>
      <c r="M86" s="15"/>
    </row>
    <row r="87" spans="1:13">
      <c r="A87" s="50">
        <v>6</v>
      </c>
      <c r="B87" s="50"/>
      <c r="C87" s="50" t="s">
        <v>265</v>
      </c>
      <c r="D87" s="50"/>
      <c r="E87" s="32">
        <f t="shared" si="8"/>
        <v>0</v>
      </c>
      <c r="F87" s="32">
        <f t="shared" si="8"/>
        <v>0</v>
      </c>
      <c r="G87" s="32">
        <f t="shared" si="8"/>
        <v>0</v>
      </c>
      <c r="H87" s="32">
        <f t="shared" si="8"/>
        <v>0</v>
      </c>
      <c r="I87" s="32">
        <f t="shared" si="8"/>
        <v>0</v>
      </c>
      <c r="J87" s="32">
        <f t="shared" si="8"/>
        <v>0</v>
      </c>
      <c r="K87" s="95"/>
      <c r="L87" s="50"/>
      <c r="M87" s="15"/>
    </row>
    <row r="88" spans="1:13">
      <c r="A88" s="50">
        <v>1</v>
      </c>
      <c r="B88" s="50"/>
      <c r="C88" s="50" t="s">
        <v>266</v>
      </c>
      <c r="D88" s="50"/>
      <c r="E88" s="32">
        <f t="shared" ref="E88:J93" si="9">E70/E76</f>
        <v>0</v>
      </c>
      <c r="F88" s="32">
        <f t="shared" si="9"/>
        <v>118.08888888888889</v>
      </c>
      <c r="G88" s="32">
        <f t="shared" si="9"/>
        <v>120.4816634667342</v>
      </c>
      <c r="H88" s="32">
        <f t="shared" si="9"/>
        <v>123.48237066447244</v>
      </c>
      <c r="I88" s="32">
        <f t="shared" si="9"/>
        <v>126.37659136838548</v>
      </c>
      <c r="J88" s="32">
        <f t="shared" si="9"/>
        <v>129.15304910601722</v>
      </c>
      <c r="K88" s="95"/>
      <c r="L88" s="50"/>
      <c r="M88" s="15"/>
    </row>
    <row r="89" spans="1:13">
      <c r="A89" s="50">
        <v>2</v>
      </c>
      <c r="B89" s="50"/>
      <c r="C89" s="50" t="s">
        <v>267</v>
      </c>
      <c r="D89" s="50"/>
      <c r="E89" s="32">
        <f t="shared" si="9"/>
        <v>0</v>
      </c>
      <c r="F89" s="32">
        <f t="shared" si="9"/>
        <v>0</v>
      </c>
      <c r="G89" s="32">
        <f t="shared" si="9"/>
        <v>213.72932178311248</v>
      </c>
      <c r="H89" s="32">
        <f t="shared" si="9"/>
        <v>219.04969855742257</v>
      </c>
      <c r="I89" s="32">
        <f t="shared" si="9"/>
        <v>224.18108122442547</v>
      </c>
      <c r="J89" s="32">
        <f t="shared" si="9"/>
        <v>229.10348370248514</v>
      </c>
      <c r="K89" s="95"/>
      <c r="L89" s="50"/>
      <c r="M89" s="15"/>
    </row>
    <row r="90" spans="1:13">
      <c r="A90" s="50">
        <v>3</v>
      </c>
      <c r="B90" s="50"/>
      <c r="C90" s="50" t="s">
        <v>268</v>
      </c>
      <c r="D90" s="50"/>
      <c r="E90" s="32">
        <f t="shared" si="9"/>
        <v>0</v>
      </c>
      <c r="F90" s="32">
        <f t="shared" si="9"/>
        <v>0</v>
      </c>
      <c r="G90" s="32">
        <f t="shared" si="9"/>
        <v>0</v>
      </c>
      <c r="H90" s="32">
        <f t="shared" si="9"/>
        <v>219.45634721681603</v>
      </c>
      <c r="I90" s="32">
        <f t="shared" si="9"/>
        <v>224.59460046698521</v>
      </c>
      <c r="J90" s="32">
        <f t="shared" si="9"/>
        <v>229.52341558717117</v>
      </c>
      <c r="K90" s="95"/>
      <c r="L90" s="50"/>
      <c r="M90" s="15"/>
    </row>
    <row r="91" spans="1:13">
      <c r="A91" s="50">
        <v>4</v>
      </c>
      <c r="B91" s="50"/>
      <c r="C91" s="50" t="s">
        <v>269</v>
      </c>
      <c r="D91" s="50"/>
      <c r="E91" s="32">
        <f t="shared" si="9"/>
        <v>0</v>
      </c>
      <c r="F91" s="32">
        <f t="shared" si="9"/>
        <v>0</v>
      </c>
      <c r="G91" s="32">
        <f t="shared" si="9"/>
        <v>0</v>
      </c>
      <c r="H91" s="32">
        <f t="shared" si="9"/>
        <v>0</v>
      </c>
      <c r="I91" s="32">
        <f t="shared" si="9"/>
        <v>230.35936815887206</v>
      </c>
      <c r="J91" s="32">
        <f t="shared" si="9"/>
        <v>235.41208210750972</v>
      </c>
      <c r="K91" s="95"/>
      <c r="L91" s="50"/>
      <c r="M91" s="15"/>
    </row>
    <row r="92" spans="1:13">
      <c r="A92" s="50">
        <v>5</v>
      </c>
      <c r="B92" s="50"/>
      <c r="C92" s="50" t="s">
        <v>270</v>
      </c>
      <c r="D92" s="50"/>
      <c r="E92" s="32">
        <f t="shared" si="9"/>
        <v>0</v>
      </c>
      <c r="F92" s="32">
        <f t="shared" si="9"/>
        <v>0</v>
      </c>
      <c r="G92" s="32">
        <f t="shared" si="9"/>
        <v>0</v>
      </c>
      <c r="H92" s="32">
        <f t="shared" si="9"/>
        <v>0</v>
      </c>
      <c r="I92" s="32">
        <f t="shared" si="9"/>
        <v>0</v>
      </c>
      <c r="J92" s="32">
        <f t="shared" si="9"/>
        <v>229.1224453754981</v>
      </c>
      <c r="K92" s="95"/>
      <c r="L92" s="50"/>
      <c r="M92" s="15"/>
    </row>
    <row r="93" spans="1:13">
      <c r="A93" s="50">
        <v>6</v>
      </c>
      <c r="B93" s="50"/>
      <c r="C93" s="50" t="s">
        <v>271</v>
      </c>
      <c r="D93" s="50"/>
      <c r="E93" s="32">
        <f t="shared" si="9"/>
        <v>0</v>
      </c>
      <c r="F93" s="32">
        <f t="shared" si="9"/>
        <v>0</v>
      </c>
      <c r="G93" s="32">
        <f t="shared" si="9"/>
        <v>0</v>
      </c>
      <c r="H93" s="32">
        <f t="shared" si="9"/>
        <v>0</v>
      </c>
      <c r="I93" s="32">
        <f t="shared" si="9"/>
        <v>0</v>
      </c>
      <c r="J93" s="32">
        <f t="shared" si="9"/>
        <v>0</v>
      </c>
      <c r="K93" s="95"/>
      <c r="L93" s="50"/>
      <c r="M93" s="15"/>
    </row>
    <row r="94" spans="1:13">
      <c r="A94" s="50">
        <v>1</v>
      </c>
      <c r="B94" s="50"/>
      <c r="C94" s="50" t="s">
        <v>272</v>
      </c>
      <c r="D94" s="50"/>
      <c r="E94" s="32">
        <f t="shared" ref="E94:J99" si="10">E70+E82-E88+IF($A94=E$68,E$69,0)</f>
        <v>5314</v>
      </c>
      <c r="F94" s="32">
        <f t="shared" si="10"/>
        <v>5301.1931925363051</v>
      </c>
      <c r="G94" s="32">
        <f t="shared" si="10"/>
        <v>5309.7419385723151</v>
      </c>
      <c r="H94" s="32">
        <f t="shared" si="10"/>
        <v>5307.8168374721899</v>
      </c>
      <c r="I94" s="32">
        <f t="shared" si="10"/>
        <v>5295.2750133467061</v>
      </c>
      <c r="J94" s="32">
        <f t="shared" si="10"/>
        <v>5272.0274645076224</v>
      </c>
      <c r="K94" s="95"/>
      <c r="L94" s="50"/>
      <c r="M94" s="15"/>
    </row>
    <row r="95" spans="1:13">
      <c r="A95" s="50">
        <v>2</v>
      </c>
      <c r="B95" s="50"/>
      <c r="C95" s="50" t="s">
        <v>273</v>
      </c>
      <c r="D95" s="50"/>
      <c r="E95" s="32">
        <f t="shared" si="10"/>
        <v>0</v>
      </c>
      <c r="F95" s="32">
        <f t="shared" si="10"/>
        <v>9617.8194802400612</v>
      </c>
      <c r="G95" s="32">
        <f t="shared" si="10"/>
        <v>9638.1867365265934</v>
      </c>
      <c r="H95" s="32">
        <f t="shared" si="10"/>
        <v>9639.7864926502953</v>
      </c>
      <c r="I95" s="32">
        <f t="shared" si="10"/>
        <v>9622.3463155043755</v>
      </c>
      <c r="J95" s="32">
        <f t="shared" si="10"/>
        <v>9585.6897581119774</v>
      </c>
      <c r="K95" s="95"/>
      <c r="L95" s="50"/>
      <c r="M95" s="15"/>
    </row>
    <row r="96" spans="1:13">
      <c r="A96" s="50">
        <v>3</v>
      </c>
      <c r="B96" s="50"/>
      <c r="C96" s="50" t="s">
        <v>274</v>
      </c>
      <c r="D96" s="50"/>
      <c r="E96" s="32">
        <f t="shared" si="10"/>
        <v>0</v>
      </c>
      <c r="F96" s="32">
        <f t="shared" si="10"/>
        <v>0</v>
      </c>
      <c r="G96" s="32">
        <f t="shared" si="10"/>
        <v>9875.5356247567215</v>
      </c>
      <c r="H96" s="32">
        <f t="shared" si="10"/>
        <v>9882.162420547349</v>
      </c>
      <c r="I96" s="32">
        <f t="shared" si="10"/>
        <v>9869.5068702483604</v>
      </c>
      <c r="J96" s="32">
        <f t="shared" si="10"/>
        <v>9837.3735920661566</v>
      </c>
      <c r="K96" s="95"/>
      <c r="L96" s="50"/>
      <c r="M96" s="15"/>
    </row>
    <row r="97" spans="1:13">
      <c r="A97" s="50">
        <v>4</v>
      </c>
      <c r="B97" s="50"/>
      <c r="C97" s="50" t="s">
        <v>275</v>
      </c>
      <c r="D97" s="50"/>
      <c r="E97" s="32">
        <f t="shared" si="10"/>
        <v>0</v>
      </c>
      <c r="F97" s="32">
        <f t="shared" si="10"/>
        <v>0</v>
      </c>
      <c r="G97" s="32">
        <f t="shared" si="10"/>
        <v>0</v>
      </c>
      <c r="H97" s="32">
        <f t="shared" si="10"/>
        <v>10366.171567149242</v>
      </c>
      <c r="I97" s="32">
        <f t="shared" si="10"/>
        <v>10358.131612730427</v>
      </c>
      <c r="J97" s="32">
        <f t="shared" si="10"/>
        <v>10329.882162877526</v>
      </c>
      <c r="K97" s="95"/>
      <c r="L97" s="50"/>
      <c r="M97" s="15"/>
    </row>
    <row r="98" spans="1:13">
      <c r="A98" s="50">
        <v>5</v>
      </c>
      <c r="B98" s="50"/>
      <c r="C98" s="50" t="s">
        <v>276</v>
      </c>
      <c r="D98" s="50"/>
      <c r="E98" s="32">
        <f t="shared" si="10"/>
        <v>0</v>
      </c>
      <c r="F98" s="32">
        <f t="shared" si="10"/>
        <v>0</v>
      </c>
      <c r="G98" s="32">
        <f t="shared" si="10"/>
        <v>0</v>
      </c>
      <c r="H98" s="32">
        <f t="shared" si="10"/>
        <v>0</v>
      </c>
      <c r="I98" s="32">
        <f t="shared" si="10"/>
        <v>10310.510041897414</v>
      </c>
      <c r="J98" s="32">
        <f t="shared" si="10"/>
        <v>10287.597797359864</v>
      </c>
      <c r="K98" s="95"/>
      <c r="L98" s="50"/>
      <c r="M98" s="15"/>
    </row>
    <row r="99" spans="1:13">
      <c r="A99" s="50">
        <v>6</v>
      </c>
      <c r="B99" s="50"/>
      <c r="C99" s="50" t="s">
        <v>277</v>
      </c>
      <c r="D99" s="50"/>
      <c r="E99" s="32">
        <f t="shared" si="10"/>
        <v>0</v>
      </c>
      <c r="F99" s="32">
        <f t="shared" si="10"/>
        <v>0</v>
      </c>
      <c r="G99" s="32">
        <f t="shared" si="10"/>
        <v>0</v>
      </c>
      <c r="H99" s="32">
        <f t="shared" si="10"/>
        <v>0</v>
      </c>
      <c r="I99" s="32">
        <f t="shared" si="10"/>
        <v>0</v>
      </c>
      <c r="J99" s="32">
        <f t="shared" si="10"/>
        <v>10184.89598193329</v>
      </c>
      <c r="K99" s="95"/>
      <c r="L99" s="50"/>
      <c r="M99" s="15"/>
    </row>
    <row r="100" spans="1:13">
      <c r="A100" s="50"/>
      <c r="B100" s="50"/>
      <c r="C100" s="50" t="s">
        <v>146</v>
      </c>
      <c r="D100" s="50"/>
      <c r="E100" s="32">
        <f t="shared" ref="E100:J100" si="11">SUM(E70:E75)</f>
        <v>0</v>
      </c>
      <c r="F100" s="32">
        <f t="shared" si="11"/>
        <v>5314</v>
      </c>
      <c r="G100" s="32">
        <f t="shared" si="11"/>
        <v>14919.012672776367</v>
      </c>
      <c r="H100" s="32">
        <f t="shared" si="11"/>
        <v>24823.46429985563</v>
      </c>
      <c r="I100" s="32">
        <f t="shared" si="11"/>
        <v>35195.937317819073</v>
      </c>
      <c r="J100" s="32">
        <f t="shared" si="11"/>
        <v>45455.769853727281</v>
      </c>
      <c r="K100" s="95"/>
      <c r="L100" s="27"/>
      <c r="M100" s="15"/>
    </row>
    <row r="101" spans="1:13">
      <c r="A101" s="50"/>
      <c r="B101" s="50"/>
      <c r="C101" s="50" t="s">
        <v>147</v>
      </c>
      <c r="D101" s="50"/>
      <c r="E101" s="32">
        <f t="shared" ref="E101:J101" si="12">SUM(E82:E87)</f>
        <v>0</v>
      </c>
      <c r="F101" s="32">
        <f t="shared" si="12"/>
        <v>105.28208142519375</v>
      </c>
      <c r="G101" s="32">
        <f t="shared" si="12"/>
        <v>363.12698757238894</v>
      </c>
      <c r="H101" s="32">
        <f t="shared" si="12"/>
        <v>568.28986725291418</v>
      </c>
      <c r="I101" s="32">
        <f t="shared" si="12"/>
        <v>754.83413522946171</v>
      </c>
      <c r="J101" s="32">
        <f t="shared" si="12"/>
        <v>909.11539707454654</v>
      </c>
      <c r="K101" s="95"/>
      <c r="L101" s="27"/>
      <c r="M101" s="15"/>
    </row>
    <row r="102" spans="1:13">
      <c r="A102" s="50"/>
      <c r="B102" s="50"/>
      <c r="C102" s="50" t="s">
        <v>68</v>
      </c>
      <c r="D102" s="50"/>
      <c r="E102" s="32">
        <f t="shared" ref="E102:J102" si="13">SUM(E88:E93)</f>
        <v>0</v>
      </c>
      <c r="F102" s="32">
        <f t="shared" si="13"/>
        <v>118.08888888888889</v>
      </c>
      <c r="G102" s="32">
        <f t="shared" si="13"/>
        <v>334.21098524984666</v>
      </c>
      <c r="H102" s="32">
        <f t="shared" si="13"/>
        <v>561.98841643871106</v>
      </c>
      <c r="I102" s="32">
        <f t="shared" si="13"/>
        <v>805.51164121866816</v>
      </c>
      <c r="J102" s="32">
        <f t="shared" si="13"/>
        <v>1052.3144758786814</v>
      </c>
      <c r="K102" s="95"/>
      <c r="L102" s="27"/>
      <c r="M102" s="15"/>
    </row>
    <row r="103" spans="1:13">
      <c r="A103" s="50"/>
      <c r="B103" s="50"/>
      <c r="C103" s="50" t="s">
        <v>148</v>
      </c>
      <c r="D103" s="50"/>
      <c r="E103" s="32">
        <f t="shared" ref="E103:J103" si="14">SUM(E94:E99)</f>
        <v>5314</v>
      </c>
      <c r="F103" s="32">
        <f t="shared" si="14"/>
        <v>14919.012672776367</v>
      </c>
      <c r="G103" s="32">
        <f t="shared" si="14"/>
        <v>24823.46429985563</v>
      </c>
      <c r="H103" s="32">
        <f t="shared" si="14"/>
        <v>35195.937317819073</v>
      </c>
      <c r="I103" s="32">
        <f t="shared" si="14"/>
        <v>45455.769853727281</v>
      </c>
      <c r="J103" s="32">
        <f t="shared" si="14"/>
        <v>55497.466756856433</v>
      </c>
      <c r="K103" s="95"/>
      <c r="L103" s="50"/>
      <c r="M103" s="15"/>
    </row>
    <row r="104" spans="1:13">
      <c r="A104" s="50"/>
      <c r="B104" s="50"/>
      <c r="C104" s="50"/>
      <c r="D104" s="50"/>
      <c r="E104" s="32"/>
      <c r="F104" s="32"/>
      <c r="G104" s="32"/>
      <c r="H104" s="32"/>
      <c r="I104" s="32"/>
      <c r="J104" s="32"/>
      <c r="K104" s="95"/>
      <c r="L104" s="50"/>
      <c r="M104" s="15"/>
    </row>
    <row r="105" spans="1:13" ht="15.75">
      <c r="A105" s="50"/>
      <c r="B105" s="50"/>
      <c r="C105" s="162" t="s">
        <v>121</v>
      </c>
      <c r="D105" s="50"/>
      <c r="E105" s="162" t="str">
        <f>Inputs!D$11</f>
        <v>2009/10</v>
      </c>
      <c r="F105" s="162" t="str">
        <f>Inputs!E$11</f>
        <v>2010/11</v>
      </c>
      <c r="G105" s="162" t="str">
        <f>Inputs!F$11</f>
        <v>2011/12</v>
      </c>
      <c r="H105" s="162" t="str">
        <f>Inputs!G$11</f>
        <v>2012/13</v>
      </c>
      <c r="I105" s="162" t="str">
        <f>Inputs!H$11</f>
        <v>2013/14</v>
      </c>
      <c r="J105" s="162" t="str">
        <f>Inputs!I$11</f>
        <v>2014/15</v>
      </c>
      <c r="K105" s="95"/>
      <c r="L105" s="50"/>
      <c r="M105" s="15"/>
    </row>
    <row r="106" spans="1:13">
      <c r="A106" s="50"/>
      <c r="B106" s="50"/>
      <c r="C106" s="164" t="s">
        <v>60</v>
      </c>
      <c r="D106" s="50"/>
      <c r="E106" s="164">
        <v>1</v>
      </c>
      <c r="F106" s="164">
        <v>2</v>
      </c>
      <c r="G106" s="164">
        <v>3</v>
      </c>
      <c r="H106" s="164">
        <v>4</v>
      </c>
      <c r="I106" s="164">
        <v>5</v>
      </c>
      <c r="J106" s="164">
        <v>6</v>
      </c>
      <c r="K106" s="95"/>
      <c r="L106" s="50"/>
      <c r="M106" s="15"/>
    </row>
    <row r="107" spans="1:13">
      <c r="A107" s="50"/>
      <c r="B107" s="50"/>
      <c r="C107" s="50" t="s">
        <v>39</v>
      </c>
      <c r="D107" s="32"/>
      <c r="E107" s="32">
        <f t="shared" ref="E107:J107" si="15">E$29</f>
        <v>5314</v>
      </c>
      <c r="F107" s="32">
        <f t="shared" si="15"/>
        <v>9617.8194802400612</v>
      </c>
      <c r="G107" s="32">
        <f t="shared" si="15"/>
        <v>9875.5356247567215</v>
      </c>
      <c r="H107" s="32">
        <f t="shared" si="15"/>
        <v>10366.171567149242</v>
      </c>
      <c r="I107" s="32">
        <f t="shared" si="15"/>
        <v>10310.510041897414</v>
      </c>
      <c r="J107" s="32">
        <f t="shared" si="15"/>
        <v>10184.89598193329</v>
      </c>
      <c r="K107" s="95"/>
      <c r="L107" s="50"/>
      <c r="M107" s="15"/>
    </row>
    <row r="108" spans="1:13">
      <c r="A108" s="50">
        <v>1</v>
      </c>
      <c r="B108" s="50"/>
      <c r="C108" s="50" t="s">
        <v>230</v>
      </c>
      <c r="D108" s="50"/>
      <c r="E108" s="129">
        <v>0</v>
      </c>
      <c r="F108" s="32">
        <f t="shared" ref="F108:J113" si="16">E126</f>
        <v>5314</v>
      </c>
      <c r="G108" s="32">
        <f t="shared" si="16"/>
        <v>5195.9111111111115</v>
      </c>
      <c r="H108" s="32">
        <f t="shared" si="16"/>
        <v>5077.822222222223</v>
      </c>
      <c r="I108" s="32">
        <f t="shared" si="16"/>
        <v>4959.7333333333345</v>
      </c>
      <c r="J108" s="32">
        <f t="shared" si="16"/>
        <v>4841.644444444446</v>
      </c>
      <c r="K108" s="95"/>
      <c r="L108" s="50"/>
      <c r="M108" s="15"/>
    </row>
    <row r="109" spans="1:13">
      <c r="A109" s="50">
        <v>2</v>
      </c>
      <c r="B109" s="50"/>
      <c r="C109" s="50" t="s">
        <v>231</v>
      </c>
      <c r="D109" s="50"/>
      <c r="E109" s="129">
        <v>0</v>
      </c>
      <c r="F109" s="32">
        <f t="shared" si="16"/>
        <v>0</v>
      </c>
      <c r="G109" s="32">
        <f t="shared" si="16"/>
        <v>9617.8194802400612</v>
      </c>
      <c r="H109" s="32">
        <f t="shared" si="16"/>
        <v>9404.0901584569492</v>
      </c>
      <c r="I109" s="32">
        <f t="shared" si="16"/>
        <v>9190.3608366738372</v>
      </c>
      <c r="J109" s="32">
        <f t="shared" si="16"/>
        <v>8976.6315148907252</v>
      </c>
      <c r="K109" s="95"/>
      <c r="L109" s="50"/>
      <c r="M109" s="15"/>
    </row>
    <row r="110" spans="1:13">
      <c r="A110" s="50">
        <v>3</v>
      </c>
      <c r="B110" s="50"/>
      <c r="C110" s="50" t="s">
        <v>232</v>
      </c>
      <c r="D110" s="50"/>
      <c r="E110" s="129">
        <v>0</v>
      </c>
      <c r="F110" s="32">
        <f t="shared" si="16"/>
        <v>0</v>
      </c>
      <c r="G110" s="32">
        <f t="shared" si="16"/>
        <v>0</v>
      </c>
      <c r="H110" s="32">
        <f t="shared" si="16"/>
        <v>9875.5356247567215</v>
      </c>
      <c r="I110" s="32">
        <f t="shared" si="16"/>
        <v>9656.0792775399059</v>
      </c>
      <c r="J110" s="32">
        <f t="shared" si="16"/>
        <v>9436.6229303230903</v>
      </c>
      <c r="K110" s="95"/>
      <c r="L110" s="50"/>
      <c r="M110" s="15"/>
    </row>
    <row r="111" spans="1:13">
      <c r="A111" s="50">
        <v>4</v>
      </c>
      <c r="B111" s="50"/>
      <c r="C111" s="50" t="s">
        <v>233</v>
      </c>
      <c r="D111" s="50"/>
      <c r="E111" s="129">
        <v>0</v>
      </c>
      <c r="F111" s="32">
        <f t="shared" si="16"/>
        <v>0</v>
      </c>
      <c r="G111" s="32">
        <f t="shared" si="16"/>
        <v>0</v>
      </c>
      <c r="H111" s="32">
        <f t="shared" si="16"/>
        <v>0</v>
      </c>
      <c r="I111" s="32">
        <f t="shared" si="16"/>
        <v>10366.171567149242</v>
      </c>
      <c r="J111" s="32">
        <f t="shared" si="16"/>
        <v>10135.81219899037</v>
      </c>
      <c r="K111" s="95"/>
      <c r="L111" s="50"/>
      <c r="M111" s="15"/>
    </row>
    <row r="112" spans="1:13">
      <c r="A112" s="50">
        <v>5</v>
      </c>
      <c r="B112" s="50"/>
      <c r="C112" s="50" t="s">
        <v>234</v>
      </c>
      <c r="D112" s="50"/>
      <c r="E112" s="129">
        <v>0</v>
      </c>
      <c r="F112" s="32">
        <f t="shared" si="16"/>
        <v>0</v>
      </c>
      <c r="G112" s="32">
        <f t="shared" si="16"/>
        <v>0</v>
      </c>
      <c r="H112" s="32">
        <f t="shared" si="16"/>
        <v>0</v>
      </c>
      <c r="I112" s="32">
        <f t="shared" si="16"/>
        <v>0</v>
      </c>
      <c r="J112" s="32">
        <f t="shared" si="16"/>
        <v>10310.510041897414</v>
      </c>
      <c r="K112" s="95"/>
      <c r="L112" s="50"/>
      <c r="M112" s="15"/>
    </row>
    <row r="113" spans="1:13">
      <c r="A113" s="50">
        <v>6</v>
      </c>
      <c r="B113" s="50"/>
      <c r="C113" s="50" t="s">
        <v>235</v>
      </c>
      <c r="D113" s="50"/>
      <c r="E113" s="129">
        <v>0</v>
      </c>
      <c r="F113" s="32">
        <f t="shared" si="16"/>
        <v>0</v>
      </c>
      <c r="G113" s="32">
        <f t="shared" si="16"/>
        <v>0</v>
      </c>
      <c r="H113" s="32">
        <f t="shared" si="16"/>
        <v>0</v>
      </c>
      <c r="I113" s="32">
        <f t="shared" si="16"/>
        <v>0</v>
      </c>
      <c r="J113" s="32">
        <f t="shared" si="16"/>
        <v>0</v>
      </c>
      <c r="K113" s="95"/>
      <c r="L113" s="50"/>
      <c r="M113" s="15"/>
    </row>
    <row r="114" spans="1:13">
      <c r="A114" s="50">
        <v>1</v>
      </c>
      <c r="B114" s="50"/>
      <c r="C114" s="50" t="s">
        <v>236</v>
      </c>
      <c r="D114" s="50"/>
      <c r="E114" s="129">
        <f>Inputs!$C$7+$A114</f>
        <v>46</v>
      </c>
      <c r="F114" s="32">
        <f t="shared" ref="F114:J119" si="17">E114-1</f>
        <v>45</v>
      </c>
      <c r="G114" s="32">
        <f t="shared" si="17"/>
        <v>44</v>
      </c>
      <c r="H114" s="32">
        <f t="shared" si="17"/>
        <v>43</v>
      </c>
      <c r="I114" s="32">
        <f t="shared" si="17"/>
        <v>42</v>
      </c>
      <c r="J114" s="32">
        <f t="shared" si="17"/>
        <v>41</v>
      </c>
      <c r="K114" s="95"/>
      <c r="L114" s="50"/>
      <c r="M114" s="15"/>
    </row>
    <row r="115" spans="1:13">
      <c r="A115" s="50">
        <v>2</v>
      </c>
      <c r="B115" s="50"/>
      <c r="C115" s="50" t="s">
        <v>237</v>
      </c>
      <c r="D115" s="50"/>
      <c r="E115" s="129">
        <f>Inputs!$C$7+$A115</f>
        <v>47</v>
      </c>
      <c r="F115" s="32">
        <f t="shared" si="17"/>
        <v>46</v>
      </c>
      <c r="G115" s="32">
        <f t="shared" si="17"/>
        <v>45</v>
      </c>
      <c r="H115" s="32">
        <f t="shared" si="17"/>
        <v>44</v>
      </c>
      <c r="I115" s="32">
        <f t="shared" si="17"/>
        <v>43</v>
      </c>
      <c r="J115" s="32">
        <f t="shared" si="17"/>
        <v>42</v>
      </c>
      <c r="K115" s="95"/>
      <c r="L115" s="50"/>
      <c r="M115" s="15"/>
    </row>
    <row r="116" spans="1:13">
      <c r="A116" s="50">
        <v>3</v>
      </c>
      <c r="B116" s="50"/>
      <c r="C116" s="50" t="s">
        <v>238</v>
      </c>
      <c r="D116" s="50"/>
      <c r="E116" s="129">
        <f>Inputs!$C$7+$A116</f>
        <v>48</v>
      </c>
      <c r="F116" s="32">
        <f t="shared" si="17"/>
        <v>47</v>
      </c>
      <c r="G116" s="32">
        <f t="shared" si="17"/>
        <v>46</v>
      </c>
      <c r="H116" s="32">
        <f t="shared" si="17"/>
        <v>45</v>
      </c>
      <c r="I116" s="32">
        <f t="shared" si="17"/>
        <v>44</v>
      </c>
      <c r="J116" s="32">
        <f t="shared" si="17"/>
        <v>43</v>
      </c>
      <c r="K116" s="95"/>
      <c r="L116" s="50"/>
      <c r="M116" s="15"/>
    </row>
    <row r="117" spans="1:13">
      <c r="A117" s="50">
        <v>4</v>
      </c>
      <c r="B117" s="50"/>
      <c r="C117" s="50" t="s">
        <v>239</v>
      </c>
      <c r="D117" s="50"/>
      <c r="E117" s="129">
        <f>Inputs!$C$7+$A117</f>
        <v>49</v>
      </c>
      <c r="F117" s="32">
        <f t="shared" si="17"/>
        <v>48</v>
      </c>
      <c r="G117" s="32">
        <f t="shared" si="17"/>
        <v>47</v>
      </c>
      <c r="H117" s="32">
        <f t="shared" si="17"/>
        <v>46</v>
      </c>
      <c r="I117" s="32">
        <f t="shared" si="17"/>
        <v>45</v>
      </c>
      <c r="J117" s="32">
        <f t="shared" si="17"/>
        <v>44</v>
      </c>
      <c r="K117" s="95"/>
      <c r="L117" s="50"/>
      <c r="M117" s="15"/>
    </row>
    <row r="118" spans="1:13">
      <c r="A118" s="50">
        <v>5</v>
      </c>
      <c r="B118" s="50"/>
      <c r="C118" s="50" t="s">
        <v>240</v>
      </c>
      <c r="D118" s="50"/>
      <c r="E118" s="129">
        <f>Inputs!$C$7+$A118</f>
        <v>50</v>
      </c>
      <c r="F118" s="32">
        <f t="shared" si="17"/>
        <v>49</v>
      </c>
      <c r="G118" s="32">
        <f t="shared" si="17"/>
        <v>48</v>
      </c>
      <c r="H118" s="32">
        <f t="shared" si="17"/>
        <v>47</v>
      </c>
      <c r="I118" s="32">
        <f t="shared" si="17"/>
        <v>46</v>
      </c>
      <c r="J118" s="32">
        <f t="shared" si="17"/>
        <v>45</v>
      </c>
      <c r="K118" s="95"/>
      <c r="L118" s="50"/>
      <c r="M118" s="15"/>
    </row>
    <row r="119" spans="1:13">
      <c r="A119" s="50">
        <v>6</v>
      </c>
      <c r="B119" s="50"/>
      <c r="C119" s="50" t="s">
        <v>241</v>
      </c>
      <c r="D119" s="50"/>
      <c r="E119" s="129">
        <f>Inputs!$C$7+$A119</f>
        <v>51</v>
      </c>
      <c r="F119" s="32">
        <f t="shared" si="17"/>
        <v>50</v>
      </c>
      <c r="G119" s="32">
        <f t="shared" si="17"/>
        <v>49</v>
      </c>
      <c r="H119" s="32">
        <f t="shared" si="17"/>
        <v>48</v>
      </c>
      <c r="I119" s="32">
        <f t="shared" si="17"/>
        <v>47</v>
      </c>
      <c r="J119" s="32">
        <f t="shared" si="17"/>
        <v>46</v>
      </c>
      <c r="K119" s="95"/>
      <c r="L119" s="50"/>
      <c r="M119" s="15"/>
    </row>
    <row r="120" spans="1:13">
      <c r="A120" s="50">
        <v>1</v>
      </c>
      <c r="B120" s="50"/>
      <c r="C120" s="50" t="s">
        <v>242</v>
      </c>
      <c r="D120" s="50"/>
      <c r="E120" s="32">
        <f t="shared" ref="E120:J125" si="18">E108/E114</f>
        <v>0</v>
      </c>
      <c r="F120" s="32">
        <f t="shared" si="18"/>
        <v>118.08888888888889</v>
      </c>
      <c r="G120" s="32">
        <f t="shared" si="18"/>
        <v>118.0888888888889</v>
      </c>
      <c r="H120" s="32">
        <f t="shared" si="18"/>
        <v>118.0888888888889</v>
      </c>
      <c r="I120" s="32">
        <f t="shared" si="18"/>
        <v>118.08888888888892</v>
      </c>
      <c r="J120" s="32">
        <f t="shared" si="18"/>
        <v>118.08888888888893</v>
      </c>
      <c r="K120" s="95"/>
      <c r="L120" s="50"/>
      <c r="M120" s="15"/>
    </row>
    <row r="121" spans="1:13">
      <c r="A121" s="50">
        <v>2</v>
      </c>
      <c r="B121" s="50"/>
      <c r="C121" s="50" t="s">
        <v>243</v>
      </c>
      <c r="D121" s="50"/>
      <c r="E121" s="32">
        <f t="shared" si="18"/>
        <v>0</v>
      </c>
      <c r="F121" s="32">
        <f t="shared" si="18"/>
        <v>0</v>
      </c>
      <c r="G121" s="32">
        <f t="shared" si="18"/>
        <v>213.72932178311248</v>
      </c>
      <c r="H121" s="32">
        <f t="shared" si="18"/>
        <v>213.72932178311248</v>
      </c>
      <c r="I121" s="32">
        <f t="shared" si="18"/>
        <v>213.72932178311248</v>
      </c>
      <c r="J121" s="32">
        <f t="shared" si="18"/>
        <v>213.72932178311251</v>
      </c>
      <c r="K121" s="95"/>
      <c r="L121" s="50"/>
      <c r="M121" s="15"/>
    </row>
    <row r="122" spans="1:13">
      <c r="A122" s="50">
        <v>3</v>
      </c>
      <c r="B122" s="50"/>
      <c r="C122" s="50" t="s">
        <v>244</v>
      </c>
      <c r="D122" s="50"/>
      <c r="E122" s="32">
        <f t="shared" si="18"/>
        <v>0</v>
      </c>
      <c r="F122" s="32">
        <f t="shared" si="18"/>
        <v>0</v>
      </c>
      <c r="G122" s="32">
        <f t="shared" si="18"/>
        <v>0</v>
      </c>
      <c r="H122" s="32">
        <f t="shared" si="18"/>
        <v>219.45634721681603</v>
      </c>
      <c r="I122" s="32">
        <f t="shared" si="18"/>
        <v>219.45634721681606</v>
      </c>
      <c r="J122" s="32">
        <f t="shared" si="18"/>
        <v>219.45634721681606</v>
      </c>
      <c r="K122" s="95"/>
      <c r="L122" s="50"/>
      <c r="M122" s="15"/>
    </row>
    <row r="123" spans="1:13">
      <c r="A123" s="50">
        <v>4</v>
      </c>
      <c r="B123" s="50"/>
      <c r="C123" s="50" t="s">
        <v>245</v>
      </c>
      <c r="D123" s="50"/>
      <c r="E123" s="32">
        <f t="shared" si="18"/>
        <v>0</v>
      </c>
      <c r="F123" s="32">
        <f t="shared" si="18"/>
        <v>0</v>
      </c>
      <c r="G123" s="32">
        <f t="shared" si="18"/>
        <v>0</v>
      </c>
      <c r="H123" s="32">
        <f t="shared" si="18"/>
        <v>0</v>
      </c>
      <c r="I123" s="32">
        <f t="shared" si="18"/>
        <v>230.35936815887206</v>
      </c>
      <c r="J123" s="32">
        <f t="shared" si="18"/>
        <v>230.35936815887206</v>
      </c>
      <c r="K123" s="95"/>
      <c r="L123" s="50"/>
      <c r="M123" s="15"/>
    </row>
    <row r="124" spans="1:13">
      <c r="A124" s="50">
        <v>5</v>
      </c>
      <c r="B124" s="50"/>
      <c r="C124" s="50" t="s">
        <v>246</v>
      </c>
      <c r="D124" s="50"/>
      <c r="E124" s="32">
        <f t="shared" si="18"/>
        <v>0</v>
      </c>
      <c r="F124" s="32">
        <f t="shared" si="18"/>
        <v>0</v>
      </c>
      <c r="G124" s="32">
        <f t="shared" si="18"/>
        <v>0</v>
      </c>
      <c r="H124" s="32">
        <f t="shared" si="18"/>
        <v>0</v>
      </c>
      <c r="I124" s="32">
        <f t="shared" si="18"/>
        <v>0</v>
      </c>
      <c r="J124" s="32">
        <f t="shared" si="18"/>
        <v>229.1224453754981</v>
      </c>
      <c r="K124" s="95"/>
      <c r="L124" s="50"/>
      <c r="M124" s="15"/>
    </row>
    <row r="125" spans="1:13">
      <c r="A125" s="50">
        <v>6</v>
      </c>
      <c r="B125" s="50"/>
      <c r="C125" s="50" t="s">
        <v>247</v>
      </c>
      <c r="D125" s="50"/>
      <c r="E125" s="32">
        <f t="shared" si="18"/>
        <v>0</v>
      </c>
      <c r="F125" s="32">
        <f t="shared" si="18"/>
        <v>0</v>
      </c>
      <c r="G125" s="32">
        <f t="shared" si="18"/>
        <v>0</v>
      </c>
      <c r="H125" s="32">
        <f t="shared" si="18"/>
        <v>0</v>
      </c>
      <c r="I125" s="32">
        <f t="shared" si="18"/>
        <v>0</v>
      </c>
      <c r="J125" s="32">
        <f t="shared" si="18"/>
        <v>0</v>
      </c>
      <c r="K125" s="95"/>
      <c r="L125" s="50"/>
      <c r="M125" s="15"/>
    </row>
    <row r="126" spans="1:13">
      <c r="A126" s="50">
        <v>1</v>
      </c>
      <c r="B126" s="50"/>
      <c r="C126" s="50" t="s">
        <v>248</v>
      </c>
      <c r="D126" s="50"/>
      <c r="E126" s="32">
        <f t="shared" ref="E126:J131" si="19">E108-E120+IF($A126=E$106,E$107,0)</f>
        <v>5314</v>
      </c>
      <c r="F126" s="32">
        <f t="shared" si="19"/>
        <v>5195.9111111111115</v>
      </c>
      <c r="G126" s="32">
        <f t="shared" si="19"/>
        <v>5077.822222222223</v>
      </c>
      <c r="H126" s="32">
        <f t="shared" si="19"/>
        <v>4959.7333333333345</v>
      </c>
      <c r="I126" s="32">
        <f t="shared" si="19"/>
        <v>4841.644444444446</v>
      </c>
      <c r="J126" s="32">
        <f t="shared" si="19"/>
        <v>4723.5555555555575</v>
      </c>
      <c r="K126" s="95"/>
      <c r="L126" s="50"/>
      <c r="M126" s="15"/>
    </row>
    <row r="127" spans="1:13">
      <c r="A127" s="50">
        <v>2</v>
      </c>
      <c r="B127" s="50"/>
      <c r="C127" s="50" t="s">
        <v>249</v>
      </c>
      <c r="D127" s="50"/>
      <c r="E127" s="32">
        <f t="shared" si="19"/>
        <v>0</v>
      </c>
      <c r="F127" s="32">
        <f t="shared" si="19"/>
        <v>9617.8194802400612</v>
      </c>
      <c r="G127" s="32">
        <f t="shared" si="19"/>
        <v>9404.0901584569492</v>
      </c>
      <c r="H127" s="32">
        <f t="shared" si="19"/>
        <v>9190.3608366738372</v>
      </c>
      <c r="I127" s="32">
        <f t="shared" si="19"/>
        <v>8976.6315148907252</v>
      </c>
      <c r="J127" s="32">
        <f t="shared" si="19"/>
        <v>8762.9021931076131</v>
      </c>
      <c r="K127" s="95"/>
      <c r="L127" s="50"/>
      <c r="M127" s="15"/>
    </row>
    <row r="128" spans="1:13">
      <c r="A128" s="50">
        <v>3</v>
      </c>
      <c r="B128" s="50"/>
      <c r="C128" s="50" t="s">
        <v>250</v>
      </c>
      <c r="D128" s="50"/>
      <c r="E128" s="32">
        <f t="shared" si="19"/>
        <v>0</v>
      </c>
      <c r="F128" s="32">
        <f t="shared" si="19"/>
        <v>0</v>
      </c>
      <c r="G128" s="32">
        <f t="shared" si="19"/>
        <v>9875.5356247567215</v>
      </c>
      <c r="H128" s="32">
        <f t="shared" si="19"/>
        <v>9656.0792775399059</v>
      </c>
      <c r="I128" s="32">
        <f t="shared" si="19"/>
        <v>9436.6229303230903</v>
      </c>
      <c r="J128" s="32">
        <f t="shared" si="19"/>
        <v>9217.1665831062746</v>
      </c>
      <c r="K128" s="95"/>
      <c r="L128" s="50"/>
      <c r="M128" s="15"/>
    </row>
    <row r="129" spans="1:13">
      <c r="A129" s="50">
        <v>4</v>
      </c>
      <c r="B129" s="50"/>
      <c r="C129" s="50" t="s">
        <v>251</v>
      </c>
      <c r="D129" s="50"/>
      <c r="E129" s="32">
        <f t="shared" si="19"/>
        <v>0</v>
      </c>
      <c r="F129" s="32">
        <f t="shared" si="19"/>
        <v>0</v>
      </c>
      <c r="G129" s="32">
        <f t="shared" si="19"/>
        <v>0</v>
      </c>
      <c r="H129" s="32">
        <f t="shared" si="19"/>
        <v>10366.171567149242</v>
      </c>
      <c r="I129" s="32">
        <f t="shared" si="19"/>
        <v>10135.81219899037</v>
      </c>
      <c r="J129" s="32">
        <f t="shared" si="19"/>
        <v>9905.4528308314984</v>
      </c>
      <c r="K129" s="95"/>
      <c r="L129" s="50"/>
      <c r="M129" s="15"/>
    </row>
    <row r="130" spans="1:13">
      <c r="A130" s="50">
        <v>5</v>
      </c>
      <c r="B130" s="50"/>
      <c r="C130" s="50" t="s">
        <v>252</v>
      </c>
      <c r="D130" s="50"/>
      <c r="E130" s="32">
        <f t="shared" si="19"/>
        <v>0</v>
      </c>
      <c r="F130" s="32">
        <f t="shared" si="19"/>
        <v>0</v>
      </c>
      <c r="G130" s="32">
        <f t="shared" si="19"/>
        <v>0</v>
      </c>
      <c r="H130" s="32">
        <f t="shared" si="19"/>
        <v>0</v>
      </c>
      <c r="I130" s="32">
        <f t="shared" si="19"/>
        <v>10310.510041897414</v>
      </c>
      <c r="J130" s="32">
        <f t="shared" si="19"/>
        <v>10081.387596521916</v>
      </c>
      <c r="K130" s="95"/>
      <c r="L130" s="50"/>
      <c r="M130" s="15"/>
    </row>
    <row r="131" spans="1:13">
      <c r="A131" s="50">
        <v>6</v>
      </c>
      <c r="B131" s="50"/>
      <c r="C131" s="50" t="s">
        <v>253</v>
      </c>
      <c r="D131" s="50"/>
      <c r="E131" s="32">
        <f t="shared" si="19"/>
        <v>0</v>
      </c>
      <c r="F131" s="32">
        <f t="shared" si="19"/>
        <v>0</v>
      </c>
      <c r="G131" s="32">
        <f t="shared" si="19"/>
        <v>0</v>
      </c>
      <c r="H131" s="32">
        <f t="shared" si="19"/>
        <v>0</v>
      </c>
      <c r="I131" s="32">
        <f t="shared" si="19"/>
        <v>0</v>
      </c>
      <c r="J131" s="32">
        <f t="shared" si="19"/>
        <v>10184.89598193329</v>
      </c>
      <c r="K131" s="95"/>
      <c r="L131" s="50"/>
      <c r="M131" s="15"/>
    </row>
    <row r="132" spans="1:13">
      <c r="A132" s="50"/>
      <c r="B132" s="50"/>
      <c r="C132" s="50" t="s">
        <v>62</v>
      </c>
      <c r="D132" s="50"/>
      <c r="E132" s="32">
        <f t="shared" ref="E132:J132" si="20">SUM(E120:E125)</f>
        <v>0</v>
      </c>
      <c r="F132" s="32">
        <f t="shared" si="20"/>
        <v>118.08888888888889</v>
      </c>
      <c r="G132" s="32">
        <f t="shared" si="20"/>
        <v>331.81821067200138</v>
      </c>
      <c r="H132" s="32">
        <f t="shared" si="20"/>
        <v>551.27455788881741</v>
      </c>
      <c r="I132" s="32">
        <f t="shared" si="20"/>
        <v>781.63392604768944</v>
      </c>
      <c r="J132" s="32">
        <f t="shared" si="20"/>
        <v>1010.7563714231876</v>
      </c>
      <c r="K132" s="95"/>
      <c r="L132" s="27"/>
      <c r="M132" s="15"/>
    </row>
    <row r="133" spans="1:13" s="15" customFormat="1">
      <c r="A133" s="50"/>
      <c r="B133" s="50"/>
      <c r="C133" s="50"/>
      <c r="D133" s="50"/>
      <c r="E133" s="32"/>
      <c r="F133" s="32"/>
      <c r="G133" s="32"/>
      <c r="H133" s="32"/>
      <c r="I133" s="32"/>
      <c r="J133" s="32"/>
      <c r="K133" s="95"/>
      <c r="L133" s="50"/>
    </row>
    <row r="134" spans="1:13" ht="15.75">
      <c r="A134" s="50"/>
      <c r="B134" s="50"/>
      <c r="C134" s="162" t="s">
        <v>63</v>
      </c>
      <c r="D134" s="50"/>
      <c r="E134" s="50"/>
      <c r="F134" s="50"/>
      <c r="G134" s="50"/>
      <c r="H134" s="50"/>
      <c r="I134" s="50"/>
      <c r="J134" s="50"/>
      <c r="K134" s="95"/>
      <c r="L134" s="50"/>
      <c r="M134" s="15"/>
    </row>
    <row r="135" spans="1:13">
      <c r="A135" s="50"/>
      <c r="B135" s="50"/>
      <c r="C135" s="50" t="s">
        <v>65</v>
      </c>
      <c r="D135" s="50"/>
      <c r="E135" s="129">
        <f>E59</f>
        <v>130998</v>
      </c>
      <c r="F135" s="32">
        <f>E140</f>
        <v>124695</v>
      </c>
      <c r="G135" s="32">
        <f>F140</f>
        <v>118392</v>
      </c>
      <c r="H135" s="32">
        <f>G140</f>
        <v>112089</v>
      </c>
      <c r="I135" s="32">
        <f>H140</f>
        <v>105786</v>
      </c>
      <c r="J135" s="32">
        <f>I140</f>
        <v>99483</v>
      </c>
      <c r="K135" s="95"/>
      <c r="L135" s="50"/>
      <c r="M135" s="15"/>
    </row>
    <row r="136" spans="1:13">
      <c r="A136" s="50"/>
      <c r="B136" s="50"/>
      <c r="C136" s="50" t="s">
        <v>40</v>
      </c>
      <c r="D136" s="50"/>
      <c r="E136" s="32">
        <f t="shared" ref="E136:J136" si="21">E56</f>
        <v>0</v>
      </c>
      <c r="F136" s="32">
        <f t="shared" si="21"/>
        <v>0</v>
      </c>
      <c r="G136" s="32">
        <f t="shared" si="21"/>
        <v>0</v>
      </c>
      <c r="H136" s="32">
        <f t="shared" si="21"/>
        <v>0</v>
      </c>
      <c r="I136" s="32">
        <f t="shared" si="21"/>
        <v>0</v>
      </c>
      <c r="J136" s="32">
        <f t="shared" si="21"/>
        <v>0</v>
      </c>
      <c r="K136" s="95"/>
      <c r="L136" s="50"/>
      <c r="M136" s="15"/>
    </row>
    <row r="137" spans="1:13">
      <c r="A137" s="50"/>
      <c r="B137" s="50"/>
      <c r="C137" s="50" t="s">
        <v>312</v>
      </c>
      <c r="D137" s="50"/>
      <c r="E137" s="32">
        <f>Ota!E12</f>
        <v>0</v>
      </c>
      <c r="F137" s="32"/>
      <c r="G137" s="32"/>
      <c r="H137" s="32"/>
      <c r="I137" s="32"/>
      <c r="J137" s="32"/>
      <c r="K137" s="95"/>
      <c r="L137" s="50"/>
      <c r="M137" s="15"/>
    </row>
    <row r="138" spans="1:13">
      <c r="A138" s="50"/>
      <c r="B138" s="50"/>
      <c r="C138" s="50" t="s">
        <v>313</v>
      </c>
      <c r="D138" s="50"/>
      <c r="E138" s="32">
        <f>Ota!E13</f>
        <v>0</v>
      </c>
      <c r="F138" s="32"/>
      <c r="G138" s="32"/>
      <c r="H138" s="32"/>
      <c r="I138" s="32"/>
      <c r="J138" s="32"/>
      <c r="K138" s="95"/>
      <c r="L138" s="50"/>
      <c r="M138" s="15"/>
    </row>
    <row r="139" spans="1:13">
      <c r="A139" s="50"/>
      <c r="B139" s="50"/>
      <c r="C139" s="50" t="s">
        <v>64</v>
      </c>
      <c r="D139" s="50"/>
      <c r="E139" s="32">
        <f t="shared" ref="E139:J139" si="22">E135/E$54</f>
        <v>6303</v>
      </c>
      <c r="F139" s="32">
        <f t="shared" si="22"/>
        <v>6303</v>
      </c>
      <c r="G139" s="32">
        <f t="shared" si="22"/>
        <v>6303</v>
      </c>
      <c r="H139" s="32">
        <f t="shared" si="22"/>
        <v>6303</v>
      </c>
      <c r="I139" s="32">
        <f t="shared" si="22"/>
        <v>6303</v>
      </c>
      <c r="J139" s="32">
        <f t="shared" si="22"/>
        <v>6303</v>
      </c>
      <c r="K139" s="95"/>
      <c r="L139" s="50"/>
      <c r="M139" s="15"/>
    </row>
    <row r="140" spans="1:13">
      <c r="A140" s="50"/>
      <c r="B140" s="50"/>
      <c r="C140" s="50" t="s">
        <v>61</v>
      </c>
      <c r="D140" s="50"/>
      <c r="E140" s="129">
        <f>E135-E136-E137+E138-E139</f>
        <v>124695</v>
      </c>
      <c r="F140" s="32">
        <f>F135-F136-F139</f>
        <v>118392</v>
      </c>
      <c r="G140" s="32">
        <f>G135-G136-G139</f>
        <v>112089</v>
      </c>
      <c r="H140" s="32">
        <f>H135-H136-H139</f>
        <v>105786</v>
      </c>
      <c r="I140" s="32">
        <f>I135-I136-I139</f>
        <v>99483</v>
      </c>
      <c r="J140" s="32">
        <f>J135-J136-J139</f>
        <v>93180</v>
      </c>
      <c r="K140" s="95"/>
      <c r="L140" s="50"/>
      <c r="M140" s="15"/>
    </row>
    <row r="141" spans="1:13">
      <c r="A141" s="50"/>
      <c r="B141" s="50"/>
      <c r="C141" s="50"/>
      <c r="D141" s="50"/>
      <c r="E141" s="32"/>
      <c r="F141" s="32"/>
      <c r="G141" s="32"/>
      <c r="H141" s="32"/>
      <c r="I141" s="32"/>
      <c r="J141" s="32"/>
      <c r="K141" s="95"/>
      <c r="L141" s="27"/>
      <c r="M141" s="15"/>
    </row>
    <row r="142" spans="1:13" ht="15.75">
      <c r="A142" s="50"/>
      <c r="B142" s="50"/>
      <c r="C142" s="162" t="s">
        <v>66</v>
      </c>
      <c r="D142" s="50"/>
      <c r="E142" s="50"/>
      <c r="F142" s="50"/>
      <c r="G142" s="50"/>
      <c r="H142" s="50"/>
      <c r="I142" s="50"/>
      <c r="J142" s="50"/>
      <c r="K142" s="95"/>
      <c r="L142" s="27"/>
      <c r="M142" s="15"/>
    </row>
    <row r="143" spans="1:13">
      <c r="A143" s="50"/>
      <c r="B143" s="50"/>
      <c r="C143" s="50" t="s">
        <v>155</v>
      </c>
      <c r="D143" s="50"/>
      <c r="E143" s="32">
        <f t="shared" ref="E143:J143" si="23">E59+E100</f>
        <v>130998</v>
      </c>
      <c r="F143" s="32">
        <f t="shared" si="23"/>
        <v>132264.34228532453</v>
      </c>
      <c r="G143" s="32">
        <f t="shared" si="23"/>
        <v>137965.00502901006</v>
      </c>
      <c r="H143" s="32">
        <f t="shared" si="23"/>
        <v>144310.61541627382</v>
      </c>
      <c r="I143" s="32">
        <f t="shared" si="23"/>
        <v>150696.78907249667</v>
      </c>
      <c r="J143" s="32">
        <f t="shared" si="23"/>
        <v>156549.41250225226</v>
      </c>
      <c r="K143" s="95"/>
      <c r="L143" s="27"/>
      <c r="M143" s="15"/>
    </row>
    <row r="144" spans="1:13">
      <c r="A144" s="50"/>
      <c r="B144" s="50"/>
      <c r="C144" s="50" t="s">
        <v>154</v>
      </c>
      <c r="D144" s="50"/>
      <c r="E144" s="32">
        <f t="shared" ref="E144:J146" si="24">E63+E101</f>
        <v>2255.3422853245183</v>
      </c>
      <c r="F144" s="32">
        <f t="shared" si="24"/>
        <v>2617.9336954948803</v>
      </c>
      <c r="G144" s="32">
        <f t="shared" si="24"/>
        <v>3355.056828753392</v>
      </c>
      <c r="H144" s="32">
        <f t="shared" si="24"/>
        <v>3301.0040883508264</v>
      </c>
      <c r="I144" s="32">
        <f t="shared" si="24"/>
        <v>3229.4607030765483</v>
      </c>
      <c r="J144" s="32">
        <f t="shared" si="24"/>
        <v>3128.766377192077</v>
      </c>
      <c r="K144" s="95"/>
      <c r="L144" s="50"/>
      <c r="M144" s="15"/>
    </row>
    <row r="145" spans="1:13">
      <c r="A145" s="50"/>
      <c r="B145" s="50"/>
      <c r="C145" s="50" t="s">
        <v>153</v>
      </c>
      <c r="D145" s="50"/>
      <c r="E145" s="32">
        <f t="shared" si="24"/>
        <v>6303</v>
      </c>
      <c r="F145" s="32">
        <f t="shared" si="24"/>
        <v>6535.0904320494037</v>
      </c>
      <c r="G145" s="32">
        <f t="shared" si="24"/>
        <v>6884.9820662463753</v>
      </c>
      <c r="H145" s="32">
        <f t="shared" si="24"/>
        <v>7281.001999277204</v>
      </c>
      <c r="I145" s="32">
        <f t="shared" si="24"/>
        <v>7687.3473152183742</v>
      </c>
      <c r="J145" s="32">
        <f t="shared" si="24"/>
        <v>8090.9364476090559</v>
      </c>
      <c r="K145" s="95"/>
      <c r="L145" s="50"/>
      <c r="M145" s="15"/>
    </row>
    <row r="146" spans="1:13">
      <c r="A146" s="50"/>
      <c r="B146" s="50"/>
      <c r="C146" s="50" t="s">
        <v>156</v>
      </c>
      <c r="D146" s="50"/>
      <c r="E146" s="32">
        <f t="shared" si="24"/>
        <v>132264.34228532453</v>
      </c>
      <c r="F146" s="32">
        <f t="shared" si="24"/>
        <v>137965.00502901006</v>
      </c>
      <c r="G146" s="32">
        <f t="shared" si="24"/>
        <v>144310.61541627382</v>
      </c>
      <c r="H146" s="32">
        <f t="shared" si="24"/>
        <v>150696.78907249667</v>
      </c>
      <c r="I146" s="32">
        <f t="shared" si="24"/>
        <v>156549.41250225226</v>
      </c>
      <c r="J146" s="32">
        <f t="shared" si="24"/>
        <v>161772.13841376855</v>
      </c>
      <c r="K146" s="95"/>
      <c r="L146" s="50"/>
      <c r="M146" s="15"/>
    </row>
    <row r="147" spans="1:13">
      <c r="A147" s="50"/>
      <c r="B147" s="50"/>
      <c r="C147" s="50" t="s">
        <v>45</v>
      </c>
      <c r="D147" s="50"/>
      <c r="E147" s="32">
        <f t="shared" ref="E147:J147" si="25">E132+E139</f>
        <v>6303</v>
      </c>
      <c r="F147" s="32">
        <f t="shared" si="25"/>
        <v>6421.0888888888885</v>
      </c>
      <c r="G147" s="32">
        <f t="shared" si="25"/>
        <v>6634.8182106720014</v>
      </c>
      <c r="H147" s="32">
        <f t="shared" si="25"/>
        <v>6854.2745578888171</v>
      </c>
      <c r="I147" s="32">
        <f t="shared" si="25"/>
        <v>7084.6339260476898</v>
      </c>
      <c r="J147" s="32">
        <f t="shared" si="25"/>
        <v>7313.7563714231874</v>
      </c>
      <c r="K147" s="95"/>
      <c r="L147" s="50"/>
      <c r="M147" s="15"/>
    </row>
    <row r="148" spans="1:13">
      <c r="A148" s="50"/>
      <c r="B148" s="50"/>
      <c r="C148" s="50" t="s">
        <v>178</v>
      </c>
      <c r="D148" s="50"/>
      <c r="E148" s="128"/>
      <c r="F148" s="165">
        <f>F143+F107+F144-F145-F56-F146</f>
        <v>0</v>
      </c>
      <c r="G148" s="165">
        <f>G143+G107+G144-G145-G56-G146</f>
        <v>0</v>
      </c>
      <c r="H148" s="165">
        <f>H143+H107+H144-H145-H56-H146</f>
        <v>0</v>
      </c>
      <c r="I148" s="165">
        <f>I143+I107+I144-I145-I56-I146</f>
        <v>0</v>
      </c>
      <c r="J148" s="165">
        <f>J143+J107+J144-J145-J56-J146</f>
        <v>0</v>
      </c>
      <c r="K148" s="95"/>
      <c r="L148" s="50"/>
      <c r="M148" s="15"/>
    </row>
    <row r="149" spans="1:13">
      <c r="A149" s="50"/>
      <c r="B149" s="50"/>
      <c r="C149" s="50"/>
      <c r="D149" s="50"/>
      <c r="E149" s="50"/>
      <c r="F149" s="32"/>
      <c r="G149" s="32"/>
      <c r="H149" s="50"/>
      <c r="I149" s="50"/>
      <c r="J149" s="50"/>
      <c r="K149" s="95"/>
      <c r="L149" s="50"/>
      <c r="M149" s="15"/>
    </row>
    <row r="150" spans="1:13" ht="15.75">
      <c r="A150" s="50"/>
      <c r="B150" s="50"/>
      <c r="C150" s="162" t="s">
        <v>90</v>
      </c>
      <c r="D150" s="50"/>
      <c r="E150" s="50"/>
      <c r="F150" s="50"/>
      <c r="G150" s="50"/>
      <c r="H150" s="50"/>
      <c r="I150" s="50"/>
      <c r="J150" s="50"/>
      <c r="K150" s="95"/>
      <c r="L150" s="50"/>
      <c r="M150" s="15"/>
    </row>
    <row r="151" spans="1:13" ht="15.75">
      <c r="A151" s="50"/>
      <c r="B151" s="50"/>
      <c r="C151" s="158" t="s">
        <v>160</v>
      </c>
      <c r="D151" s="50"/>
      <c r="E151" s="129"/>
      <c r="F151" s="166">
        <f>F143/$E143</f>
        <v>1.0096668825884709</v>
      </c>
      <c r="G151" s="166">
        <f>G143/$E143</f>
        <v>1.0531840564665877</v>
      </c>
      <c r="H151" s="166">
        <f>H143/$E143</f>
        <v>1.1016245699649905</v>
      </c>
      <c r="I151" s="166">
        <f>I143/$E143</f>
        <v>1.1503747314653405</v>
      </c>
      <c r="J151" s="166">
        <f>J143/$E143</f>
        <v>1.1950519282909071</v>
      </c>
      <c r="K151" s="95"/>
      <c r="L151" s="50"/>
      <c r="M151" s="15"/>
    </row>
    <row r="152" spans="1:13">
      <c r="A152" s="50"/>
      <c r="B152" s="50"/>
      <c r="C152" s="50" t="s">
        <v>90</v>
      </c>
      <c r="D152" s="50"/>
      <c r="E152" s="129">
        <f>IF(E20&gt;0,E20,0)</f>
        <v>0</v>
      </c>
      <c r="F152" s="32">
        <f>$E152*F151</f>
        <v>0</v>
      </c>
      <c r="G152" s="32">
        <f>$E152*G151</f>
        <v>0</v>
      </c>
      <c r="H152" s="32">
        <f>$E152*H151</f>
        <v>0</v>
      </c>
      <c r="I152" s="32">
        <f>$E152*I151</f>
        <v>0</v>
      </c>
      <c r="J152" s="32">
        <f>$E152*J151</f>
        <v>0</v>
      </c>
      <c r="K152" s="95"/>
      <c r="L152" s="50"/>
      <c r="M152" s="15"/>
    </row>
    <row r="153" spans="1:13">
      <c r="A153" s="50"/>
      <c r="B153" s="50"/>
      <c r="C153" s="50"/>
      <c r="D153" s="50"/>
      <c r="E153" s="50"/>
      <c r="F153" s="50"/>
      <c r="G153" s="50"/>
      <c r="H153" s="50"/>
      <c r="I153" s="50"/>
      <c r="J153" s="50"/>
      <c r="K153" s="95"/>
      <c r="L153" s="50"/>
      <c r="M153" s="15"/>
    </row>
    <row r="154" spans="1:13" ht="15.75">
      <c r="A154" s="50"/>
      <c r="B154" s="50"/>
      <c r="C154" s="162" t="s">
        <v>46</v>
      </c>
      <c r="D154" s="50"/>
      <c r="E154" s="50"/>
      <c r="F154" s="50"/>
      <c r="G154" s="50"/>
      <c r="H154" s="50"/>
      <c r="I154" s="50"/>
      <c r="J154" s="50"/>
      <c r="K154" s="95"/>
      <c r="L154" s="27"/>
      <c r="M154" s="15"/>
    </row>
    <row r="155" spans="1:13">
      <c r="A155" s="50"/>
      <c r="B155" s="50"/>
      <c r="C155" s="50" t="s">
        <v>157</v>
      </c>
      <c r="D155" s="49">
        <f>E17/E18</f>
        <v>8.1120977448731632E-2</v>
      </c>
      <c r="E155" s="50"/>
      <c r="F155" s="50"/>
      <c r="G155" s="50"/>
      <c r="H155" s="50"/>
      <c r="I155" s="50"/>
      <c r="J155" s="50"/>
      <c r="K155" s="95"/>
      <c r="L155" s="125"/>
      <c r="M155" s="15"/>
    </row>
    <row r="156" spans="1:13">
      <c r="A156" s="50"/>
      <c r="B156" s="50"/>
      <c r="C156" s="50" t="s">
        <v>167</v>
      </c>
      <c r="D156" s="50"/>
      <c r="E156" s="129">
        <f>E18</f>
        <v>88066</v>
      </c>
      <c r="F156" s="32">
        <f>E159</f>
        <v>86236</v>
      </c>
      <c r="G156" s="32">
        <f>F159</f>
        <v>88858.270868971245</v>
      </c>
      <c r="H156" s="32">
        <f>G159</f>
        <v>91525.53670643286</v>
      </c>
      <c r="I156" s="32">
        <f>H159</f>
        <v>94467.0672744365</v>
      </c>
      <c r="J156" s="32">
        <f>I159</f>
        <v>97114.316482316543</v>
      </c>
      <c r="K156" s="95"/>
      <c r="L156" s="125"/>
      <c r="M156" s="15"/>
    </row>
    <row r="157" spans="1:13">
      <c r="A157" s="50"/>
      <c r="B157" s="50"/>
      <c r="C157" s="50" t="s">
        <v>34</v>
      </c>
      <c r="D157" s="50"/>
      <c r="E157" s="129">
        <f>E17</f>
        <v>7144</v>
      </c>
      <c r="F157" s="32">
        <f>F156*$D155</f>
        <v>6995.5486112688213</v>
      </c>
      <c r="G157" s="32">
        <f>G156*$D155</f>
        <v>7208.269787295103</v>
      </c>
      <c r="H157" s="32">
        <f>H156*$D155</f>
        <v>7424.6409991455994</v>
      </c>
      <c r="I157" s="32">
        <f>I156*$D155</f>
        <v>7663.2608340173774</v>
      </c>
      <c r="J157" s="32">
        <f>J156*$D155</f>
        <v>7878.0082773109871</v>
      </c>
      <c r="K157" s="95"/>
      <c r="L157" s="50"/>
      <c r="M157" s="15"/>
    </row>
    <row r="158" spans="1:13">
      <c r="A158" s="50"/>
      <c r="B158" s="50"/>
      <c r="C158" s="50" t="s">
        <v>98</v>
      </c>
      <c r="D158" s="50"/>
      <c r="E158" s="32">
        <f t="shared" ref="E158:J158" si="26">E29</f>
        <v>5314</v>
      </c>
      <c r="F158" s="32">
        <f t="shared" si="26"/>
        <v>9617.8194802400612</v>
      </c>
      <c r="G158" s="32">
        <f t="shared" si="26"/>
        <v>9875.5356247567215</v>
      </c>
      <c r="H158" s="32">
        <f t="shared" si="26"/>
        <v>10366.171567149242</v>
      </c>
      <c r="I158" s="32">
        <f t="shared" si="26"/>
        <v>10310.510041897414</v>
      </c>
      <c r="J158" s="32">
        <f t="shared" si="26"/>
        <v>10184.89598193329</v>
      </c>
      <c r="K158" s="95"/>
      <c r="L158" s="125"/>
      <c r="M158" s="15"/>
    </row>
    <row r="159" spans="1:13">
      <c r="A159" s="50"/>
      <c r="B159" s="50"/>
      <c r="C159" s="50" t="s">
        <v>127</v>
      </c>
      <c r="D159" s="50"/>
      <c r="E159" s="32">
        <f t="shared" ref="E159:J159" si="27">E156-E157+E158</f>
        <v>86236</v>
      </c>
      <c r="F159" s="32">
        <f t="shared" si="27"/>
        <v>88858.270868971245</v>
      </c>
      <c r="G159" s="32">
        <f t="shared" si="27"/>
        <v>91525.53670643286</v>
      </c>
      <c r="H159" s="32">
        <f t="shared" si="27"/>
        <v>94467.0672744365</v>
      </c>
      <c r="I159" s="32">
        <f t="shared" si="27"/>
        <v>97114.316482316543</v>
      </c>
      <c r="J159" s="32">
        <f t="shared" si="27"/>
        <v>99421.204186938849</v>
      </c>
      <c r="K159" s="95"/>
      <c r="L159" s="125"/>
      <c r="M159" s="15"/>
    </row>
    <row r="160" spans="1:13">
      <c r="A160" s="50"/>
      <c r="B160" s="50"/>
      <c r="C160" s="50"/>
      <c r="D160" s="50"/>
      <c r="E160" s="50"/>
      <c r="F160" s="50"/>
      <c r="G160" s="50"/>
      <c r="H160" s="50"/>
      <c r="I160" s="50"/>
      <c r="J160" s="50"/>
      <c r="K160" s="95"/>
      <c r="L160" s="27"/>
      <c r="M160" s="15"/>
    </row>
    <row r="161" spans="1:13" ht="15.75">
      <c r="A161" s="50"/>
      <c r="B161" s="50"/>
      <c r="C161" s="162" t="s">
        <v>128</v>
      </c>
      <c r="D161" s="50"/>
      <c r="E161" s="50"/>
      <c r="F161" s="50"/>
      <c r="G161" s="50"/>
      <c r="H161" s="50"/>
      <c r="I161" s="50"/>
      <c r="J161" s="50"/>
      <c r="K161" s="95"/>
      <c r="L161" s="27"/>
      <c r="M161" s="15"/>
    </row>
    <row r="162" spans="1:13">
      <c r="A162" s="50"/>
      <c r="B162" s="50"/>
      <c r="C162" s="50" t="s">
        <v>126</v>
      </c>
      <c r="D162" s="50"/>
      <c r="E162" s="32">
        <f t="shared" ref="E162:J162" si="28">E147-E157</f>
        <v>-841</v>
      </c>
      <c r="F162" s="32">
        <f t="shared" si="28"/>
        <v>-574.45972237993283</v>
      </c>
      <c r="G162" s="32">
        <f t="shared" si="28"/>
        <v>-573.45157662310157</v>
      </c>
      <c r="H162" s="32">
        <f t="shared" si="28"/>
        <v>-570.36644125678231</v>
      </c>
      <c r="I162" s="32">
        <f t="shared" si="28"/>
        <v>-578.62690796968764</v>
      </c>
      <c r="J162" s="32">
        <f t="shared" si="28"/>
        <v>-564.25190588779969</v>
      </c>
      <c r="K162" s="95"/>
      <c r="L162" s="50"/>
      <c r="M162" s="15"/>
    </row>
    <row r="163" spans="1:13">
      <c r="A163" s="50"/>
      <c r="B163" s="50"/>
      <c r="C163" s="50"/>
      <c r="D163" s="50"/>
      <c r="E163" s="50"/>
      <c r="F163" s="50"/>
      <c r="G163" s="50"/>
      <c r="H163" s="50"/>
      <c r="I163" s="50"/>
      <c r="J163" s="50"/>
      <c r="K163" s="95"/>
      <c r="L163" s="50"/>
      <c r="M163" s="15"/>
    </row>
    <row r="164" spans="1:13" ht="15.75">
      <c r="A164" s="50"/>
      <c r="B164" s="50"/>
      <c r="C164" s="162" t="s">
        <v>47</v>
      </c>
      <c r="D164" s="50"/>
      <c r="E164" s="50"/>
      <c r="F164" s="50"/>
      <c r="G164" s="50"/>
      <c r="H164" s="50"/>
      <c r="I164" s="50"/>
      <c r="J164" s="50"/>
      <c r="K164" s="95"/>
      <c r="L164" s="50"/>
      <c r="M164" s="15"/>
    </row>
    <row r="165" spans="1:13">
      <c r="A165" s="50"/>
      <c r="B165" s="50"/>
      <c r="C165" s="50" t="s">
        <v>151</v>
      </c>
      <c r="D165" s="50"/>
      <c r="E165" s="193">
        <v>0</v>
      </c>
      <c r="F165" s="31">
        <f>E168</f>
        <v>-827.02556894243628</v>
      </c>
      <c r="G165" s="31">
        <f>F168</f>
        <v>-1574.0890545988525</v>
      </c>
      <c r="H165" s="31">
        <f>G168</f>
        <v>-2271.0660270662615</v>
      </c>
      <c r="I165" s="31">
        <f>H168</f>
        <v>-2967.1791616311011</v>
      </c>
      <c r="J165" s="31">
        <f>I168</f>
        <v>-3665.6052268755543</v>
      </c>
      <c r="K165" s="95"/>
      <c r="L165" s="50"/>
      <c r="M165" s="15"/>
    </row>
    <row r="166" spans="1:13">
      <c r="A166" s="50"/>
      <c r="B166" s="50"/>
      <c r="C166" s="50" t="s">
        <v>126</v>
      </c>
      <c r="D166" s="50"/>
      <c r="E166" s="32">
        <f t="shared" ref="E166:J166" si="29">E162</f>
        <v>-841</v>
      </c>
      <c r="F166" s="32">
        <f t="shared" si="29"/>
        <v>-574.45972237993283</v>
      </c>
      <c r="G166" s="32">
        <f t="shared" si="29"/>
        <v>-573.45157662310157</v>
      </c>
      <c r="H166" s="32">
        <f t="shared" si="29"/>
        <v>-570.36644125678231</v>
      </c>
      <c r="I166" s="32">
        <f t="shared" si="29"/>
        <v>-578.62690796968764</v>
      </c>
      <c r="J166" s="32">
        <f t="shared" si="29"/>
        <v>-564.25190588779969</v>
      </c>
      <c r="K166" s="95"/>
      <c r="L166" s="50"/>
      <c r="M166" s="15"/>
    </row>
    <row r="167" spans="1:13">
      <c r="A167" s="50"/>
      <c r="B167" s="50"/>
      <c r="C167" s="50" t="s">
        <v>48</v>
      </c>
      <c r="D167" s="50"/>
      <c r="E167" s="129">
        <f>(E11-E18)/E19</f>
        <v>1915.7518964747881</v>
      </c>
      <c r="F167" s="32">
        <f>E167</f>
        <v>1915.7518964747881</v>
      </c>
      <c r="G167" s="32">
        <f>F167</f>
        <v>1915.7518964747881</v>
      </c>
      <c r="H167" s="32">
        <f>G167</f>
        <v>1915.7518964747881</v>
      </c>
      <c r="I167" s="32">
        <f>H167</f>
        <v>1915.7518964747881</v>
      </c>
      <c r="J167" s="32">
        <f>I167</f>
        <v>1915.7518964747881</v>
      </c>
      <c r="K167" s="95"/>
      <c r="L167" s="50"/>
      <c r="M167" s="15"/>
    </row>
    <row r="168" spans="1:13">
      <c r="A168" s="50"/>
      <c r="B168" s="50"/>
      <c r="C168" s="50" t="s">
        <v>152</v>
      </c>
      <c r="D168" s="50"/>
      <c r="E168" s="31">
        <f t="shared" ref="E168:J168" si="30">E165+(E166-E167)*E53</f>
        <v>-827.02556894243628</v>
      </c>
      <c r="F168" s="31">
        <f t="shared" si="30"/>
        <v>-1574.0890545988525</v>
      </c>
      <c r="G168" s="31">
        <f t="shared" si="30"/>
        <v>-2271.0660270662615</v>
      </c>
      <c r="H168" s="31">
        <f t="shared" si="30"/>
        <v>-2967.1791616311011</v>
      </c>
      <c r="I168" s="31">
        <f t="shared" si="30"/>
        <v>-3665.6052268755543</v>
      </c>
      <c r="J168" s="31">
        <f t="shared" si="30"/>
        <v>-4360.0062915370791</v>
      </c>
      <c r="K168" s="95"/>
      <c r="L168" s="50"/>
      <c r="M168" s="15"/>
    </row>
    <row r="169" spans="1:13">
      <c r="A169" s="50"/>
      <c r="B169" s="50"/>
      <c r="C169" s="50"/>
      <c r="D169" s="50"/>
      <c r="E169" s="31"/>
      <c r="F169" s="31"/>
      <c r="G169" s="31"/>
      <c r="H169" s="31"/>
      <c r="I169" s="31"/>
      <c r="J169" s="31"/>
      <c r="K169" s="95"/>
      <c r="L169" s="27"/>
      <c r="M169" s="15"/>
    </row>
    <row r="170" spans="1:13" ht="15.75">
      <c r="A170" s="50"/>
      <c r="B170" s="50"/>
      <c r="C170" s="162" t="s">
        <v>196</v>
      </c>
      <c r="D170" s="50"/>
      <c r="E170" s="50"/>
      <c r="F170" s="50"/>
      <c r="G170" s="50"/>
      <c r="H170" s="50"/>
      <c r="I170" s="50"/>
      <c r="J170" s="50"/>
      <c r="K170" s="95"/>
      <c r="L170" s="27"/>
      <c r="M170" s="15"/>
    </row>
    <row r="171" spans="1:13">
      <c r="A171" s="50"/>
      <c r="B171" s="50"/>
      <c r="C171" s="50" t="s">
        <v>106</v>
      </c>
      <c r="D171" s="50"/>
      <c r="E171" s="32">
        <f t="shared" ref="E171:J171" si="31">E143+E165</f>
        <v>130998</v>
      </c>
      <c r="F171" s="32">
        <f t="shared" si="31"/>
        <v>131437.31671638211</v>
      </c>
      <c r="G171" s="32">
        <f t="shared" si="31"/>
        <v>136390.91597441121</v>
      </c>
      <c r="H171" s="32">
        <f t="shared" si="31"/>
        <v>142039.54938920756</v>
      </c>
      <c r="I171" s="32">
        <f t="shared" si="31"/>
        <v>147729.60991086558</v>
      </c>
      <c r="J171" s="32">
        <f t="shared" si="31"/>
        <v>152883.80727537672</v>
      </c>
      <c r="K171" s="95"/>
      <c r="L171" s="50"/>
      <c r="M171" s="15"/>
    </row>
    <row r="172" spans="1:13">
      <c r="A172" s="50"/>
      <c r="B172" s="50"/>
      <c r="C172" s="50" t="s">
        <v>98</v>
      </c>
      <c r="D172" s="50"/>
      <c r="E172" s="32">
        <f t="shared" ref="E172:J172" si="32">E29</f>
        <v>5314</v>
      </c>
      <c r="F172" s="32">
        <f t="shared" si="32"/>
        <v>9617.8194802400612</v>
      </c>
      <c r="G172" s="32">
        <f t="shared" si="32"/>
        <v>9875.5356247567215</v>
      </c>
      <c r="H172" s="32">
        <f t="shared" si="32"/>
        <v>10366.171567149242</v>
      </c>
      <c r="I172" s="32">
        <f t="shared" si="32"/>
        <v>10310.510041897414</v>
      </c>
      <c r="J172" s="32">
        <f t="shared" si="32"/>
        <v>10184.89598193329</v>
      </c>
      <c r="K172" s="95"/>
      <c r="L172" s="50"/>
      <c r="M172" s="15"/>
    </row>
    <row r="173" spans="1:13">
      <c r="A173" s="50"/>
      <c r="B173" s="50"/>
      <c r="C173" s="50" t="s">
        <v>111</v>
      </c>
      <c r="D173" s="50"/>
      <c r="E173" s="96">
        <f t="shared" ref="E173:J173" si="33">E152</f>
        <v>0</v>
      </c>
      <c r="F173" s="96">
        <f t="shared" si="33"/>
        <v>0</v>
      </c>
      <c r="G173" s="96">
        <f t="shared" si="33"/>
        <v>0</v>
      </c>
      <c r="H173" s="96">
        <f t="shared" si="33"/>
        <v>0</v>
      </c>
      <c r="I173" s="96">
        <f t="shared" si="33"/>
        <v>0</v>
      </c>
      <c r="J173" s="96">
        <f t="shared" si="33"/>
        <v>0</v>
      </c>
      <c r="K173" s="95"/>
      <c r="L173" s="50"/>
      <c r="M173" s="15"/>
    </row>
    <row r="174" spans="1:13">
      <c r="A174" s="50"/>
      <c r="B174" s="50"/>
      <c r="C174" s="50" t="s">
        <v>44</v>
      </c>
      <c r="D174" s="50"/>
      <c r="E174" s="96">
        <f t="shared" ref="E174:J174" si="34">E144</f>
        <v>2255.3422853245183</v>
      </c>
      <c r="F174" s="96">
        <f t="shared" si="34"/>
        <v>2617.9336954948803</v>
      </c>
      <c r="G174" s="96">
        <f t="shared" si="34"/>
        <v>3355.056828753392</v>
      </c>
      <c r="H174" s="96">
        <f t="shared" si="34"/>
        <v>3301.0040883508264</v>
      </c>
      <c r="I174" s="96">
        <f t="shared" si="34"/>
        <v>3229.4607030765483</v>
      </c>
      <c r="J174" s="96">
        <f t="shared" si="34"/>
        <v>3128.766377192077</v>
      </c>
      <c r="K174" s="95"/>
      <c r="L174" s="50"/>
      <c r="M174" s="15"/>
    </row>
    <row r="175" spans="1:13">
      <c r="A175" s="50"/>
      <c r="B175" s="50"/>
      <c r="C175" s="50" t="s">
        <v>196</v>
      </c>
      <c r="D175" s="50"/>
      <c r="E175" s="32">
        <f t="shared" ref="E175:J175" si="35">E171*WACC+E172*($D$48-1)+E173-E174</f>
        <v>9460.6665469957115</v>
      </c>
      <c r="F175" s="32">
        <f t="shared" si="35"/>
        <v>9320.843158374686</v>
      </c>
      <c r="G175" s="32">
        <f t="shared" si="35"/>
        <v>9029.1831149892314</v>
      </c>
      <c r="H175" s="32">
        <f t="shared" si="35"/>
        <v>9599.6243819898482</v>
      </c>
      <c r="I175" s="32">
        <f t="shared" si="35"/>
        <v>10167.803290041444</v>
      </c>
      <c r="J175" s="32">
        <f t="shared" si="35"/>
        <v>10715.143378538451</v>
      </c>
      <c r="K175" s="95"/>
      <c r="L175" s="50"/>
      <c r="M175" s="15"/>
    </row>
    <row r="176" spans="1:13">
      <c r="A176" s="50"/>
      <c r="B176" s="50"/>
      <c r="C176" s="50"/>
      <c r="D176" s="50"/>
      <c r="E176" s="31"/>
      <c r="F176" s="31"/>
      <c r="G176" s="31"/>
      <c r="H176" s="31"/>
      <c r="I176" s="31"/>
      <c r="J176" s="31"/>
      <c r="K176" s="95"/>
      <c r="L176" s="27"/>
      <c r="M176" s="15"/>
    </row>
    <row r="177" spans="1:13" ht="15.75">
      <c r="A177" s="50"/>
      <c r="B177" s="50"/>
      <c r="C177" s="162" t="s">
        <v>49</v>
      </c>
      <c r="D177" s="50"/>
      <c r="E177" s="50"/>
      <c r="F177" s="50"/>
      <c r="G177" s="50"/>
      <c r="H177" s="50"/>
      <c r="I177" s="50"/>
      <c r="J177" s="50"/>
      <c r="K177" s="95"/>
      <c r="L177" s="27"/>
      <c r="M177" s="15"/>
    </row>
    <row r="178" spans="1:13">
      <c r="A178" s="50"/>
      <c r="B178" s="50"/>
      <c r="C178" s="50" t="s">
        <v>50</v>
      </c>
      <c r="D178" s="50"/>
      <c r="E178" s="31">
        <f t="shared" ref="E178:J178" si="36">E171*Leverage*Debt+E152</f>
        <v>4570.7822159999996</v>
      </c>
      <c r="F178" s="31">
        <f t="shared" si="36"/>
        <v>4586.110854868004</v>
      </c>
      <c r="G178" s="31">
        <f t="shared" si="36"/>
        <v>4758.9518401791556</v>
      </c>
      <c r="H178" s="31">
        <f t="shared" si="36"/>
        <v>4956.0439572882296</v>
      </c>
      <c r="I178" s="31">
        <f t="shared" si="36"/>
        <v>5154.5815490099212</v>
      </c>
      <c r="J178" s="31">
        <f t="shared" si="36"/>
        <v>5334.4218034524447</v>
      </c>
      <c r="K178" s="95"/>
      <c r="L178" s="50"/>
      <c r="M178" s="15"/>
    </row>
    <row r="179" spans="1:13">
      <c r="A179" s="50"/>
      <c r="B179" s="50"/>
      <c r="C179" s="50" t="s">
        <v>51</v>
      </c>
      <c r="D179" s="50"/>
      <c r="E179" s="31">
        <f t="shared" ref="E179:J179" si="37">E145-E147</f>
        <v>0</v>
      </c>
      <c r="F179" s="31">
        <f t="shared" si="37"/>
        <v>114.00154316051521</v>
      </c>
      <c r="G179" s="31">
        <f t="shared" si="37"/>
        <v>250.16385557437388</v>
      </c>
      <c r="H179" s="31">
        <f t="shared" si="37"/>
        <v>426.72744138838698</v>
      </c>
      <c r="I179" s="31">
        <f t="shared" si="37"/>
        <v>602.71338917068442</v>
      </c>
      <c r="J179" s="31">
        <f t="shared" si="37"/>
        <v>777.18007618586853</v>
      </c>
      <c r="K179" s="95"/>
      <c r="L179" s="50"/>
      <c r="M179" s="15"/>
    </row>
    <row r="180" spans="1:13">
      <c r="A180" s="50"/>
      <c r="B180" s="50"/>
      <c r="C180" s="50" t="s">
        <v>52</v>
      </c>
      <c r="D180" s="50"/>
      <c r="E180" s="31">
        <f t="shared" ref="E180:J180" si="38">E167+E179-E178</f>
        <v>-2655.0303195252118</v>
      </c>
      <c r="F180" s="31">
        <f t="shared" si="38"/>
        <v>-2556.357415232701</v>
      </c>
      <c r="G180" s="31">
        <f t="shared" si="38"/>
        <v>-2593.0360881299939</v>
      </c>
      <c r="H180" s="31">
        <f t="shared" si="38"/>
        <v>-2613.5646194250548</v>
      </c>
      <c r="I180" s="31">
        <f t="shared" si="38"/>
        <v>-2636.116263364449</v>
      </c>
      <c r="J180" s="31">
        <f t="shared" si="38"/>
        <v>-2641.4898307917883</v>
      </c>
      <c r="K180" s="95"/>
      <c r="L180" s="50"/>
      <c r="M180" s="15"/>
    </row>
    <row r="181" spans="1:13">
      <c r="A181" s="50"/>
      <c r="B181" s="50"/>
      <c r="C181" s="50"/>
      <c r="D181" s="50"/>
      <c r="E181" s="50"/>
      <c r="F181" s="167"/>
      <c r="G181" s="32"/>
      <c r="H181" s="32"/>
      <c r="I181" s="32"/>
      <c r="J181" s="32"/>
      <c r="K181" s="95"/>
      <c r="L181" s="50"/>
      <c r="M181" s="15"/>
    </row>
    <row r="182" spans="1:13" ht="15.75">
      <c r="A182" s="50"/>
      <c r="B182" s="50"/>
      <c r="C182" s="162" t="s">
        <v>107</v>
      </c>
      <c r="D182" s="50"/>
      <c r="E182" s="50"/>
      <c r="F182" s="167"/>
      <c r="G182" s="32"/>
      <c r="H182" s="32"/>
      <c r="I182" s="32"/>
      <c r="J182" s="32"/>
      <c r="K182" s="95"/>
      <c r="L182" s="27"/>
      <c r="M182" s="15"/>
    </row>
    <row r="183" spans="1:13">
      <c r="A183" s="50"/>
      <c r="B183" s="50"/>
      <c r="C183" s="50" t="s">
        <v>153</v>
      </c>
      <c r="D183" s="50"/>
      <c r="E183" s="32">
        <f t="shared" ref="E183:J183" si="39">E145</f>
        <v>6303</v>
      </c>
      <c r="F183" s="32">
        <f t="shared" si="39"/>
        <v>6535.0904320494037</v>
      </c>
      <c r="G183" s="32">
        <f t="shared" si="39"/>
        <v>6884.9820662463753</v>
      </c>
      <c r="H183" s="32">
        <f t="shared" si="39"/>
        <v>7281.001999277204</v>
      </c>
      <c r="I183" s="32">
        <f t="shared" si="39"/>
        <v>7687.3473152183742</v>
      </c>
      <c r="J183" s="32">
        <f t="shared" si="39"/>
        <v>8090.9364476090559</v>
      </c>
      <c r="K183" s="95"/>
      <c r="L183" s="50"/>
      <c r="M183" s="15"/>
    </row>
    <row r="184" spans="1:13">
      <c r="A184" s="50"/>
      <c r="B184" s="50"/>
      <c r="C184" s="50" t="s">
        <v>107</v>
      </c>
      <c r="D184" s="50"/>
      <c r="E184" s="96">
        <f t="shared" ref="E184:J184" si="40">E183</f>
        <v>6303</v>
      </c>
      <c r="F184" s="96">
        <f t="shared" si="40"/>
        <v>6535.0904320494037</v>
      </c>
      <c r="G184" s="96">
        <f t="shared" si="40"/>
        <v>6884.9820662463753</v>
      </c>
      <c r="H184" s="96">
        <f t="shared" si="40"/>
        <v>7281.001999277204</v>
      </c>
      <c r="I184" s="96">
        <f t="shared" si="40"/>
        <v>7687.3473152183742</v>
      </c>
      <c r="J184" s="96">
        <f t="shared" si="40"/>
        <v>8090.9364476090559</v>
      </c>
      <c r="K184" s="95"/>
      <c r="L184" s="50"/>
      <c r="M184" s="15"/>
    </row>
    <row r="185" spans="1:13">
      <c r="A185" s="50"/>
      <c r="B185" s="50"/>
      <c r="C185" s="50"/>
      <c r="D185" s="50"/>
      <c r="E185" s="50"/>
      <c r="F185" s="96"/>
      <c r="G185" s="96"/>
      <c r="H185" s="96"/>
      <c r="I185" s="96"/>
      <c r="J185" s="96"/>
      <c r="K185" s="95"/>
      <c r="L185" s="50"/>
      <c r="M185" s="15"/>
    </row>
    <row r="186" spans="1:13" ht="15.75">
      <c r="A186" s="50"/>
      <c r="B186" s="50"/>
      <c r="C186" s="121" t="s">
        <v>122</v>
      </c>
      <c r="D186" s="50"/>
      <c r="E186" s="50"/>
      <c r="F186" s="96"/>
      <c r="G186" s="96"/>
      <c r="H186" s="96"/>
      <c r="I186" s="96"/>
      <c r="J186" s="96"/>
      <c r="K186" s="95"/>
      <c r="L186" s="27"/>
      <c r="M186" s="15"/>
    </row>
    <row r="187" spans="1:13">
      <c r="A187" s="50"/>
      <c r="B187" s="50"/>
      <c r="C187" s="50" t="s">
        <v>122</v>
      </c>
      <c r="D187" s="50"/>
      <c r="E187" s="32">
        <f t="shared" ref="E187:J187" si="41">E43</f>
        <v>304.0805752321744</v>
      </c>
      <c r="F187" s="32">
        <f t="shared" si="41"/>
        <v>317.66302572112289</v>
      </c>
      <c r="G187" s="32">
        <f t="shared" si="41"/>
        <v>322.65249732930812</v>
      </c>
      <c r="H187" s="32">
        <f t="shared" si="41"/>
        <v>328.47354753885747</v>
      </c>
      <c r="I187" s="32">
        <f t="shared" si="41"/>
        <v>334.29459774840689</v>
      </c>
      <c r="J187" s="32">
        <f t="shared" si="41"/>
        <v>342.05599802780603</v>
      </c>
      <c r="K187" s="95"/>
      <c r="L187" s="125"/>
      <c r="M187" s="15"/>
    </row>
    <row r="188" spans="1:13">
      <c r="A188" s="50"/>
      <c r="B188" s="50"/>
      <c r="C188" s="50"/>
      <c r="D188" s="50"/>
      <c r="E188" s="50"/>
      <c r="F188" s="96"/>
      <c r="G188" s="96"/>
      <c r="H188" s="96"/>
      <c r="I188" s="96"/>
      <c r="J188" s="96"/>
      <c r="K188" s="95"/>
      <c r="L188" s="27"/>
      <c r="M188" s="15"/>
    </row>
    <row r="189" spans="1:13" ht="15.75">
      <c r="A189" s="50"/>
      <c r="B189" s="50"/>
      <c r="C189" s="162" t="s">
        <v>179</v>
      </c>
      <c r="D189" s="50"/>
      <c r="E189" s="32">
        <f t="shared" ref="E189:J189" si="42">E28</f>
        <v>4855</v>
      </c>
      <c r="F189" s="32">
        <f t="shared" si="42"/>
        <v>4980.2484336147554</v>
      </c>
      <c r="G189" s="32">
        <f t="shared" si="42"/>
        <v>5153.9882922058459</v>
      </c>
      <c r="H189" s="32">
        <f t="shared" si="42"/>
        <v>5265.8946779284342</v>
      </c>
      <c r="I189" s="32">
        <f t="shared" si="42"/>
        <v>5395.4926016644267</v>
      </c>
      <c r="J189" s="32">
        <f t="shared" si="42"/>
        <v>5533.1658601582785</v>
      </c>
      <c r="K189" s="95"/>
      <c r="L189" s="125"/>
      <c r="M189" s="15"/>
    </row>
    <row r="190" spans="1:13">
      <c r="A190" s="50"/>
      <c r="B190" s="50"/>
      <c r="C190" s="50" t="s">
        <v>180</v>
      </c>
      <c r="D190" s="50"/>
      <c r="E190" s="32">
        <f t="shared" ref="E190:J190" si="43">E189*$D$46</f>
        <v>5062.835142626026</v>
      </c>
      <c r="F190" s="32">
        <f t="shared" si="43"/>
        <v>5193.445270589702</v>
      </c>
      <c r="G190" s="32">
        <f t="shared" si="43"/>
        <v>5374.6226674485797</v>
      </c>
      <c r="H190" s="32">
        <f t="shared" si="43"/>
        <v>5491.3195948060629</v>
      </c>
      <c r="I190" s="32">
        <f t="shared" si="43"/>
        <v>5626.4654079269594</v>
      </c>
      <c r="J190" s="32">
        <f t="shared" si="43"/>
        <v>5770.0322485659935</v>
      </c>
      <c r="K190" s="95"/>
      <c r="L190" s="125"/>
      <c r="M190" s="15"/>
    </row>
    <row r="191" spans="1:13">
      <c r="A191" s="50"/>
      <c r="B191" s="50"/>
      <c r="C191" s="50"/>
      <c r="D191" s="50"/>
      <c r="E191" s="50"/>
      <c r="F191" s="96"/>
      <c r="G191" s="32"/>
      <c r="H191" s="32"/>
      <c r="I191" s="32"/>
      <c r="J191" s="32"/>
      <c r="K191" s="95"/>
      <c r="L191" s="27"/>
      <c r="M191" s="15"/>
    </row>
    <row r="192" spans="1:13" ht="15.75">
      <c r="A192" s="50"/>
      <c r="B192" s="50"/>
      <c r="C192" s="162" t="s">
        <v>229</v>
      </c>
      <c r="D192" s="50"/>
      <c r="E192" s="50"/>
      <c r="F192" s="50"/>
      <c r="G192" s="50"/>
      <c r="H192" s="50"/>
      <c r="I192" s="50"/>
      <c r="J192" s="50"/>
      <c r="K192" s="95"/>
      <c r="L192" s="125"/>
      <c r="M192" s="15"/>
    </row>
    <row r="193" spans="1:15">
      <c r="A193" s="50"/>
      <c r="B193" s="50"/>
      <c r="C193" s="50" t="s">
        <v>169</v>
      </c>
      <c r="D193" s="50"/>
      <c r="E193" s="31">
        <f t="shared" ref="E193:J193" si="44">E168-E165</f>
        <v>-827.02556894243628</v>
      </c>
      <c r="F193" s="31">
        <f t="shared" si="44"/>
        <v>-747.06348565641622</v>
      </c>
      <c r="G193" s="31">
        <f t="shared" si="44"/>
        <v>-696.97697246740904</v>
      </c>
      <c r="H193" s="31">
        <f t="shared" si="44"/>
        <v>-696.11313456483958</v>
      </c>
      <c r="I193" s="31">
        <f t="shared" si="44"/>
        <v>-698.42606524445318</v>
      </c>
      <c r="J193" s="31">
        <f t="shared" si="44"/>
        <v>-694.40106466152474</v>
      </c>
      <c r="K193" s="95"/>
      <c r="L193" s="125"/>
      <c r="M193" s="15"/>
    </row>
    <row r="194" spans="1:15">
      <c r="A194" s="50"/>
      <c r="B194" s="50"/>
      <c r="C194" s="50" t="s">
        <v>170</v>
      </c>
      <c r="D194" s="50"/>
      <c r="E194" s="50"/>
      <c r="F194" s="31">
        <f>(F175+F184+F190+((F187-F189-F145-F152+F180)*F53+F193)*$D47-F193-F187*$D49)/($D50-F53*$D47)</f>
        <v>22696.823012553905</v>
      </c>
      <c r="G194" s="31">
        <f>(G175+G184+G190+((G187-G189-G145-G152+G180)*G53+G193)*$D47-G193-G187*$D49)/($D50-G53*$D47)</f>
        <v>22545.604251492594</v>
      </c>
      <c r="H194" s="31">
        <f>(H175+H184+H190+((H187-H189-H145-H152+H180)*H53+H193)*$D47-H193-H187*$D49)/($D50-H53*$D47)</f>
        <v>23790.437737874454</v>
      </c>
      <c r="I194" s="31">
        <f>(I175+I184+I190+((I187-I189-I145-I152+I180)*I53+I193)*$D47-I193-I187*$D49)/($D50-I53*$D47)</f>
        <v>25058.975170140962</v>
      </c>
      <c r="J194" s="31">
        <f>(J175+J184+J190+((J187-J189-J145-J152+J180)*J53+J193)*$D47-J193-J187*$D49)/($D50-J53*$D47)</f>
        <v>26310.147475759346</v>
      </c>
      <c r="K194" s="95"/>
      <c r="L194" s="125"/>
      <c r="M194" s="15"/>
    </row>
    <row r="195" spans="1:15">
      <c r="A195" s="50"/>
      <c r="B195" s="50"/>
      <c r="C195" s="50" t="s">
        <v>177</v>
      </c>
      <c r="D195" s="50"/>
      <c r="E195" s="50"/>
      <c r="F195" s="31">
        <f>(F194+F187-F189-F183-F152+F180)*F53</f>
        <v>2682.8369272134501</v>
      </c>
      <c r="G195" s="31">
        <f>(G194+G187-G189-G183-G152+G180)*G53</f>
        <v>2306.1500846271128</v>
      </c>
      <c r="H195" s="31">
        <f>(H194+H187-H189-H183-H152+H180)*H53</f>
        <v>2508.3659968591342</v>
      </c>
      <c r="I195" s="31">
        <f>(I194+I187-I189-I183-I152+I180)*I53</f>
        <v>2708.8078045397929</v>
      </c>
      <c r="J195" s="31">
        <f>(J194+J187-J189-J183-J152+J180)*J53</f>
        <v>2908.2511738638482</v>
      </c>
      <c r="K195" s="95"/>
      <c r="L195" s="125"/>
      <c r="M195" s="15"/>
    </row>
    <row r="196" spans="1:15">
      <c r="A196" s="50"/>
      <c r="B196" s="50"/>
      <c r="C196" s="50" t="s">
        <v>162</v>
      </c>
      <c r="D196" s="50"/>
      <c r="E196" s="50"/>
      <c r="F196" s="31">
        <f>IF(F195&lt;0,#N/A,F195)</f>
        <v>2682.8369272134501</v>
      </c>
      <c r="G196" s="31">
        <f>IF(G195&lt;0,#N/A,G195)</f>
        <v>2306.1500846271128</v>
      </c>
      <c r="H196" s="31">
        <f>IF(H195&lt;0,#N/A,H195)</f>
        <v>2508.3659968591342</v>
      </c>
      <c r="I196" s="31">
        <f>IF(I195&lt;0,#N/A,I195)</f>
        <v>2708.8078045397929</v>
      </c>
      <c r="J196" s="31">
        <f>IF(J195&lt;0,#N/A,J195)</f>
        <v>2908.2511738638482</v>
      </c>
      <c r="K196" s="95"/>
      <c r="L196" s="50"/>
      <c r="M196" s="15"/>
    </row>
    <row r="197" spans="1:15">
      <c r="A197" s="50"/>
      <c r="B197" s="50"/>
      <c r="C197" s="50" t="s">
        <v>171</v>
      </c>
      <c r="D197" s="50"/>
      <c r="E197" s="50"/>
      <c r="F197" s="31">
        <f>F175+F184+F190+(F196+F193)*$D$47-F193-F187*$D$49</f>
        <v>23483.821600623509</v>
      </c>
      <c r="G197" s="31">
        <f>G175+G184+G190+(G196+G193)*$D$47-G193-G187*$D$49</f>
        <v>23327.359420631754</v>
      </c>
      <c r="H197" s="31">
        <f>H175+H184+H190+(H196+H193)*$D$47-H193-H187*$D$49</f>
        <v>24615.356754025262</v>
      </c>
      <c r="I197" s="31">
        <f>I175+I184+I190+(I196+I193)*$D$47-I193-I187*$D$49</f>
        <v>25927.879953266951</v>
      </c>
      <c r="J197" s="31">
        <f>J175+J184+J190+(J196+J193)*$D$47-J193-J187*$D$49</f>
        <v>27222.435900613909</v>
      </c>
      <c r="K197" s="95"/>
      <c r="L197" s="27"/>
      <c r="M197" s="15"/>
    </row>
    <row r="198" spans="1:15">
      <c r="A198" s="50"/>
      <c r="B198" s="50"/>
      <c r="C198" s="50" t="s">
        <v>172</v>
      </c>
      <c r="D198" s="50"/>
      <c r="E198" s="50"/>
      <c r="F198" s="31">
        <f>F197/$D$50</f>
        <v>22696.823012553905</v>
      </c>
      <c r="G198" s="31">
        <f>G197/$D$50</f>
        <v>22545.60425149259</v>
      </c>
      <c r="H198" s="31">
        <f>H197/$D$50</f>
        <v>23790.437737874454</v>
      </c>
      <c r="I198" s="31">
        <f>I197/$D$50</f>
        <v>25058.975170140959</v>
      </c>
      <c r="J198" s="31">
        <f>J197/$D$50</f>
        <v>26310.147475759346</v>
      </c>
      <c r="K198" s="95"/>
      <c r="L198" s="50"/>
      <c r="M198" s="15"/>
    </row>
    <row r="199" spans="1:15">
      <c r="A199" s="50"/>
      <c r="B199" s="50"/>
      <c r="C199" s="50" t="s">
        <v>173</v>
      </c>
      <c r="D199" s="50"/>
      <c r="E199" s="50"/>
      <c r="F199" s="31">
        <f>F194-F198</f>
        <v>0</v>
      </c>
      <c r="G199" s="31">
        <f>G194-G198</f>
        <v>0</v>
      </c>
      <c r="H199" s="31">
        <f>H194-H198</f>
        <v>0</v>
      </c>
      <c r="I199" s="31">
        <f>I194-I198</f>
        <v>0</v>
      </c>
      <c r="J199" s="31">
        <f>J194-J198</f>
        <v>0</v>
      </c>
      <c r="K199" s="95"/>
      <c r="L199" s="27"/>
      <c r="M199" s="15"/>
    </row>
    <row r="200" spans="1:15">
      <c r="A200" s="50"/>
      <c r="B200" s="50"/>
      <c r="C200" s="50"/>
      <c r="D200" s="50"/>
      <c r="E200" s="50"/>
      <c r="F200" s="50"/>
      <c r="G200" s="50"/>
      <c r="H200" s="50"/>
      <c r="I200" s="50"/>
      <c r="J200" s="50"/>
      <c r="K200" s="50"/>
      <c r="L200" s="50"/>
      <c r="M200" s="15"/>
    </row>
    <row r="201" spans="1:15" ht="15.75">
      <c r="A201" s="50"/>
      <c r="B201" s="50"/>
      <c r="C201" s="162" t="s">
        <v>174</v>
      </c>
      <c r="D201" s="50"/>
      <c r="E201" s="50"/>
      <c r="F201" s="31"/>
      <c r="G201" s="31"/>
      <c r="H201" s="31"/>
      <c r="I201" s="31"/>
      <c r="J201" s="50"/>
      <c r="K201" s="95"/>
      <c r="L201" s="27"/>
      <c r="M201" s="15"/>
    </row>
    <row r="202" spans="1:15">
      <c r="A202" s="50"/>
      <c r="B202" s="50"/>
      <c r="C202" s="95" t="s">
        <v>103</v>
      </c>
      <c r="D202" s="50"/>
      <c r="E202" s="50"/>
      <c r="F202" s="31"/>
      <c r="G202" s="31"/>
      <c r="H202" s="31"/>
      <c r="I202" s="31"/>
      <c r="J202" s="50"/>
      <c r="K202" s="95"/>
      <c r="L202" s="50"/>
      <c r="M202" s="15"/>
      <c r="O202" s="8"/>
    </row>
    <row r="203" spans="1:15">
      <c r="A203" s="50"/>
      <c r="B203" s="50"/>
      <c r="C203" s="50" t="s">
        <v>175</v>
      </c>
      <c r="D203" s="50"/>
      <c r="E203" s="50"/>
      <c r="F203" s="50"/>
      <c r="G203" s="50"/>
      <c r="H203" s="31">
        <v>1</v>
      </c>
      <c r="I203" s="31">
        <v>2</v>
      </c>
      <c r="J203" s="31">
        <v>3</v>
      </c>
      <c r="K203" s="95"/>
      <c r="L203" s="27"/>
      <c r="M203" s="15"/>
    </row>
    <row r="204" spans="1:15">
      <c r="A204" s="50"/>
      <c r="B204" s="50" t="s">
        <v>135</v>
      </c>
      <c r="C204" s="50" t="s">
        <v>136</v>
      </c>
      <c r="D204" s="50"/>
      <c r="E204" s="50"/>
      <c r="F204" s="31"/>
      <c r="G204" s="31"/>
      <c r="H204" s="31">
        <f>H197</f>
        <v>24615.356754025262</v>
      </c>
      <c r="I204" s="31">
        <f>I197</f>
        <v>25927.879953266951</v>
      </c>
      <c r="J204" s="31">
        <f>J197</f>
        <v>27222.435900613909</v>
      </c>
      <c r="K204" s="95"/>
      <c r="L204" s="50"/>
      <c r="M204" s="15"/>
    </row>
    <row r="205" spans="1:15">
      <c r="A205" s="50"/>
      <c r="B205" s="50" t="s">
        <v>135</v>
      </c>
      <c r="C205" s="50" t="s">
        <v>137</v>
      </c>
      <c r="D205" s="50"/>
      <c r="E205" s="50"/>
      <c r="F205" s="31"/>
      <c r="G205" s="31"/>
      <c r="H205" s="31">
        <f>H204/(1+WACC)^H$203</f>
        <v>22630.64884988992</v>
      </c>
      <c r="I205" s="31">
        <f>I204/(1+WACC)^I$203</f>
        <v>21915.367116993108</v>
      </c>
      <c r="J205" s="31">
        <f>J204/(1+WACC)^J$203</f>
        <v>21154.345750764252</v>
      </c>
      <c r="K205" s="95"/>
      <c r="L205" s="50"/>
      <c r="M205" s="15"/>
    </row>
    <row r="206" spans="1:15">
      <c r="A206" s="50"/>
      <c r="B206" s="50" t="s">
        <v>135</v>
      </c>
      <c r="C206" s="50" t="s">
        <v>101</v>
      </c>
      <c r="D206" s="31">
        <f>SUM(H205:J205)</f>
        <v>65700.361717647291</v>
      </c>
      <c r="E206" s="50"/>
      <c r="F206" s="31"/>
      <c r="G206" s="31"/>
      <c r="H206" s="31"/>
      <c r="I206" s="31"/>
      <c r="J206" s="31"/>
      <c r="K206" s="95"/>
      <c r="L206" s="50"/>
      <c r="M206" s="15"/>
    </row>
    <row r="207" spans="1:15">
      <c r="A207" s="50"/>
      <c r="B207" s="50"/>
      <c r="C207" s="50"/>
      <c r="D207" s="50"/>
      <c r="E207" s="50"/>
      <c r="F207" s="123"/>
      <c r="G207" s="50"/>
      <c r="H207" s="50"/>
      <c r="I207" s="50"/>
      <c r="J207" s="50"/>
      <c r="K207" s="95"/>
      <c r="L207" s="50"/>
      <c r="M207" s="15"/>
    </row>
    <row r="208" spans="1:15" ht="21">
      <c r="A208" s="50"/>
      <c r="B208" s="50"/>
      <c r="C208" s="155" t="s">
        <v>104</v>
      </c>
      <c r="D208" s="50"/>
      <c r="E208" s="50"/>
      <c r="F208" s="123"/>
      <c r="G208" s="50"/>
      <c r="H208" s="50"/>
      <c r="I208" s="50"/>
      <c r="J208" s="50"/>
      <c r="K208" s="95"/>
      <c r="L208" s="50"/>
      <c r="M208" s="15"/>
    </row>
    <row r="209" spans="1:13" ht="15.75">
      <c r="A209" s="50"/>
      <c r="B209" s="50"/>
      <c r="C209" s="50"/>
      <c r="D209" s="50"/>
      <c r="E209" s="162" t="str">
        <f>Inputs!D$11</f>
        <v>2009/10</v>
      </c>
      <c r="F209" s="168" t="str">
        <f>Inputs!E$11</f>
        <v>2010/11</v>
      </c>
      <c r="G209" s="162" t="str">
        <f>Inputs!F$11</f>
        <v>2011/12</v>
      </c>
      <c r="H209" s="162" t="str">
        <f>Inputs!G$11</f>
        <v>2012/13</v>
      </c>
      <c r="I209" s="162" t="str">
        <f>Inputs!H$11</f>
        <v>2013/14</v>
      </c>
      <c r="J209" s="162" t="str">
        <f>Inputs!I$11</f>
        <v>2014/15</v>
      </c>
      <c r="K209" s="95"/>
      <c r="L209" s="50"/>
      <c r="M209" s="15"/>
    </row>
    <row r="210" spans="1:13">
      <c r="A210" s="50"/>
      <c r="B210" s="50"/>
      <c r="C210" s="50" t="s">
        <v>53</v>
      </c>
      <c r="D210" s="32">
        <f>D206</f>
        <v>65700.361717647291</v>
      </c>
      <c r="E210" s="50"/>
      <c r="F210" s="169"/>
      <c r="G210" s="32"/>
      <c r="H210" s="32"/>
      <c r="I210" s="32"/>
      <c r="J210" s="32"/>
      <c r="K210" s="95"/>
      <c r="L210" s="50"/>
      <c r="M210" s="15"/>
    </row>
    <row r="211" spans="1:13">
      <c r="A211" s="50"/>
      <c r="B211" s="50"/>
      <c r="C211" s="50" t="s">
        <v>143</v>
      </c>
      <c r="D211" s="50"/>
      <c r="E211" s="50"/>
      <c r="F211" s="113"/>
      <c r="G211" s="113"/>
      <c r="H211" s="170">
        <v>1</v>
      </c>
      <c r="I211" s="113">
        <f>H211*(1+I$35)*(1+I$30)*(1-X_industry_wide)</f>
        <v>1.0268354545536402</v>
      </c>
      <c r="J211" s="113">
        <f>I211*(1+J$35)*(1+J$30)*(1-X_industry_wide)</f>
        <v>1.0527479416818806</v>
      </c>
      <c r="K211" s="95"/>
      <c r="L211" s="50" t="s">
        <v>290</v>
      </c>
    </row>
    <row r="212" spans="1:13">
      <c r="A212" s="50"/>
      <c r="B212" s="50"/>
      <c r="C212" s="50" t="s">
        <v>102</v>
      </c>
      <c r="D212" s="50"/>
      <c r="E212" s="50"/>
      <c r="F212" s="171"/>
      <c r="G212" s="113"/>
      <c r="H212" s="113">
        <f>H211/(1+WACC)^H$203</f>
        <v>0.91937115013330895</v>
      </c>
      <c r="I212" s="113">
        <f>I211/(1+WACC)^I$203</f>
        <v>0.86792580017526844</v>
      </c>
      <c r="J212" s="113">
        <f>J211/(1+WACC)^J$203</f>
        <v>0.81808233576340883</v>
      </c>
      <c r="K212" s="95"/>
      <c r="L212" s="50" t="s">
        <v>165</v>
      </c>
    </row>
    <row r="213" spans="1:13">
      <c r="A213" s="50"/>
      <c r="B213" s="50"/>
      <c r="C213" s="50" t="s">
        <v>91</v>
      </c>
      <c r="D213" s="113">
        <f>SUM(H212:J212)</f>
        <v>2.6053792860719862</v>
      </c>
      <c r="E213" s="50"/>
      <c r="F213" s="171"/>
      <c r="G213" s="113"/>
      <c r="H213" s="113"/>
      <c r="I213" s="113"/>
      <c r="J213" s="113"/>
      <c r="K213" s="95"/>
      <c r="L213" s="50" t="s">
        <v>279</v>
      </c>
    </row>
    <row r="214" spans="1:13">
      <c r="A214" s="50"/>
      <c r="B214" s="50"/>
      <c r="C214" s="50" t="s">
        <v>142</v>
      </c>
      <c r="D214" s="32">
        <f>D210/D213</f>
        <v>25217.19661658199</v>
      </c>
      <c r="E214" s="50"/>
      <c r="F214" s="171"/>
      <c r="G214" s="113"/>
      <c r="H214" s="31"/>
      <c r="I214" s="31"/>
      <c r="J214" s="31"/>
      <c r="K214" s="95"/>
      <c r="L214" s="31"/>
    </row>
    <row r="215" spans="1:13">
      <c r="A215" s="50"/>
      <c r="B215" s="50"/>
      <c r="C215" s="50" t="s">
        <v>138</v>
      </c>
      <c r="D215" s="32"/>
      <c r="E215" s="50"/>
      <c r="F215" s="171"/>
      <c r="G215" s="113"/>
      <c r="H215" s="31">
        <f>$D214*H211</f>
        <v>25217.19661658199</v>
      </c>
      <c r="I215" s="31">
        <f>$D214*I211</f>
        <v>25893.911550356486</v>
      </c>
      <c r="J215" s="31">
        <f>$D214*J211</f>
        <v>26547.351833093973</v>
      </c>
      <c r="K215" s="95"/>
      <c r="L215" s="50" t="s">
        <v>131</v>
      </c>
    </row>
    <row r="216" spans="1:13">
      <c r="A216" s="50"/>
      <c r="B216" s="50"/>
      <c r="C216" s="50" t="s">
        <v>139</v>
      </c>
      <c r="D216" s="32"/>
      <c r="E216" s="50"/>
      <c r="F216" s="171"/>
      <c r="G216" s="113"/>
      <c r="H216" s="54">
        <f>H215/$D$50</f>
        <v>24372.108518493362</v>
      </c>
      <c r="I216" s="54">
        <f>I215/$D$50</f>
        <v>25026.145129017776</v>
      </c>
      <c r="J216" s="54">
        <f>J215/$D$50</f>
        <v>25657.687077291313</v>
      </c>
      <c r="K216" s="95"/>
      <c r="L216" s="50" t="s">
        <v>133</v>
      </c>
    </row>
    <row r="217" spans="1:13">
      <c r="A217" s="50"/>
      <c r="B217" s="50"/>
      <c r="C217" s="50" t="s">
        <v>140</v>
      </c>
      <c r="D217" s="50"/>
      <c r="E217" s="50"/>
      <c r="F217" s="171"/>
      <c r="G217" s="113"/>
      <c r="H217" s="31">
        <f>H215/(1+WACC)^H$203</f>
        <v>23183.963056524772</v>
      </c>
      <c r="I217" s="31">
        <f>I215/(1+WACC)^I$203</f>
        <v>21886.655551623993</v>
      </c>
      <c r="J217" s="31">
        <f>J215/(1+WACC)^J$203</f>
        <v>20629.743109498522</v>
      </c>
      <c r="K217" s="95"/>
      <c r="L217" s="50" t="s">
        <v>181</v>
      </c>
    </row>
    <row r="218" spans="1:13">
      <c r="A218" s="50"/>
      <c r="B218" s="50"/>
      <c r="C218" s="50" t="s">
        <v>141</v>
      </c>
      <c r="D218" s="32">
        <f>SUM(H217:J217)</f>
        <v>65700.361717647291</v>
      </c>
      <c r="E218" s="50"/>
      <c r="F218" s="171"/>
      <c r="G218" s="113"/>
      <c r="H218" s="31"/>
      <c r="I218" s="31"/>
      <c r="J218" s="31"/>
      <c r="K218" s="95"/>
      <c r="L218" s="50" t="s">
        <v>134</v>
      </c>
      <c r="M218" s="15"/>
    </row>
    <row r="219" spans="1:13">
      <c r="A219" s="50"/>
      <c r="B219" s="50"/>
      <c r="C219" s="50" t="s">
        <v>132</v>
      </c>
      <c r="D219" s="172">
        <f>D210-D218</f>
        <v>0</v>
      </c>
      <c r="E219" s="50"/>
      <c r="F219" s="171"/>
      <c r="G219" s="113"/>
      <c r="H219" s="31"/>
      <c r="I219" s="31"/>
      <c r="J219" s="31"/>
      <c r="K219" s="95"/>
      <c r="L219" s="50"/>
      <c r="M219" s="15"/>
    </row>
    <row r="220" spans="1:13">
      <c r="A220" s="50"/>
      <c r="B220" s="50"/>
      <c r="C220" s="50" t="s">
        <v>202</v>
      </c>
      <c r="D220" s="32">
        <f>SUM(I217:J217)</f>
        <v>42516.398661122512</v>
      </c>
      <c r="E220" s="50"/>
      <c r="F220" s="171"/>
      <c r="G220" s="113"/>
      <c r="H220" s="31"/>
      <c r="I220" s="31"/>
      <c r="J220" s="31"/>
      <c r="K220" s="95"/>
      <c r="L220" s="27"/>
      <c r="M220" s="15"/>
    </row>
    <row r="221" spans="1:13">
      <c r="A221" s="50"/>
      <c r="B221" s="50"/>
      <c r="C221" s="50"/>
      <c r="D221" s="31"/>
      <c r="E221" s="50"/>
      <c r="F221" s="123"/>
      <c r="G221" s="50"/>
      <c r="H221" s="50"/>
      <c r="I221" s="50"/>
      <c r="J221" s="50"/>
      <c r="K221" s="95"/>
      <c r="L221" s="50"/>
      <c r="M221" s="15"/>
    </row>
    <row r="222" spans="1:13" ht="21">
      <c r="A222" s="50"/>
      <c r="B222" s="50"/>
      <c r="C222" s="155" t="s">
        <v>113</v>
      </c>
      <c r="D222" s="155"/>
      <c r="E222" s="155"/>
      <c r="F222" s="155"/>
      <c r="G222" s="155"/>
      <c r="H222" s="50"/>
      <c r="I222" s="50"/>
      <c r="J222" s="50"/>
      <c r="K222" s="173"/>
      <c r="L222" s="174"/>
      <c r="M222" s="53"/>
    </row>
    <row r="223" spans="1:13" ht="15.75">
      <c r="A223" s="50"/>
      <c r="B223" s="50"/>
      <c r="C223" s="50"/>
      <c r="D223" s="50"/>
      <c r="E223" s="162" t="str">
        <f>Inputs!D$11</f>
        <v>2009/10</v>
      </c>
      <c r="F223" s="168" t="str">
        <f>Inputs!E$11</f>
        <v>2010/11</v>
      </c>
      <c r="G223" s="162" t="str">
        <f>Inputs!F$11</f>
        <v>2011/12</v>
      </c>
      <c r="H223" s="162" t="str">
        <f>Inputs!G$11</f>
        <v>2012/13</v>
      </c>
      <c r="I223" s="162" t="str">
        <f>Inputs!H$11</f>
        <v>2013/14</v>
      </c>
      <c r="J223" s="162" t="str">
        <f>Inputs!I$11</f>
        <v>2014/15</v>
      </c>
      <c r="K223" s="95"/>
      <c r="L223" s="50"/>
      <c r="M223" s="15"/>
    </row>
    <row r="224" spans="1:13" ht="15.75">
      <c r="A224" s="50"/>
      <c r="B224" s="50"/>
      <c r="C224" s="175" t="s">
        <v>318</v>
      </c>
      <c r="D224" s="50"/>
      <c r="E224" s="162"/>
      <c r="F224" s="95"/>
      <c r="G224" s="95"/>
      <c r="H224" s="95"/>
      <c r="I224" s="95"/>
      <c r="J224" s="95"/>
      <c r="K224" s="95"/>
      <c r="L224" s="50"/>
      <c r="M224" s="15"/>
    </row>
    <row r="225" spans="1:13" ht="15.75">
      <c r="A225" s="50"/>
      <c r="B225" s="50"/>
      <c r="C225" s="175" t="s">
        <v>204</v>
      </c>
      <c r="D225" s="50"/>
      <c r="E225" s="162"/>
      <c r="F225" s="95"/>
      <c r="G225" s="95"/>
      <c r="H225" s="95"/>
      <c r="I225" s="95"/>
      <c r="J225" s="95"/>
      <c r="K225" s="95"/>
      <c r="L225" s="50"/>
      <c r="M225" s="15"/>
    </row>
    <row r="226" spans="1:13">
      <c r="A226" s="50"/>
      <c r="B226" s="50" t="s">
        <v>150</v>
      </c>
      <c r="C226" s="50" t="s">
        <v>203</v>
      </c>
      <c r="D226" s="32">
        <f>D220</f>
        <v>42516.398661122512</v>
      </c>
      <c r="E226" s="50"/>
      <c r="F226" s="169"/>
      <c r="G226" s="32"/>
      <c r="H226" s="32"/>
      <c r="I226" s="32"/>
      <c r="J226" s="32"/>
      <c r="K226" s="95"/>
      <c r="L226" s="50"/>
      <c r="M226" s="15"/>
    </row>
    <row r="227" spans="1:13">
      <c r="A227" s="32"/>
      <c r="B227" s="50" t="s">
        <v>150</v>
      </c>
      <c r="C227" s="50" t="s">
        <v>319</v>
      </c>
      <c r="D227" s="49">
        <f>IF(E26="IWX",X_industry_wide,E26)</f>
        <v>0</v>
      </c>
      <c r="E227" s="32"/>
      <c r="F227" s="49"/>
      <c r="G227" s="49"/>
      <c r="H227" s="49"/>
      <c r="I227" s="49"/>
      <c r="J227" s="49"/>
      <c r="K227" s="95"/>
      <c r="L227" s="50"/>
      <c r="M227" s="15"/>
    </row>
    <row r="228" spans="1:13">
      <c r="A228" s="50"/>
      <c r="B228" s="50" t="s">
        <v>150</v>
      </c>
      <c r="C228" s="50" t="s">
        <v>143</v>
      </c>
      <c r="D228" s="50"/>
      <c r="E228" s="50"/>
      <c r="F228" s="171"/>
      <c r="G228" s="113"/>
      <c r="H228" s="113"/>
      <c r="I228" s="113">
        <v>1</v>
      </c>
      <c r="J228" s="113">
        <f>I228*(1+J$35)*(1+J$30)*(1-D227)</f>
        <v>1.0252352867378391</v>
      </c>
      <c r="K228" s="95"/>
      <c r="L228" s="50" t="s">
        <v>278</v>
      </c>
    </row>
    <row r="229" spans="1:13">
      <c r="A229" s="50"/>
      <c r="B229" s="50" t="s">
        <v>150</v>
      </c>
      <c r="C229" s="50" t="s">
        <v>102</v>
      </c>
      <c r="D229" s="50"/>
      <c r="E229" s="50"/>
      <c r="F229" s="171"/>
      <c r="G229" s="113"/>
      <c r="H229" s="113"/>
      <c r="I229" s="113">
        <f>I228/(1+WACC)^I$203</f>
        <v>0.84524331169744327</v>
      </c>
      <c r="J229" s="113">
        <f>J228/(1+WACC)^J$203</f>
        <v>0.79670246302415104</v>
      </c>
      <c r="K229" s="95"/>
      <c r="L229" s="50" t="s">
        <v>165</v>
      </c>
    </row>
    <row r="230" spans="1:13">
      <c r="A230" s="50"/>
      <c r="B230" s="50" t="s">
        <v>150</v>
      </c>
      <c r="C230" s="50" t="s">
        <v>91</v>
      </c>
      <c r="D230" s="113">
        <f>SUM(I229:J229)</f>
        <v>1.6419457747215942</v>
      </c>
      <c r="E230" s="50"/>
      <c r="F230" s="171"/>
      <c r="G230" s="113"/>
      <c r="H230" s="113"/>
      <c r="I230" s="113"/>
      <c r="J230" s="113"/>
      <c r="K230" s="95"/>
      <c r="L230" s="50" t="s">
        <v>279</v>
      </c>
    </row>
    <row r="231" spans="1:13">
      <c r="A231" s="50"/>
      <c r="B231" s="50" t="s">
        <v>150</v>
      </c>
      <c r="C231" s="50" t="s">
        <v>142</v>
      </c>
      <c r="D231" s="32">
        <f>D226/D230</f>
        <v>25893.911550356483</v>
      </c>
      <c r="E231" s="50"/>
      <c r="F231" s="171"/>
      <c r="G231" s="113"/>
      <c r="H231" s="31"/>
      <c r="I231" s="31"/>
      <c r="J231" s="31"/>
      <c r="K231" s="95"/>
      <c r="L231" s="50"/>
    </row>
    <row r="232" spans="1:13">
      <c r="A232" s="50"/>
      <c r="B232" s="50" t="s">
        <v>150</v>
      </c>
      <c r="C232" s="50" t="s">
        <v>138</v>
      </c>
      <c r="D232" s="32"/>
      <c r="E232" s="50"/>
      <c r="F232" s="171"/>
      <c r="G232" s="113"/>
      <c r="H232" s="31">
        <f>H215</f>
        <v>25217.19661658199</v>
      </c>
      <c r="I232" s="31">
        <f>$D231*I228</f>
        <v>25893.911550356483</v>
      </c>
      <c r="J232" s="31">
        <f>$D231*J228</f>
        <v>26547.351833093973</v>
      </c>
      <c r="K232" s="95"/>
      <c r="L232" s="50" t="s">
        <v>131</v>
      </c>
    </row>
    <row r="233" spans="1:13">
      <c r="A233" s="50"/>
      <c r="B233" s="50" t="s">
        <v>150</v>
      </c>
      <c r="C233" s="50" t="s">
        <v>139</v>
      </c>
      <c r="D233" s="32"/>
      <c r="E233" s="50"/>
      <c r="F233" s="171"/>
      <c r="G233" s="113"/>
      <c r="H233" s="54">
        <f>H232/$D$50</f>
        <v>24372.108518493362</v>
      </c>
      <c r="I233" s="54">
        <f>I232/$D$50</f>
        <v>25026.145129017772</v>
      </c>
      <c r="J233" s="54">
        <f>J232/$D$50</f>
        <v>25657.687077291313</v>
      </c>
      <c r="K233" s="95"/>
      <c r="L233" s="50" t="s">
        <v>133</v>
      </c>
    </row>
    <row r="234" spans="1:13">
      <c r="A234" s="50"/>
      <c r="B234" s="50" t="s">
        <v>150</v>
      </c>
      <c r="C234" s="50" t="s">
        <v>209</v>
      </c>
      <c r="D234" s="50"/>
      <c r="E234" s="50"/>
      <c r="F234" s="171"/>
      <c r="G234" s="113"/>
      <c r="H234" s="31"/>
      <c r="I234" s="31">
        <f>I232/(1+WACC)^I$203</f>
        <v>21886.65555162399</v>
      </c>
      <c r="J234" s="31">
        <f>J232/(1+WACC)^J$203</f>
        <v>20629.743109498522</v>
      </c>
      <c r="K234" s="95"/>
      <c r="L234" s="50" t="s">
        <v>181</v>
      </c>
    </row>
    <row r="235" spans="1:13">
      <c r="A235" s="50"/>
      <c r="B235" s="50" t="s">
        <v>150</v>
      </c>
      <c r="C235" s="50" t="s">
        <v>390</v>
      </c>
      <c r="D235" s="32">
        <f>SUM(I234:J234)</f>
        <v>42516.398661122512</v>
      </c>
      <c r="E235" s="50"/>
      <c r="F235" s="50"/>
      <c r="G235" s="113"/>
      <c r="H235" s="31"/>
      <c r="I235" s="31"/>
      <c r="J235" s="31"/>
      <c r="K235" s="95"/>
      <c r="L235" s="50" t="s">
        <v>134</v>
      </c>
    </row>
    <row r="236" spans="1:13">
      <c r="A236" s="50"/>
      <c r="B236" s="50" t="s">
        <v>150</v>
      </c>
      <c r="C236" s="50" t="s">
        <v>132</v>
      </c>
      <c r="D236" s="172">
        <f>D226-D235</f>
        <v>0</v>
      </c>
      <c r="E236" s="50"/>
      <c r="F236" s="171"/>
      <c r="G236" s="113"/>
      <c r="H236" s="31"/>
      <c r="I236" s="31"/>
      <c r="J236" s="31"/>
      <c r="K236" s="95"/>
      <c r="L236" s="50"/>
      <c r="M236" s="15"/>
    </row>
    <row r="237" spans="1:13">
      <c r="A237" s="50"/>
      <c r="B237" s="119" t="s">
        <v>150</v>
      </c>
      <c r="C237" s="119" t="s">
        <v>190</v>
      </c>
      <c r="D237" s="119"/>
      <c r="E237" s="50"/>
      <c r="F237" s="176"/>
      <c r="G237" s="177"/>
      <c r="H237" s="178">
        <f>(H233+H187-H$189-H$183-H152+H$180)*H$53</f>
        <v>2671.2338154324284</v>
      </c>
      <c r="I237" s="178">
        <f>(I233+I187-I$189-I$183-I152+I$180)*I$53</f>
        <v>2699.6153930252995</v>
      </c>
      <c r="J237" s="178">
        <f>(J233+J187-J$189-J$183-J152+J$180)*J$53</f>
        <v>2725.562262292799</v>
      </c>
      <c r="K237" s="54"/>
      <c r="L237" s="50"/>
      <c r="M237" s="15"/>
    </row>
    <row r="238" spans="1:13">
      <c r="A238" s="50"/>
      <c r="B238" s="119"/>
      <c r="C238" s="119"/>
      <c r="D238" s="119"/>
      <c r="E238" s="178"/>
      <c r="F238" s="176"/>
      <c r="G238" s="177"/>
      <c r="H238" s="178"/>
      <c r="I238" s="178"/>
      <c r="J238" s="178"/>
      <c r="K238" s="95"/>
      <c r="L238" s="50"/>
      <c r="M238" s="15"/>
    </row>
    <row r="239" spans="1:13" ht="21">
      <c r="A239" s="50"/>
      <c r="B239" s="50"/>
      <c r="C239" s="155" t="s">
        <v>199</v>
      </c>
      <c r="D239" s="155"/>
      <c r="E239" s="155"/>
      <c r="F239" s="155"/>
      <c r="G239" s="155"/>
      <c r="H239" s="155"/>
      <c r="I239" s="155"/>
      <c r="J239" s="50"/>
      <c r="K239" s="50"/>
      <c r="L239" s="50"/>
      <c r="M239" s="15"/>
    </row>
    <row r="240" spans="1:13">
      <c r="A240" s="50"/>
      <c r="B240" s="50"/>
      <c r="C240" s="50" t="s">
        <v>197</v>
      </c>
      <c r="D240" s="179"/>
      <c r="E240" s="50"/>
      <c r="F240" s="31">
        <f>G240/((1+G35)*(1+G30)*(1-X_industry_wide))</f>
        <v>23337.49882497856</v>
      </c>
      <c r="G240" s="31">
        <f>H240/((1+H35)*(1+H30)*(1-X_industry_wide))</f>
        <v>23805.348818148264</v>
      </c>
      <c r="H240" s="31">
        <f>H233</f>
        <v>24372.108518493362</v>
      </c>
      <c r="I240" s="50"/>
      <c r="J240" s="50"/>
      <c r="K240" s="50"/>
      <c r="L240" s="50"/>
      <c r="M240" s="15"/>
    </row>
    <row r="241" spans="1:13">
      <c r="A241" s="50"/>
      <c r="B241" s="50"/>
      <c r="C241" s="50"/>
      <c r="D241" s="179"/>
      <c r="E241" s="50"/>
      <c r="F241" s="31"/>
      <c r="G241" s="31"/>
      <c r="H241" s="31"/>
      <c r="I241" s="50"/>
      <c r="J241" s="50"/>
      <c r="K241" s="50"/>
      <c r="L241" s="50"/>
      <c r="M241" s="15"/>
    </row>
    <row r="242" spans="1:13" ht="21">
      <c r="A242" s="50"/>
      <c r="B242" s="50"/>
      <c r="C242" s="155" t="s">
        <v>198</v>
      </c>
      <c r="D242" s="179"/>
      <c r="E242" s="50"/>
      <c r="F242" s="123"/>
      <c r="G242" s="50"/>
      <c r="H242" s="50"/>
      <c r="I242" s="50"/>
      <c r="J242" s="50"/>
      <c r="K242" s="50"/>
      <c r="L242" s="27"/>
      <c r="M242" s="15"/>
    </row>
    <row r="243" spans="1:13">
      <c r="A243" s="50"/>
      <c r="B243" s="50"/>
      <c r="C243" s="180" t="s">
        <v>212</v>
      </c>
      <c r="D243" s="179"/>
      <c r="E243" s="181">
        <f>(1+H30)*(1+I30)</f>
        <v>1.0060175359142933</v>
      </c>
      <c r="F243" s="123"/>
      <c r="G243" s="50"/>
      <c r="H243" s="50"/>
      <c r="I243" s="50"/>
      <c r="J243" s="50"/>
      <c r="K243" s="50"/>
      <c r="L243" s="27"/>
      <c r="M243" s="15"/>
    </row>
    <row r="244" spans="1:13">
      <c r="A244" s="50"/>
      <c r="B244" s="50"/>
      <c r="C244" s="50"/>
      <c r="D244" s="127"/>
      <c r="E244" s="50"/>
      <c r="F244" s="123"/>
      <c r="G244" s="50"/>
      <c r="H244" s="50"/>
      <c r="I244" s="50"/>
      <c r="J244" s="50"/>
      <c r="K244" s="50"/>
      <c r="L244" s="27"/>
    </row>
    <row r="245" spans="1:13" ht="21">
      <c r="A245" s="50"/>
      <c r="B245" s="50"/>
      <c r="C245" s="155" t="s">
        <v>315</v>
      </c>
      <c r="D245" s="162" t="s">
        <v>342</v>
      </c>
      <c r="E245" s="50"/>
      <c r="F245" s="123"/>
      <c r="G245" s="50"/>
      <c r="H245" s="50"/>
      <c r="I245" s="50"/>
      <c r="J245" s="50"/>
      <c r="K245" s="50"/>
      <c r="L245" s="27"/>
    </row>
    <row r="246" spans="1:13">
      <c r="A246" s="50"/>
      <c r="B246" s="50"/>
      <c r="C246" s="50"/>
      <c r="D246" s="50"/>
      <c r="E246" s="99" t="str">
        <f>Inputs!D$11</f>
        <v>2009/10</v>
      </c>
      <c r="F246" s="99" t="str">
        <f>Inputs!E$11</f>
        <v>2010/11</v>
      </c>
      <c r="G246" s="99" t="str">
        <f>Inputs!F$11</f>
        <v>2011/12</v>
      </c>
      <c r="H246" s="99" t="str">
        <f>Inputs!G$11</f>
        <v>2012/13</v>
      </c>
      <c r="I246" s="99" t="str">
        <f>Inputs!H$11</f>
        <v>2013/14</v>
      </c>
      <c r="J246" s="99" t="str">
        <f>Inputs!I$11</f>
        <v>2014/15</v>
      </c>
      <c r="K246" s="50"/>
      <c r="L246" s="27"/>
    </row>
    <row r="247" spans="1:13">
      <c r="A247" s="50"/>
      <c r="B247" s="50"/>
      <c r="C247" s="122" t="str">
        <f>C35</f>
        <v>2009 ΔCPI, 8 index, lagged, no GST adjustment</v>
      </c>
      <c r="D247" s="50"/>
      <c r="E247" s="50"/>
      <c r="F247" s="50"/>
      <c r="G247" s="50"/>
      <c r="H247" s="50"/>
      <c r="I247" s="100">
        <f>I35</f>
        <v>2.3759818812291389E-2</v>
      </c>
      <c r="J247" s="100">
        <f>J35</f>
        <v>2.2164443909808984E-2</v>
      </c>
      <c r="K247" s="50"/>
      <c r="L247" s="27"/>
    </row>
    <row r="248" spans="1:13">
      <c r="A248" s="50"/>
      <c r="B248" s="50"/>
      <c r="C248" s="122" t="str">
        <f>C37</f>
        <v>2012 ΔCPI, 8 index, lagged, with GST adjustment</v>
      </c>
      <c r="D248" s="50"/>
      <c r="E248" s="99"/>
      <c r="F248" s="100"/>
      <c r="G248" s="100"/>
      <c r="H248" s="100"/>
      <c r="I248" s="100">
        <f>I$37</f>
        <v>1.2820512820512775E-2</v>
      </c>
      <c r="J248" s="101">
        <f>J$37</f>
        <v>1.9725095732576747E-2</v>
      </c>
      <c r="K248" s="50"/>
      <c r="L248" s="27"/>
    </row>
    <row r="249" spans="1:13">
      <c r="A249" s="50"/>
      <c r="B249" s="50"/>
      <c r="C249" s="50" t="s">
        <v>200</v>
      </c>
      <c r="D249" s="50"/>
      <c r="E249" s="99"/>
      <c r="F249" s="100"/>
      <c r="G249" s="100">
        <f>G$30</f>
        <v>3.0042551825458278E-3</v>
      </c>
      <c r="H249" s="100">
        <f>H$30</f>
        <v>3.0042551825458278E-3</v>
      </c>
      <c r="I249" s="100">
        <f>I$30</f>
        <v>3.0042551825458278E-3</v>
      </c>
      <c r="J249" s="100">
        <f>J$30</f>
        <v>3.0042551825458278E-3</v>
      </c>
      <c r="K249" s="50"/>
      <c r="L249" s="27"/>
    </row>
    <row r="250" spans="1:13">
      <c r="A250" s="50"/>
      <c r="B250" s="50"/>
      <c r="C250" s="50" t="s">
        <v>309</v>
      </c>
      <c r="D250" s="54">
        <f>E25</f>
        <v>6419</v>
      </c>
      <c r="E250" s="50"/>
      <c r="F250" s="123"/>
      <c r="G250" s="50"/>
      <c r="H250" s="50"/>
      <c r="I250" s="50"/>
      <c r="J250" s="50"/>
      <c r="K250" s="50"/>
      <c r="L250" s="27"/>
    </row>
    <row r="251" spans="1:13">
      <c r="A251" s="50"/>
      <c r="B251" s="50"/>
      <c r="C251" s="119" t="s">
        <v>335</v>
      </c>
      <c r="D251" s="32">
        <f>E24</f>
        <v>23679</v>
      </c>
      <c r="E251" s="50"/>
      <c r="F251" s="123"/>
      <c r="G251" s="50"/>
      <c r="H251" s="50"/>
      <c r="I251" s="50"/>
      <c r="J251" s="50"/>
      <c r="K251" s="50"/>
      <c r="L251" s="27"/>
    </row>
    <row r="252" spans="1:13">
      <c r="A252" s="50"/>
      <c r="B252" s="50"/>
      <c r="C252" s="50" t="s">
        <v>383</v>
      </c>
      <c r="D252" s="50"/>
      <c r="E252" s="50"/>
      <c r="F252" s="123"/>
      <c r="G252" s="50"/>
      <c r="H252" s="124">
        <f>(D251+D250)*(1+G$249)*(1+H$249)-D250</f>
        <v>23860.115795948404</v>
      </c>
      <c r="I252" s="124">
        <f>H252*(1+I249)*(1+I248)</f>
        <v>24238.61559136253</v>
      </c>
      <c r="J252" s="124">
        <f>I252*(1+J249)*(1+J248)</f>
        <v>24790.979952315389</v>
      </c>
      <c r="K252" s="50"/>
      <c r="L252" s="27"/>
    </row>
    <row r="253" spans="1:13">
      <c r="A253" s="50"/>
      <c r="B253" s="50"/>
      <c r="C253" s="50" t="s">
        <v>314</v>
      </c>
      <c r="D253" s="50"/>
      <c r="E253" s="50"/>
      <c r="F253" s="123"/>
      <c r="G253" s="50"/>
      <c r="H253" s="124">
        <f>$D$250</f>
        <v>6419</v>
      </c>
      <c r="I253" s="124">
        <f>H253*(1+I34)</f>
        <v>6532.7544303797476</v>
      </c>
      <c r="J253" s="124"/>
      <c r="K253" s="50"/>
      <c r="L253" s="27"/>
    </row>
    <row r="254" spans="1:13">
      <c r="A254" s="50"/>
      <c r="B254" s="50"/>
      <c r="C254" s="119" t="s">
        <v>336</v>
      </c>
      <c r="D254" s="50"/>
      <c r="E254" s="50"/>
      <c r="F254" s="123"/>
      <c r="G254" s="50"/>
      <c r="H254" s="124">
        <f>D251</f>
        <v>23679</v>
      </c>
      <c r="I254" s="124">
        <f>((H254+H253)*(1+G249)-H253)*(1+I248)*(1-X_industry_wide)</f>
        <v>24074.158252900728</v>
      </c>
      <c r="J254" s="97"/>
      <c r="K254" s="50"/>
      <c r="L254" s="27"/>
    </row>
    <row r="255" spans="1:13">
      <c r="A255" s="50"/>
      <c r="B255" s="50"/>
      <c r="C255" s="50" t="s">
        <v>337</v>
      </c>
      <c r="D255" s="50"/>
      <c r="E255" s="50"/>
      <c r="F255" s="123"/>
      <c r="G255" s="50"/>
      <c r="H255" s="124">
        <f>H216</f>
        <v>24372.108518493362</v>
      </c>
      <c r="I255" s="124">
        <f>I216</f>
        <v>25026.145129017776</v>
      </c>
      <c r="J255" s="124">
        <f>J216</f>
        <v>25657.687077291313</v>
      </c>
      <c r="K255" s="50"/>
      <c r="L255" s="27"/>
    </row>
    <row r="256" spans="1:13">
      <c r="A256" s="50"/>
      <c r="B256" s="50"/>
      <c r="C256" s="119" t="s">
        <v>371</v>
      </c>
      <c r="D256" s="50"/>
      <c r="E256" s="50"/>
      <c r="F256" s="123"/>
      <c r="G256" s="50"/>
      <c r="H256" s="124"/>
      <c r="I256" s="124">
        <f>(I255+I253)/((1+H249)*(1+I249))-I253</f>
        <v>24837.374253029357</v>
      </c>
      <c r="J256" s="124"/>
      <c r="K256" s="50"/>
      <c r="L256" s="27"/>
    </row>
    <row r="257" spans="1:12">
      <c r="A257" s="50"/>
      <c r="B257" s="50"/>
      <c r="C257" s="50" t="s">
        <v>344</v>
      </c>
      <c r="D257" s="50"/>
      <c r="E257" s="50"/>
      <c r="F257" s="123"/>
      <c r="G257" s="50"/>
      <c r="H257" s="124">
        <f>H255</f>
        <v>24372.108518493362</v>
      </c>
      <c r="I257" s="124">
        <f>I255*(1+I248)/(1+I247)</f>
        <v>24758.730199919857</v>
      </c>
      <c r="J257" s="124">
        <f>I257*(1+J$248)*(1+J$249)*(1-X_industry_wide)</f>
        <v>25322.947249913272</v>
      </c>
      <c r="K257" s="50"/>
      <c r="L257" s="27"/>
    </row>
    <row r="258" spans="1:12">
      <c r="A258" s="50"/>
      <c r="B258" s="50"/>
      <c r="C258" s="119" t="s">
        <v>346</v>
      </c>
      <c r="D258" s="50"/>
      <c r="E258" s="50"/>
      <c r="F258" s="123"/>
      <c r="G258" s="50"/>
      <c r="H258" s="124"/>
      <c r="I258" s="124">
        <f>(I257+I253)/((1+H249)*(1+I249))-I253</f>
        <v>24571.558877500258</v>
      </c>
      <c r="J258" s="97"/>
      <c r="K258" s="50"/>
      <c r="L258" s="27"/>
    </row>
    <row r="259" spans="1:12">
      <c r="A259" s="50"/>
      <c r="B259" s="50"/>
      <c r="C259" s="50" t="s">
        <v>338</v>
      </c>
      <c r="D259" s="50"/>
      <c r="E259" s="50"/>
      <c r="F259" s="123"/>
      <c r="G259" s="50"/>
      <c r="H259" s="124">
        <f>H233</f>
        <v>24372.108518493362</v>
      </c>
      <c r="I259" s="124">
        <f>I233</f>
        <v>25026.145129017772</v>
      </c>
      <c r="J259" s="124">
        <f>J233</f>
        <v>25657.687077291313</v>
      </c>
      <c r="K259" s="50"/>
      <c r="L259" s="27"/>
    </row>
    <row r="260" spans="1:12">
      <c r="A260" s="50"/>
      <c r="B260" s="50"/>
      <c r="C260" s="50" t="s">
        <v>345</v>
      </c>
      <c r="D260" s="50"/>
      <c r="E260" s="50"/>
      <c r="F260" s="123"/>
      <c r="G260" s="50"/>
      <c r="H260" s="124">
        <f>H259</f>
        <v>24372.108518493362</v>
      </c>
      <c r="I260" s="124">
        <f>I259*(1+I248)/(1+I247)</f>
        <v>24758.730199919853</v>
      </c>
      <c r="J260" s="124">
        <f>I260*(1+J$248)*(1+J$249)*(1-D227)</f>
        <v>25322.947249913268</v>
      </c>
      <c r="K260" s="50"/>
      <c r="L260" s="27"/>
    </row>
    <row r="261" spans="1:12">
      <c r="A261" s="50"/>
      <c r="B261" s="50"/>
      <c r="C261" s="119" t="s">
        <v>347</v>
      </c>
      <c r="D261" s="50"/>
      <c r="E261" s="50"/>
      <c r="F261" s="123"/>
      <c r="G261" s="50"/>
      <c r="H261" s="97"/>
      <c r="I261" s="124">
        <f>(I260+I253)/((1+H249)*(1+I249))-I253</f>
        <v>24571.558877500254</v>
      </c>
      <c r="J261" s="97"/>
      <c r="K261" s="50"/>
      <c r="L261" s="27"/>
    </row>
    <row r="262" spans="1:12">
      <c r="A262" s="50"/>
      <c r="B262" s="50"/>
      <c r="C262" s="50" t="s">
        <v>317</v>
      </c>
      <c r="D262" s="126">
        <f>E27</f>
        <v>0.2</v>
      </c>
      <c r="E262" s="50"/>
      <c r="F262" s="123"/>
      <c r="G262" s="50"/>
      <c r="H262" s="125"/>
      <c r="I262" s="125"/>
      <c r="J262" s="125"/>
      <c r="K262" s="50"/>
      <c r="L262" s="27"/>
    </row>
    <row r="263" spans="1:12" ht="18">
      <c r="A263" s="50"/>
      <c r="B263" s="50"/>
      <c r="C263" s="50" t="s">
        <v>339</v>
      </c>
      <c r="D263" s="127"/>
      <c r="E263" s="50"/>
      <c r="F263" s="123"/>
      <c r="G263" s="50"/>
      <c r="H263" s="124">
        <f>(D251+H253)*(1+G$249)*(1+H$249)-H253</f>
        <v>23860.115795948404</v>
      </c>
      <c r="I263" s="124">
        <f>H263*(1+$D262)*(1+I$247)*(1+I$249)</f>
        <v>29400.495418842209</v>
      </c>
      <c r="J263" s="124">
        <f>I264*(1+$D262)*(1+J247)*(1+J249)</f>
        <v>30460.22862693555</v>
      </c>
      <c r="K263" s="50"/>
      <c r="L263" s="27"/>
    </row>
    <row r="264" spans="1:12">
      <c r="A264" s="50"/>
      <c r="B264" s="50"/>
      <c r="C264" s="50" t="s">
        <v>367</v>
      </c>
      <c r="D264" s="127"/>
      <c r="E264" s="50"/>
      <c r="F264" s="123"/>
      <c r="G264" s="50"/>
      <c r="H264" s="124">
        <f>H260</f>
        <v>24372.108518493362</v>
      </c>
      <c r="I264" s="124">
        <f>MIN(I260,I263)</f>
        <v>24758.730199919853</v>
      </c>
      <c r="J264" s="124">
        <f>MIN(J260,J263)</f>
        <v>25322.947249913268</v>
      </c>
      <c r="K264" s="50"/>
      <c r="L264" s="27"/>
    </row>
    <row r="265" spans="1:12">
      <c r="A265" s="50"/>
      <c r="B265" s="50"/>
      <c r="C265" s="50" t="s">
        <v>373</v>
      </c>
      <c r="D265" s="31">
        <f>NPV(WACC,H255:J255)*D50</f>
        <v>65700.361717647291</v>
      </c>
      <c r="E265" s="50"/>
      <c r="F265" s="123"/>
      <c r="G265" s="50"/>
      <c r="H265" s="50"/>
      <c r="I265" s="50"/>
      <c r="J265" s="50"/>
      <c r="K265" s="50"/>
      <c r="L265" s="27"/>
    </row>
    <row r="266" spans="1:12">
      <c r="A266" s="50"/>
      <c r="B266" s="50"/>
      <c r="C266" s="50" t="s">
        <v>372</v>
      </c>
      <c r="D266" s="31">
        <f>NPV(WACC,H252:J252)*D50</f>
        <v>63827.728474621385</v>
      </c>
      <c r="E266" s="50"/>
      <c r="F266" s="123"/>
      <c r="G266" s="50"/>
      <c r="H266" s="50"/>
      <c r="I266" s="50"/>
      <c r="J266" s="50"/>
      <c r="K266" s="50"/>
      <c r="L266" s="27"/>
    </row>
    <row r="267" spans="1:12">
      <c r="A267" s="50"/>
      <c r="B267" s="50"/>
      <c r="C267" s="50" t="s">
        <v>340</v>
      </c>
      <c r="D267" s="31">
        <f>NPV(WACC,H259:J259)*D50</f>
        <v>65700.361717647276</v>
      </c>
      <c r="E267" s="50"/>
      <c r="F267" s="123"/>
      <c r="G267" s="50"/>
      <c r="H267" s="50"/>
      <c r="I267" s="50"/>
      <c r="J267" s="50"/>
      <c r="K267" s="50"/>
      <c r="L267" s="27"/>
    </row>
    <row r="268" spans="1:12">
      <c r="A268" s="50"/>
      <c r="B268" s="50"/>
      <c r="C268" s="50" t="s">
        <v>351</v>
      </c>
      <c r="D268" s="31">
        <f>NPV(WACC,H264:J264)*D50</f>
        <v>65197.350179522335</v>
      </c>
      <c r="E268" s="50"/>
      <c r="F268" s="123"/>
      <c r="G268" s="50"/>
      <c r="H268" s="50"/>
      <c r="I268" s="50"/>
      <c r="J268" s="50"/>
      <c r="K268" s="50"/>
      <c r="L268" s="27"/>
    </row>
    <row r="269" spans="1:12">
      <c r="A269" s="50"/>
      <c r="B269" s="50"/>
      <c r="C269" s="50" t="s">
        <v>348</v>
      </c>
      <c r="D269" s="31">
        <f>NPV(WACC,H257:J257)*D50</f>
        <v>65197.350179522349</v>
      </c>
      <c r="E269" s="50"/>
      <c r="F269" s="123"/>
      <c r="G269" s="50"/>
      <c r="H269" s="50"/>
      <c r="I269" s="50"/>
      <c r="J269" s="50"/>
      <c r="K269" s="50"/>
      <c r="L269" s="27"/>
    </row>
    <row r="270" spans="1:12">
      <c r="A270" s="50"/>
      <c r="B270" s="50"/>
      <c r="C270" s="50" t="s">
        <v>349</v>
      </c>
      <c r="D270" s="31">
        <f>NPV(WACC,H260:J260)*D50</f>
        <v>65197.350179522335</v>
      </c>
      <c r="E270" s="50"/>
      <c r="F270" s="123"/>
      <c r="G270" s="50"/>
      <c r="H270" s="50"/>
      <c r="I270" s="50"/>
      <c r="J270" s="50"/>
      <c r="K270" s="50"/>
      <c r="L270" s="27"/>
    </row>
    <row r="271" spans="1:12">
      <c r="A271" s="50"/>
      <c r="B271" s="50"/>
      <c r="C271" s="50" t="s">
        <v>368</v>
      </c>
      <c r="D271" s="31" t="b">
        <f>OR(I260&gt;I263,J260&gt;J263)</f>
        <v>0</v>
      </c>
      <c r="E271" s="50"/>
      <c r="F271" s="123"/>
      <c r="G271" s="50"/>
      <c r="H271" s="50"/>
      <c r="I271" s="50"/>
      <c r="J271" s="50"/>
      <c r="K271" s="50"/>
      <c r="L271" s="27"/>
    </row>
    <row r="272" spans="1:12">
      <c r="A272" s="50"/>
      <c r="B272" s="50"/>
      <c r="C272" s="50"/>
      <c r="D272" s="31"/>
      <c r="E272" s="50"/>
      <c r="F272" s="123"/>
      <c r="G272" s="50"/>
      <c r="H272" s="50"/>
      <c r="I272" s="50"/>
      <c r="J272" s="50"/>
      <c r="K272" s="50"/>
      <c r="L272" s="27"/>
    </row>
    <row r="273" spans="1:12" ht="21">
      <c r="A273" s="50"/>
      <c r="B273" s="50"/>
      <c r="C273" s="155" t="s">
        <v>343</v>
      </c>
      <c r="D273" s="127"/>
      <c r="E273" s="50"/>
      <c r="F273" s="123"/>
      <c r="G273" s="50"/>
      <c r="H273" s="50"/>
      <c r="I273" s="50"/>
      <c r="J273" s="50"/>
      <c r="K273" s="50"/>
      <c r="L273" s="27"/>
    </row>
    <row r="274" spans="1:12" ht="30">
      <c r="A274" s="50"/>
      <c r="B274" s="50"/>
      <c r="C274" s="123" t="s">
        <v>370</v>
      </c>
      <c r="D274" s="126">
        <f>I$261/(D$251*(1+I$249)*(1+I$248))-1</f>
        <v>2.1489927063532477E-2</v>
      </c>
      <c r="E274" s="50"/>
      <c r="F274" s="123"/>
      <c r="G274" s="50"/>
      <c r="H274" s="50"/>
      <c r="I274" s="50"/>
      <c r="J274" s="50"/>
      <c r="K274" s="50"/>
      <c r="L274" s="27"/>
    </row>
    <row r="275" spans="1:12" ht="30">
      <c r="A275" s="50"/>
      <c r="B275" s="50"/>
      <c r="C275" s="123" t="s">
        <v>350</v>
      </c>
      <c r="D275" s="31">
        <f>D265-D268</f>
        <v>503.01153812495613</v>
      </c>
      <c r="E275" s="50"/>
      <c r="F275" s="123"/>
      <c r="G275" s="50"/>
      <c r="H275" s="50"/>
      <c r="I275" s="50"/>
      <c r="J275" s="50"/>
      <c r="K275" s="50"/>
      <c r="L275" s="27"/>
    </row>
    <row r="276" spans="1:12">
      <c r="A276" s="50"/>
      <c r="B276" s="50"/>
      <c r="C276" s="123" t="s">
        <v>366</v>
      </c>
      <c r="D276" s="31">
        <f>ROUNDUP(I264,0)</f>
        <v>24759</v>
      </c>
      <c r="E276" s="50"/>
      <c r="F276" s="123"/>
      <c r="G276" s="50"/>
      <c r="H276" s="50"/>
      <c r="I276" s="50"/>
      <c r="J276" s="50"/>
      <c r="K276" s="50"/>
      <c r="L276" s="27"/>
    </row>
    <row r="277" spans="1:12">
      <c r="A277" s="50"/>
      <c r="B277" s="50"/>
      <c r="C277" s="123" t="s">
        <v>378</v>
      </c>
      <c r="D277" s="31">
        <f>ROUNDUP(H233,0)</f>
        <v>24373</v>
      </c>
      <c r="E277" s="50"/>
      <c r="F277" s="123"/>
      <c r="G277" s="50"/>
      <c r="H277" s="50"/>
      <c r="I277" s="50"/>
      <c r="J277" s="50"/>
      <c r="K277" s="50"/>
      <c r="L277" s="27"/>
    </row>
    <row r="278" spans="1:12">
      <c r="A278" s="50"/>
      <c r="B278" s="50"/>
      <c r="C278" s="114" t="s">
        <v>382</v>
      </c>
      <c r="D278" s="31">
        <f>D269-D266</f>
        <v>1369.6217049009647</v>
      </c>
      <c r="E278" s="50"/>
      <c r="F278" s="123"/>
      <c r="G278" s="50"/>
      <c r="H278" s="50"/>
      <c r="I278" s="50"/>
      <c r="J278" s="50"/>
      <c r="K278" s="50"/>
      <c r="L278" s="27"/>
    </row>
    <row r="279" spans="1:12">
      <c r="A279" s="15"/>
      <c r="B279" s="15"/>
      <c r="C279" s="15"/>
      <c r="D279" s="15"/>
      <c r="E279" s="120"/>
      <c r="F279" s="15"/>
      <c r="G279" s="15"/>
      <c r="H279" s="15"/>
      <c r="I279" s="15"/>
      <c r="J279" s="15"/>
      <c r="K279" s="15"/>
    </row>
    <row r="280" spans="1:12">
      <c r="A280" s="15"/>
      <c r="B280" s="15"/>
      <c r="C280" s="15"/>
      <c r="D280" s="15"/>
      <c r="E280" s="120"/>
      <c r="F280" s="15"/>
      <c r="G280" s="15"/>
      <c r="H280" s="15"/>
      <c r="I280" s="15"/>
      <c r="J280" s="15"/>
      <c r="K280" s="15"/>
    </row>
    <row r="281" spans="1:12">
      <c r="A281" s="15"/>
      <c r="B281" s="15"/>
      <c r="C281" s="15"/>
      <c r="D281" s="15"/>
      <c r="E281" s="120"/>
      <c r="F281" s="15"/>
      <c r="G281" s="15"/>
      <c r="H281" s="15"/>
      <c r="I281" s="15"/>
      <c r="J281" s="15"/>
      <c r="K281" s="15"/>
    </row>
    <row r="282" spans="1:12">
      <c r="A282" s="15"/>
      <c r="B282" s="15"/>
      <c r="C282" s="15"/>
      <c r="D282" s="15"/>
      <c r="E282" s="120"/>
      <c r="F282" s="15"/>
      <c r="G282" s="15"/>
      <c r="H282" s="15"/>
      <c r="I282" s="15"/>
      <c r="J282" s="15"/>
      <c r="K282" s="15"/>
    </row>
    <row r="283" spans="1:12">
      <c r="A283" s="15"/>
      <c r="B283" s="15"/>
      <c r="C283" s="15"/>
      <c r="D283" s="15"/>
      <c r="E283" s="120"/>
      <c r="F283" s="15"/>
      <c r="G283" s="15"/>
      <c r="H283" s="15"/>
      <c r="I283" s="15"/>
      <c r="J283" s="15"/>
      <c r="K283" s="15"/>
    </row>
    <row r="284" spans="1:12">
      <c r="A284" s="15"/>
      <c r="B284" s="15"/>
      <c r="C284" s="15"/>
      <c r="D284" s="15"/>
      <c r="E284" s="120"/>
      <c r="F284" s="15"/>
      <c r="G284" s="15"/>
      <c r="H284" s="15"/>
      <c r="I284" s="15"/>
      <c r="J284" s="15"/>
      <c r="K284" s="15"/>
    </row>
    <row r="285" spans="1:12">
      <c r="A285" s="15"/>
      <c r="B285" s="15"/>
      <c r="C285" s="15"/>
      <c r="D285" s="15"/>
      <c r="E285" s="120"/>
      <c r="F285" s="15"/>
      <c r="G285" s="15"/>
      <c r="H285" s="15"/>
      <c r="I285" s="15"/>
      <c r="J285" s="15"/>
      <c r="K285" s="15"/>
    </row>
    <row r="286" spans="1:12">
      <c r="A286" s="15"/>
      <c r="B286" s="15"/>
      <c r="C286" s="15"/>
      <c r="D286" s="15"/>
      <c r="E286" s="120"/>
      <c r="F286" s="15"/>
      <c r="G286" s="15"/>
      <c r="H286" s="15"/>
      <c r="I286" s="15"/>
      <c r="J286" s="15"/>
      <c r="K286" s="15"/>
    </row>
    <row r="287" spans="1:12">
      <c r="A287" s="15"/>
      <c r="B287" s="15"/>
      <c r="C287" s="15"/>
      <c r="D287" s="15"/>
      <c r="E287" s="120"/>
      <c r="F287" s="15"/>
      <c r="G287" s="15"/>
      <c r="H287" s="15"/>
      <c r="I287" s="15"/>
      <c r="J287" s="15"/>
      <c r="K287" s="15"/>
    </row>
    <row r="288" spans="1:12">
      <c r="A288" s="15"/>
      <c r="B288" s="15"/>
      <c r="C288" s="15"/>
      <c r="D288" s="15"/>
      <c r="E288" s="120"/>
      <c r="F288" s="15"/>
      <c r="G288" s="15"/>
      <c r="H288" s="15"/>
      <c r="I288" s="15"/>
      <c r="J288" s="15"/>
      <c r="K288" s="15"/>
    </row>
    <row r="289" spans="1:11">
      <c r="A289" s="15"/>
      <c r="B289" s="15"/>
      <c r="C289" s="15"/>
      <c r="D289" s="15"/>
      <c r="E289" s="120"/>
      <c r="F289" s="15"/>
      <c r="G289" s="15"/>
      <c r="H289" s="15"/>
      <c r="I289" s="15"/>
      <c r="J289" s="15"/>
      <c r="K289" s="15"/>
    </row>
    <row r="290" spans="1:11">
      <c r="A290" s="15"/>
      <c r="B290" s="15"/>
      <c r="C290" s="15"/>
      <c r="D290" s="15"/>
      <c r="E290" s="120"/>
      <c r="F290" s="15"/>
      <c r="G290" s="15"/>
      <c r="H290" s="15"/>
      <c r="I290" s="15"/>
      <c r="J290" s="15"/>
      <c r="K290" s="15"/>
    </row>
    <row r="291" spans="1:11">
      <c r="A291" s="15"/>
      <c r="B291" s="15"/>
      <c r="C291" s="15"/>
      <c r="D291" s="15"/>
      <c r="E291" s="120"/>
      <c r="F291" s="15"/>
      <c r="G291" s="15"/>
      <c r="H291" s="15"/>
      <c r="I291" s="15"/>
      <c r="J291" s="15"/>
      <c r="K291" s="15"/>
    </row>
    <row r="292" spans="1:11">
      <c r="A292" s="15"/>
      <c r="B292" s="15"/>
      <c r="C292" s="15"/>
      <c r="D292" s="15"/>
      <c r="E292" s="120"/>
      <c r="F292" s="15"/>
      <c r="G292" s="15"/>
      <c r="H292" s="15"/>
      <c r="I292" s="15"/>
      <c r="J292" s="15"/>
      <c r="K292" s="15"/>
    </row>
    <row r="293" spans="1:11">
      <c r="A293" s="15"/>
      <c r="B293" s="15"/>
      <c r="C293" s="15"/>
      <c r="D293" s="15"/>
      <c r="E293" s="120"/>
      <c r="F293" s="15"/>
      <c r="G293" s="15"/>
      <c r="H293" s="15"/>
      <c r="I293" s="15"/>
      <c r="J293" s="15"/>
      <c r="K293" s="15"/>
    </row>
    <row r="294" spans="1:11">
      <c r="A294" s="15"/>
      <c r="B294" s="15"/>
      <c r="C294" s="15"/>
      <c r="D294" s="15"/>
      <c r="E294" s="120"/>
      <c r="F294" s="15"/>
      <c r="G294" s="15"/>
      <c r="H294" s="15"/>
      <c r="I294" s="15"/>
      <c r="J294" s="15"/>
      <c r="K294" s="15"/>
    </row>
    <row r="295" spans="1:11">
      <c r="A295" s="15"/>
      <c r="B295" s="15"/>
      <c r="C295" s="15"/>
      <c r="D295" s="15"/>
      <c r="E295" s="120"/>
      <c r="F295" s="15"/>
      <c r="G295" s="15"/>
      <c r="H295" s="15"/>
      <c r="I295" s="15"/>
      <c r="J295" s="15"/>
      <c r="K295" s="15"/>
    </row>
    <row r="296" spans="1:11">
      <c r="A296" s="15"/>
      <c r="B296" s="15"/>
      <c r="C296" s="15"/>
      <c r="D296" s="15"/>
      <c r="E296" s="120"/>
      <c r="F296" s="15"/>
      <c r="G296" s="15"/>
      <c r="H296" s="15"/>
      <c r="I296" s="15"/>
      <c r="J296" s="15"/>
      <c r="K296" s="15"/>
    </row>
    <row r="297" spans="1:11">
      <c r="A297" s="15"/>
      <c r="B297" s="15"/>
      <c r="C297" s="15"/>
      <c r="D297" s="15"/>
      <c r="E297" s="120"/>
      <c r="F297" s="15"/>
      <c r="G297" s="15"/>
      <c r="H297" s="15"/>
      <c r="I297" s="15"/>
      <c r="J297" s="15"/>
      <c r="K297" s="15"/>
    </row>
    <row r="298" spans="1:11">
      <c r="A298" s="15"/>
      <c r="B298" s="15"/>
      <c r="C298" s="15"/>
      <c r="D298" s="15"/>
      <c r="E298" s="120"/>
      <c r="F298" s="15"/>
      <c r="G298" s="15"/>
      <c r="H298" s="15"/>
      <c r="I298" s="15"/>
      <c r="J298" s="15"/>
      <c r="K298" s="15"/>
    </row>
    <row r="299" spans="1:11">
      <c r="A299" s="15"/>
      <c r="B299" s="15"/>
      <c r="C299" s="15"/>
      <c r="D299" s="15"/>
      <c r="E299" s="120"/>
      <c r="F299" s="15"/>
      <c r="G299" s="15"/>
      <c r="H299" s="15"/>
      <c r="I299" s="15"/>
      <c r="J299" s="15"/>
    </row>
    <row r="300" spans="1:11">
      <c r="A300" s="15"/>
      <c r="B300" s="15"/>
      <c r="C300" s="15"/>
      <c r="D300" s="15"/>
      <c r="E300" s="120"/>
      <c r="F300" s="15"/>
      <c r="G300" s="15"/>
      <c r="H300" s="15"/>
      <c r="I300" s="15"/>
      <c r="J300" s="15"/>
    </row>
    <row r="301" spans="1:11">
      <c r="A301" s="15"/>
      <c r="B301" s="15"/>
      <c r="C301" s="15"/>
      <c r="D301" s="15"/>
      <c r="E301" s="120"/>
      <c r="F301" s="15"/>
      <c r="G301" s="15"/>
      <c r="H301" s="15"/>
      <c r="I301" s="15"/>
      <c r="J301" s="15"/>
    </row>
    <row r="302" spans="1:11">
      <c r="A302" s="15"/>
      <c r="B302" s="15"/>
      <c r="C302" s="15"/>
      <c r="D302" s="15"/>
      <c r="E302" s="120"/>
      <c r="F302" s="15"/>
      <c r="G302" s="15"/>
      <c r="H302" s="15"/>
      <c r="I302" s="15"/>
      <c r="J302" s="15"/>
    </row>
    <row r="303" spans="1:11">
      <c r="A303" s="15"/>
      <c r="B303" s="15"/>
      <c r="C303" s="15"/>
      <c r="D303" s="15"/>
      <c r="E303" s="120"/>
      <c r="F303" s="15"/>
      <c r="G303" s="15"/>
      <c r="H303" s="15"/>
      <c r="I303" s="15"/>
      <c r="J303" s="15"/>
    </row>
    <row r="304" spans="1:11">
      <c r="A304" s="15"/>
      <c r="B304" s="15"/>
      <c r="C304" s="15"/>
      <c r="D304" s="15"/>
      <c r="E304" s="120"/>
      <c r="F304" s="15"/>
      <c r="G304" s="15"/>
      <c r="H304" s="15"/>
      <c r="I304" s="15"/>
      <c r="J304" s="15"/>
    </row>
    <row r="305" spans="1:10">
      <c r="A305" s="15"/>
      <c r="B305" s="15"/>
      <c r="C305" s="15"/>
      <c r="D305" s="15"/>
      <c r="E305" s="120"/>
      <c r="F305" s="15"/>
      <c r="G305" s="15"/>
      <c r="H305" s="15"/>
      <c r="I305" s="15"/>
      <c r="J305" s="15"/>
    </row>
    <row r="306" spans="1:10">
      <c r="A306" s="15"/>
      <c r="B306" s="15"/>
      <c r="C306" s="15"/>
      <c r="D306" s="15"/>
      <c r="E306" s="120"/>
      <c r="F306" s="15"/>
      <c r="G306" s="15"/>
      <c r="H306" s="15"/>
      <c r="I306" s="15"/>
      <c r="J306" s="15"/>
    </row>
    <row r="307" spans="1:10">
      <c r="A307" s="15"/>
      <c r="B307" s="15"/>
      <c r="C307" s="15"/>
      <c r="D307" s="15"/>
      <c r="E307" s="120"/>
      <c r="F307" s="15"/>
      <c r="G307" s="15"/>
      <c r="H307" s="15"/>
      <c r="I307" s="15"/>
      <c r="J307" s="15"/>
    </row>
    <row r="308" spans="1:10">
      <c r="A308" s="15"/>
      <c r="B308" s="15"/>
      <c r="C308" s="15"/>
      <c r="D308" s="15"/>
      <c r="E308" s="120"/>
      <c r="F308" s="15"/>
      <c r="G308" s="15"/>
      <c r="H308" s="15"/>
      <c r="I308" s="15"/>
      <c r="J308" s="15"/>
    </row>
    <row r="309" spans="1:10">
      <c r="A309" s="15"/>
      <c r="B309" s="15"/>
      <c r="C309" s="15"/>
      <c r="D309" s="15"/>
      <c r="E309" s="120"/>
      <c r="F309" s="15"/>
      <c r="G309" s="15"/>
      <c r="H309" s="15"/>
      <c r="I309" s="15"/>
      <c r="J309" s="15"/>
    </row>
    <row r="310" spans="1:10">
      <c r="A310" s="15"/>
      <c r="B310" s="15"/>
      <c r="C310" s="15"/>
      <c r="D310" s="15"/>
      <c r="E310" s="120"/>
      <c r="F310" s="15"/>
      <c r="G310" s="15"/>
      <c r="H310" s="15"/>
      <c r="I310" s="15"/>
      <c r="J310" s="15"/>
    </row>
    <row r="311" spans="1:10">
      <c r="A311" s="15"/>
      <c r="B311" s="15"/>
      <c r="C311" s="15"/>
      <c r="D311" s="15"/>
      <c r="E311" s="120"/>
      <c r="F311" s="15"/>
      <c r="G311" s="15"/>
      <c r="H311" s="15"/>
      <c r="I311" s="15"/>
      <c r="J311" s="15"/>
    </row>
    <row r="312" spans="1:10">
      <c r="A312" s="15"/>
      <c r="B312" s="15"/>
      <c r="C312" s="15"/>
      <c r="D312" s="15"/>
      <c r="E312" s="120"/>
      <c r="F312" s="15"/>
      <c r="G312" s="15"/>
      <c r="H312" s="15"/>
      <c r="I312" s="15"/>
      <c r="J312" s="15"/>
    </row>
    <row r="313" spans="1:10">
      <c r="E313" s="19"/>
    </row>
    <row r="314" spans="1:10">
      <c r="E314" s="19"/>
    </row>
    <row r="315" spans="1:10">
      <c r="E315" s="19"/>
    </row>
    <row r="316" spans="1:10">
      <c r="E316" s="19"/>
    </row>
    <row r="317" spans="1:10">
      <c r="E317" s="19"/>
    </row>
    <row r="318" spans="1:10">
      <c r="E318" s="19"/>
    </row>
    <row r="319" spans="1:10">
      <c r="E319" s="19"/>
    </row>
    <row r="320" spans="1:10">
      <c r="E320" s="19"/>
    </row>
    <row r="321" spans="5:5">
      <c r="E321" s="19"/>
    </row>
    <row r="322" spans="5:5">
      <c r="E322" s="19"/>
    </row>
    <row r="323" spans="5:5">
      <c r="E323" s="19"/>
    </row>
    <row r="324" spans="5:5">
      <c r="E324" s="19"/>
    </row>
    <row r="325" spans="5:5">
      <c r="E325" s="19"/>
    </row>
    <row r="326" spans="5:5">
      <c r="E326" s="19"/>
    </row>
    <row r="327" spans="5:5">
      <c r="E327" s="19"/>
    </row>
    <row r="328" spans="5:5">
      <c r="E328" s="19"/>
    </row>
    <row r="329" spans="5:5">
      <c r="E329" s="19"/>
    </row>
    <row r="330" spans="5:5">
      <c r="E330" s="19"/>
    </row>
    <row r="331" spans="5:5">
      <c r="E331" s="19"/>
    </row>
    <row r="332" spans="5:5">
      <c r="E332" s="19"/>
    </row>
    <row r="333" spans="5:5">
      <c r="E333" s="19"/>
    </row>
    <row r="334" spans="5:5">
      <c r="E334" s="19"/>
    </row>
    <row r="335" spans="5:5">
      <c r="E335" s="19"/>
    </row>
    <row r="336" spans="5:5">
      <c r="E336" s="19"/>
    </row>
    <row r="337" spans="5:5">
      <c r="E337" s="19"/>
    </row>
    <row r="338" spans="5:5">
      <c r="E338" s="19"/>
    </row>
    <row r="339" spans="5:5">
      <c r="E339" s="19"/>
    </row>
    <row r="340" spans="5:5">
      <c r="E340" s="19"/>
    </row>
    <row r="341" spans="5:5">
      <c r="E341" s="19"/>
    </row>
    <row r="342" spans="5:5">
      <c r="E342" s="19"/>
    </row>
    <row r="343" spans="5:5">
      <c r="E343" s="19"/>
    </row>
    <row r="344" spans="5:5">
      <c r="E344" s="19"/>
    </row>
    <row r="345" spans="5:5">
      <c r="E345" s="19"/>
    </row>
    <row r="346" spans="5:5">
      <c r="E346" s="19"/>
    </row>
    <row r="347" spans="5:5">
      <c r="E347" s="19"/>
    </row>
    <row r="348" spans="5:5">
      <c r="E348" s="19"/>
    </row>
    <row r="349" spans="5:5">
      <c r="E349" s="19"/>
    </row>
    <row r="350" spans="5:5">
      <c r="E350" s="19"/>
    </row>
    <row r="351" spans="5:5">
      <c r="E351" s="19"/>
    </row>
    <row r="352" spans="5:5">
      <c r="E352" s="19"/>
    </row>
    <row r="353" spans="5:5">
      <c r="E353" s="19"/>
    </row>
    <row r="354" spans="5:5">
      <c r="E354" s="19"/>
    </row>
    <row r="355" spans="5:5">
      <c r="E355" s="19"/>
    </row>
    <row r="356" spans="5:5">
      <c r="E356" s="19"/>
    </row>
    <row r="357" spans="5:5">
      <c r="E357" s="19"/>
    </row>
    <row r="358" spans="5:5">
      <c r="E358" s="19"/>
    </row>
    <row r="359" spans="5:5">
      <c r="E359" s="19"/>
    </row>
    <row r="360" spans="5:5">
      <c r="E360" s="19"/>
    </row>
    <row r="361" spans="5:5">
      <c r="E361" s="19"/>
    </row>
    <row r="362" spans="5:5">
      <c r="E362" s="19"/>
    </row>
    <row r="363" spans="5:5">
      <c r="E363" s="19"/>
    </row>
    <row r="364" spans="5:5">
      <c r="E364" s="19"/>
    </row>
    <row r="365" spans="5:5">
      <c r="E365" s="19"/>
    </row>
    <row r="366" spans="5:5">
      <c r="E366" s="19"/>
    </row>
    <row r="367" spans="5:5">
      <c r="E367" s="19"/>
    </row>
    <row r="368" spans="5:5">
      <c r="E368" s="19"/>
    </row>
    <row r="369" spans="5:5">
      <c r="E369" s="19"/>
    </row>
    <row r="370" spans="5:5">
      <c r="E370" s="19"/>
    </row>
    <row r="371" spans="5:5">
      <c r="E371" s="19"/>
    </row>
    <row r="372" spans="5:5">
      <c r="E372" s="19"/>
    </row>
    <row r="373" spans="5:5">
      <c r="E373" s="19"/>
    </row>
    <row r="374" spans="5:5">
      <c r="E374" s="19"/>
    </row>
    <row r="375" spans="5:5">
      <c r="E375" s="19"/>
    </row>
    <row r="376" spans="5:5">
      <c r="E376" s="19"/>
    </row>
    <row r="377" spans="5:5">
      <c r="E377" s="19"/>
    </row>
    <row r="378" spans="5:5">
      <c r="E378" s="19"/>
    </row>
    <row r="379" spans="5:5">
      <c r="E379" s="19"/>
    </row>
    <row r="380" spans="5:5">
      <c r="E380" s="19"/>
    </row>
    <row r="381" spans="5:5">
      <c r="E381" s="19"/>
    </row>
    <row r="382" spans="5:5">
      <c r="E382" s="19"/>
    </row>
    <row r="383" spans="5:5">
      <c r="E383" s="19"/>
    </row>
    <row r="384" spans="5:5">
      <c r="E384" s="19"/>
    </row>
    <row r="385" spans="5:5">
      <c r="E385" s="19"/>
    </row>
    <row r="386" spans="5:5">
      <c r="E386" s="19"/>
    </row>
    <row r="387" spans="5:5">
      <c r="E387" s="19"/>
    </row>
    <row r="388" spans="5:5">
      <c r="E388" s="19"/>
    </row>
    <row r="389" spans="5:5">
      <c r="E389" s="19"/>
    </row>
    <row r="390" spans="5:5">
      <c r="E390" s="19"/>
    </row>
    <row r="391" spans="5:5">
      <c r="E391" s="19"/>
    </row>
    <row r="392" spans="5:5">
      <c r="E392" s="19"/>
    </row>
    <row r="393" spans="5:5">
      <c r="E393" s="19"/>
    </row>
    <row r="394" spans="5:5">
      <c r="E394" s="19"/>
    </row>
    <row r="395" spans="5:5">
      <c r="E395" s="19"/>
    </row>
    <row r="396" spans="5:5">
      <c r="E396" s="19"/>
    </row>
    <row r="397" spans="5:5">
      <c r="E397" s="19"/>
    </row>
    <row r="398" spans="5:5">
      <c r="E398" s="19"/>
    </row>
    <row r="399" spans="5:5">
      <c r="E399" s="19"/>
    </row>
    <row r="400" spans="5:5">
      <c r="E400" s="19"/>
    </row>
    <row r="401" spans="5:5">
      <c r="E401" s="19"/>
    </row>
    <row r="402" spans="5:5">
      <c r="E402" s="19"/>
    </row>
    <row r="403" spans="5:5">
      <c r="E403" s="19"/>
    </row>
    <row r="404" spans="5:5">
      <c r="E404" s="19"/>
    </row>
    <row r="405" spans="5:5">
      <c r="E405" s="19"/>
    </row>
    <row r="406" spans="5:5">
      <c r="E406" s="19"/>
    </row>
    <row r="407" spans="5:5">
      <c r="E407" s="19"/>
    </row>
    <row r="408" spans="5:5">
      <c r="E408" s="19"/>
    </row>
    <row r="409" spans="5:5">
      <c r="E409" s="19"/>
    </row>
    <row r="410" spans="5:5">
      <c r="E410" s="19"/>
    </row>
    <row r="411" spans="5:5">
      <c r="E411" s="19"/>
    </row>
    <row r="412" spans="5:5">
      <c r="E412" s="19"/>
    </row>
    <row r="413" spans="5:5">
      <c r="E413" s="19"/>
    </row>
    <row r="414" spans="5:5">
      <c r="E414" s="19"/>
    </row>
    <row r="415" spans="5:5">
      <c r="E415" s="19"/>
    </row>
    <row r="416" spans="5:5">
      <c r="E416" s="19"/>
    </row>
    <row r="417" spans="5:5">
      <c r="E417" s="19"/>
    </row>
    <row r="418" spans="5:5">
      <c r="E418" s="19"/>
    </row>
    <row r="419" spans="5:5">
      <c r="E419" s="19"/>
    </row>
    <row r="420" spans="5:5">
      <c r="E420" s="19"/>
    </row>
    <row r="421" spans="5:5">
      <c r="E421" s="19"/>
    </row>
    <row r="422" spans="5:5">
      <c r="E422" s="19"/>
    </row>
    <row r="423" spans="5:5">
      <c r="E423" s="19"/>
    </row>
    <row r="424" spans="5:5">
      <c r="E424" s="19"/>
    </row>
    <row r="425" spans="5:5">
      <c r="E425" s="19"/>
    </row>
    <row r="426" spans="5:5">
      <c r="E426" s="19"/>
    </row>
    <row r="427" spans="5:5">
      <c r="E427" s="19"/>
    </row>
    <row r="428" spans="5:5">
      <c r="E428" s="19"/>
    </row>
    <row r="429" spans="5:5">
      <c r="E429" s="19"/>
    </row>
    <row r="430" spans="5:5">
      <c r="E430" s="19"/>
    </row>
    <row r="431" spans="5:5">
      <c r="E431" s="19"/>
    </row>
    <row r="432" spans="5:5">
      <c r="E432" s="19"/>
    </row>
    <row r="433" spans="5:5">
      <c r="E433" s="19"/>
    </row>
    <row r="434" spans="5:5">
      <c r="E434" s="19"/>
    </row>
    <row r="435" spans="5:5">
      <c r="E435" s="19"/>
    </row>
    <row r="436" spans="5:5">
      <c r="E436" s="19"/>
    </row>
    <row r="437" spans="5:5">
      <c r="E437" s="19"/>
    </row>
    <row r="438" spans="5:5">
      <c r="E438" s="19"/>
    </row>
    <row r="439" spans="5:5">
      <c r="E439" s="19"/>
    </row>
    <row r="440" spans="5:5">
      <c r="E440" s="19"/>
    </row>
    <row r="441" spans="5:5">
      <c r="E441" s="19"/>
    </row>
    <row r="442" spans="5:5">
      <c r="E442" s="19"/>
    </row>
    <row r="443" spans="5:5">
      <c r="E443" s="19"/>
    </row>
    <row r="444" spans="5:5">
      <c r="E444" s="19"/>
    </row>
    <row r="445" spans="5:5">
      <c r="E445" s="19"/>
    </row>
    <row r="446" spans="5:5">
      <c r="E446" s="19"/>
    </row>
    <row r="447" spans="5:5">
      <c r="E447" s="19"/>
    </row>
    <row r="448" spans="5:5">
      <c r="E448" s="19"/>
    </row>
    <row r="449" spans="5:5">
      <c r="E449" s="19"/>
    </row>
    <row r="450" spans="5:5">
      <c r="E450" s="19"/>
    </row>
    <row r="451" spans="5:5">
      <c r="E451" s="19"/>
    </row>
    <row r="452" spans="5:5">
      <c r="E452" s="19"/>
    </row>
    <row r="453" spans="5:5">
      <c r="E453" s="19"/>
    </row>
    <row r="454" spans="5:5">
      <c r="E454" s="19"/>
    </row>
    <row r="455" spans="5:5">
      <c r="E455" s="19"/>
    </row>
    <row r="456" spans="5:5">
      <c r="E456" s="19"/>
    </row>
    <row r="457" spans="5:5">
      <c r="E457" s="19"/>
    </row>
    <row r="458" spans="5:5">
      <c r="E458" s="19"/>
    </row>
    <row r="459" spans="5:5">
      <c r="E459" s="19"/>
    </row>
    <row r="460" spans="5:5">
      <c r="E460" s="19"/>
    </row>
    <row r="461" spans="5:5">
      <c r="E461" s="19"/>
    </row>
    <row r="462" spans="5:5">
      <c r="E462" s="19"/>
    </row>
    <row r="463" spans="5:5">
      <c r="E463" s="19"/>
    </row>
    <row r="464" spans="5:5">
      <c r="E464" s="19"/>
    </row>
    <row r="465" spans="5:5">
      <c r="E465" s="19"/>
    </row>
    <row r="466" spans="5:5">
      <c r="E466" s="19"/>
    </row>
    <row r="467" spans="5:5">
      <c r="E467" s="19"/>
    </row>
    <row r="468" spans="5:5">
      <c r="E468" s="19"/>
    </row>
    <row r="469" spans="5:5">
      <c r="E469" s="19"/>
    </row>
    <row r="470" spans="5:5">
      <c r="E470" s="19"/>
    </row>
    <row r="471" spans="5:5">
      <c r="E471" s="19"/>
    </row>
    <row r="472" spans="5:5">
      <c r="E472" s="19"/>
    </row>
    <row r="473" spans="5:5">
      <c r="E473" s="19"/>
    </row>
    <row r="474" spans="5:5">
      <c r="E474" s="19"/>
    </row>
    <row r="475" spans="5:5">
      <c r="E475" s="19"/>
    </row>
    <row r="476" spans="5:5">
      <c r="E476" s="19"/>
    </row>
    <row r="477" spans="5:5">
      <c r="E477" s="19"/>
    </row>
    <row r="478" spans="5:5">
      <c r="E478" s="19"/>
    </row>
    <row r="479" spans="5:5">
      <c r="E479" s="19"/>
    </row>
    <row r="480" spans="5:5">
      <c r="E480" s="19"/>
    </row>
    <row r="481" spans="5:5">
      <c r="E481" s="19"/>
    </row>
    <row r="482" spans="5:5">
      <c r="E482" s="19"/>
    </row>
    <row r="483" spans="5:5">
      <c r="E483" s="19"/>
    </row>
    <row r="484" spans="5:5">
      <c r="E484" s="19"/>
    </row>
    <row r="485" spans="5:5">
      <c r="E485" s="19"/>
    </row>
    <row r="486" spans="5:5">
      <c r="E486" s="19"/>
    </row>
    <row r="487" spans="5:5">
      <c r="E487" s="19"/>
    </row>
    <row r="488" spans="5:5">
      <c r="E488" s="19"/>
    </row>
    <row r="489" spans="5:5">
      <c r="E489" s="19"/>
    </row>
    <row r="490" spans="5:5">
      <c r="E490" s="19"/>
    </row>
    <row r="491" spans="5:5">
      <c r="E491" s="19"/>
    </row>
    <row r="492" spans="5:5">
      <c r="E492" s="19"/>
    </row>
    <row r="493" spans="5:5">
      <c r="E493" s="19"/>
    </row>
    <row r="494" spans="5:5">
      <c r="E494" s="19"/>
    </row>
    <row r="495" spans="5:5">
      <c r="E495" s="19"/>
    </row>
    <row r="496" spans="5:5">
      <c r="E496" s="19"/>
    </row>
    <row r="497" spans="5:5">
      <c r="E497" s="19"/>
    </row>
    <row r="498" spans="5:5">
      <c r="E498" s="19"/>
    </row>
    <row r="499" spans="5:5">
      <c r="E499" s="19"/>
    </row>
    <row r="500" spans="5:5">
      <c r="E500" s="19"/>
    </row>
    <row r="501" spans="5:5">
      <c r="E501" s="19"/>
    </row>
    <row r="502" spans="5:5">
      <c r="E502" s="19"/>
    </row>
    <row r="503" spans="5:5">
      <c r="E503" s="19"/>
    </row>
    <row r="504" spans="5:5">
      <c r="E504" s="19"/>
    </row>
    <row r="505" spans="5:5">
      <c r="E505" s="19"/>
    </row>
    <row r="506" spans="5:5">
      <c r="E506" s="19"/>
    </row>
    <row r="507" spans="5:5">
      <c r="E507" s="19"/>
    </row>
    <row r="508" spans="5:5">
      <c r="E508" s="19"/>
    </row>
    <row r="509" spans="5:5">
      <c r="E509" s="19"/>
    </row>
    <row r="510" spans="5:5">
      <c r="E510" s="19"/>
    </row>
    <row r="511" spans="5:5">
      <c r="E511" s="19"/>
    </row>
    <row r="512" spans="5:5">
      <c r="E512" s="19"/>
    </row>
    <row r="513" spans="5:5">
      <c r="E513" s="19"/>
    </row>
    <row r="514" spans="5:5">
      <c r="E514" s="19"/>
    </row>
    <row r="515" spans="5:5">
      <c r="E515" s="19"/>
    </row>
    <row r="516" spans="5:5">
      <c r="E516" s="19"/>
    </row>
    <row r="517" spans="5:5">
      <c r="E517" s="19"/>
    </row>
    <row r="518" spans="5:5">
      <c r="E518" s="19"/>
    </row>
    <row r="519" spans="5:5">
      <c r="E519" s="19"/>
    </row>
    <row r="520" spans="5:5">
      <c r="E520" s="19"/>
    </row>
    <row r="521" spans="5:5">
      <c r="E521" s="19"/>
    </row>
    <row r="522" spans="5:5">
      <c r="E522" s="19"/>
    </row>
    <row r="523" spans="5:5">
      <c r="E523" s="19"/>
    </row>
    <row r="524" spans="5:5">
      <c r="E524" s="19"/>
    </row>
    <row r="525" spans="5:5">
      <c r="E525" s="19"/>
    </row>
    <row r="526" spans="5:5">
      <c r="E526" s="19"/>
    </row>
    <row r="527" spans="5:5">
      <c r="E527" s="19"/>
    </row>
    <row r="528" spans="5:5">
      <c r="E528" s="19"/>
    </row>
    <row r="529" spans="5:5">
      <c r="E529" s="19"/>
    </row>
    <row r="530" spans="5:5">
      <c r="E530" s="19"/>
    </row>
    <row r="531" spans="5:5">
      <c r="E531" s="19"/>
    </row>
    <row r="532" spans="5:5">
      <c r="E532" s="19"/>
    </row>
    <row r="533" spans="5:5">
      <c r="E533" s="19"/>
    </row>
    <row r="534" spans="5:5">
      <c r="E534" s="19"/>
    </row>
    <row r="535" spans="5:5">
      <c r="E535" s="19"/>
    </row>
    <row r="536" spans="5:5">
      <c r="E536" s="19"/>
    </row>
    <row r="537" spans="5:5">
      <c r="E537" s="19"/>
    </row>
    <row r="538" spans="5:5">
      <c r="E538" s="19"/>
    </row>
    <row r="539" spans="5:5">
      <c r="E539" s="19"/>
    </row>
    <row r="540" spans="5:5">
      <c r="E540" s="19"/>
    </row>
    <row r="541" spans="5:5">
      <c r="E541" s="19"/>
    </row>
    <row r="542" spans="5:5">
      <c r="E542" s="19"/>
    </row>
    <row r="543" spans="5:5">
      <c r="E543" s="19"/>
    </row>
    <row r="544" spans="5:5">
      <c r="E544" s="19"/>
    </row>
    <row r="545" spans="5:5">
      <c r="E545" s="19"/>
    </row>
    <row r="546" spans="5:5">
      <c r="E546" s="19"/>
    </row>
    <row r="547" spans="5:5">
      <c r="E547" s="19"/>
    </row>
    <row r="548" spans="5:5">
      <c r="E548" s="19"/>
    </row>
    <row r="549" spans="5:5">
      <c r="E549" s="19"/>
    </row>
    <row r="550" spans="5:5">
      <c r="E550" s="19"/>
    </row>
    <row r="551" spans="5:5">
      <c r="E551" s="19"/>
    </row>
    <row r="552" spans="5:5">
      <c r="E552" s="19"/>
    </row>
    <row r="553" spans="5:5">
      <c r="E553" s="19"/>
    </row>
    <row r="554" spans="5:5">
      <c r="E554" s="19"/>
    </row>
    <row r="555" spans="5:5">
      <c r="E555" s="19"/>
    </row>
    <row r="556" spans="5:5">
      <c r="E556" s="19"/>
    </row>
    <row r="557" spans="5:5">
      <c r="E557" s="19"/>
    </row>
    <row r="558" spans="5:5">
      <c r="E558" s="19"/>
    </row>
    <row r="559" spans="5:5">
      <c r="E559" s="19"/>
    </row>
    <row r="560" spans="5:5">
      <c r="E560" s="19"/>
    </row>
    <row r="561" spans="5:5">
      <c r="E561" s="19"/>
    </row>
    <row r="562" spans="5:5">
      <c r="E562" s="19"/>
    </row>
    <row r="563" spans="5:5">
      <c r="E563" s="19"/>
    </row>
    <row r="564" spans="5:5">
      <c r="E564" s="19"/>
    </row>
    <row r="565" spans="5:5">
      <c r="E565" s="19"/>
    </row>
    <row r="566" spans="5:5">
      <c r="E566" s="19"/>
    </row>
    <row r="567" spans="5:5">
      <c r="E567" s="19"/>
    </row>
    <row r="568" spans="5:5">
      <c r="E568" s="19"/>
    </row>
    <row r="569" spans="5:5">
      <c r="E569" s="19"/>
    </row>
    <row r="570" spans="5:5">
      <c r="E570" s="19"/>
    </row>
    <row r="571" spans="5:5">
      <c r="E571" s="19"/>
    </row>
    <row r="572" spans="5:5">
      <c r="E572" s="19"/>
    </row>
    <row r="573" spans="5:5">
      <c r="E573" s="19"/>
    </row>
    <row r="574" spans="5:5">
      <c r="E574" s="19"/>
    </row>
    <row r="575" spans="5:5">
      <c r="E575" s="19"/>
    </row>
    <row r="576" spans="5:5">
      <c r="E576" s="19"/>
    </row>
    <row r="577" spans="5:5">
      <c r="E577" s="19"/>
    </row>
    <row r="578" spans="5:5">
      <c r="E578" s="19"/>
    </row>
    <row r="579" spans="5:5">
      <c r="E579" s="19"/>
    </row>
    <row r="580" spans="5:5">
      <c r="E580" s="19"/>
    </row>
    <row r="581" spans="5:5">
      <c r="E581" s="19"/>
    </row>
    <row r="582" spans="5:5">
      <c r="E582" s="19"/>
    </row>
    <row r="583" spans="5:5">
      <c r="E583" s="19"/>
    </row>
    <row r="584" spans="5:5">
      <c r="E584" s="19"/>
    </row>
    <row r="585" spans="5:5">
      <c r="E585" s="19"/>
    </row>
    <row r="586" spans="5:5">
      <c r="E586" s="19"/>
    </row>
    <row r="587" spans="5:5">
      <c r="E587" s="19"/>
    </row>
    <row r="588" spans="5:5">
      <c r="E588" s="19"/>
    </row>
    <row r="589" spans="5:5">
      <c r="E589" s="19"/>
    </row>
    <row r="590" spans="5:5">
      <c r="E590" s="19"/>
    </row>
    <row r="591" spans="5:5">
      <c r="E591" s="19"/>
    </row>
    <row r="592" spans="5:5">
      <c r="E592" s="19"/>
    </row>
    <row r="593" spans="5:5">
      <c r="E593" s="19"/>
    </row>
    <row r="594" spans="5:5">
      <c r="E594" s="19"/>
    </row>
    <row r="595" spans="5:5">
      <c r="E595" s="19"/>
    </row>
    <row r="596" spans="5:5">
      <c r="E596" s="19"/>
    </row>
    <row r="597" spans="5:5">
      <c r="E597" s="19"/>
    </row>
    <row r="598" spans="5:5">
      <c r="E598" s="19"/>
    </row>
    <row r="599" spans="5:5">
      <c r="E599" s="19"/>
    </row>
    <row r="600" spans="5:5">
      <c r="E600" s="19"/>
    </row>
    <row r="601" spans="5:5">
      <c r="E601" s="19"/>
    </row>
    <row r="602" spans="5:5">
      <c r="E602" s="19"/>
    </row>
    <row r="603" spans="5:5">
      <c r="E603" s="19"/>
    </row>
    <row r="604" spans="5:5">
      <c r="E604" s="19"/>
    </row>
    <row r="605" spans="5:5">
      <c r="E605" s="19"/>
    </row>
    <row r="606" spans="5:5">
      <c r="E606" s="19"/>
    </row>
    <row r="607" spans="5:5">
      <c r="E607" s="19"/>
    </row>
    <row r="608" spans="5:5">
      <c r="E608" s="19"/>
    </row>
    <row r="609" spans="5:5">
      <c r="E609" s="19"/>
    </row>
    <row r="610" spans="5:5">
      <c r="E610" s="19"/>
    </row>
    <row r="611" spans="5:5">
      <c r="E611" s="19"/>
    </row>
    <row r="612" spans="5:5">
      <c r="E612" s="19"/>
    </row>
    <row r="613" spans="5:5">
      <c r="E613" s="19"/>
    </row>
    <row r="614" spans="5:5">
      <c r="E614" s="19"/>
    </row>
    <row r="615" spans="5:5">
      <c r="E615" s="19"/>
    </row>
    <row r="616" spans="5:5">
      <c r="E616" s="19"/>
    </row>
    <row r="617" spans="5:5">
      <c r="E617" s="19"/>
    </row>
    <row r="618" spans="5:5">
      <c r="E618" s="19"/>
    </row>
    <row r="619" spans="5:5">
      <c r="E619" s="19"/>
    </row>
    <row r="620" spans="5:5">
      <c r="E620" s="19"/>
    </row>
    <row r="621" spans="5:5">
      <c r="E621" s="19"/>
    </row>
    <row r="622" spans="5:5">
      <c r="E622" s="19"/>
    </row>
    <row r="623" spans="5:5">
      <c r="E623" s="19"/>
    </row>
    <row r="624" spans="5:5">
      <c r="E624" s="19"/>
    </row>
    <row r="625" spans="5:5">
      <c r="E625" s="19"/>
    </row>
    <row r="626" spans="5:5">
      <c r="E626" s="19"/>
    </row>
    <row r="627" spans="5:5">
      <c r="E627" s="19"/>
    </row>
    <row r="628" spans="5:5">
      <c r="E628" s="19"/>
    </row>
    <row r="629" spans="5:5">
      <c r="E629" s="19"/>
    </row>
    <row r="630" spans="5:5">
      <c r="E630" s="19"/>
    </row>
    <row r="631" spans="5:5">
      <c r="E631" s="19"/>
    </row>
    <row r="632" spans="5:5">
      <c r="E632" s="19"/>
    </row>
    <row r="633" spans="5:5">
      <c r="E633" s="19"/>
    </row>
    <row r="634" spans="5:5">
      <c r="E634" s="19"/>
    </row>
    <row r="635" spans="5:5">
      <c r="E635" s="19"/>
    </row>
    <row r="636" spans="5:5">
      <c r="E636" s="19"/>
    </row>
    <row r="637" spans="5:5">
      <c r="E637" s="19"/>
    </row>
    <row r="638" spans="5:5">
      <c r="E638" s="19"/>
    </row>
    <row r="639" spans="5:5">
      <c r="E639" s="19"/>
    </row>
    <row r="640" spans="5:5">
      <c r="E640" s="19"/>
    </row>
    <row r="641" spans="5:5">
      <c r="E641" s="19"/>
    </row>
    <row r="642" spans="5:5">
      <c r="E642" s="19"/>
    </row>
    <row r="643" spans="5:5">
      <c r="E643" s="19"/>
    </row>
    <row r="644" spans="5:5">
      <c r="E644" s="19"/>
    </row>
    <row r="645" spans="5:5">
      <c r="E645" s="19"/>
    </row>
    <row r="646" spans="5:5">
      <c r="E646" s="19"/>
    </row>
    <row r="647" spans="5:5">
      <c r="E647" s="19"/>
    </row>
    <row r="648" spans="5:5">
      <c r="E648" s="19"/>
    </row>
    <row r="649" spans="5:5">
      <c r="E649" s="19"/>
    </row>
    <row r="650" spans="5:5">
      <c r="E650" s="19"/>
    </row>
    <row r="651" spans="5:5">
      <c r="E651" s="19"/>
    </row>
    <row r="652" spans="5:5">
      <c r="E652" s="19"/>
    </row>
    <row r="653" spans="5:5">
      <c r="E653" s="19"/>
    </row>
    <row r="654" spans="5:5">
      <c r="E654" s="19"/>
    </row>
    <row r="655" spans="5:5">
      <c r="E655" s="19"/>
    </row>
    <row r="656" spans="5:5">
      <c r="E656" s="19"/>
    </row>
    <row r="657" spans="5:5">
      <c r="E657" s="19"/>
    </row>
    <row r="658" spans="5:5">
      <c r="E658" s="19"/>
    </row>
    <row r="659" spans="5:5">
      <c r="E659" s="19"/>
    </row>
    <row r="660" spans="5:5">
      <c r="E660" s="19"/>
    </row>
    <row r="661" spans="5:5">
      <c r="E661" s="19"/>
    </row>
    <row r="662" spans="5:5">
      <c r="E662" s="19"/>
    </row>
    <row r="663" spans="5:5">
      <c r="E663" s="19"/>
    </row>
    <row r="664" spans="5:5">
      <c r="E664" s="19"/>
    </row>
    <row r="665" spans="5:5">
      <c r="E665" s="19"/>
    </row>
    <row r="666" spans="5:5">
      <c r="E666" s="19"/>
    </row>
    <row r="667" spans="5:5">
      <c r="E667" s="19"/>
    </row>
    <row r="668" spans="5:5">
      <c r="E668" s="19"/>
    </row>
    <row r="669" spans="5:5">
      <c r="E669" s="19"/>
    </row>
    <row r="670" spans="5:5">
      <c r="E670" s="19"/>
    </row>
    <row r="671" spans="5:5">
      <c r="E671" s="19"/>
    </row>
    <row r="672" spans="5:5">
      <c r="E672" s="19"/>
    </row>
    <row r="673" spans="5:5">
      <c r="E673" s="19"/>
    </row>
    <row r="674" spans="5:5">
      <c r="E674" s="19"/>
    </row>
    <row r="675" spans="5:5">
      <c r="E675" s="19"/>
    </row>
    <row r="676" spans="5:5">
      <c r="E676" s="19"/>
    </row>
    <row r="677" spans="5:5">
      <c r="E677" s="19"/>
    </row>
    <row r="678" spans="5:5">
      <c r="E678" s="19"/>
    </row>
    <row r="679" spans="5:5">
      <c r="E679" s="19"/>
    </row>
    <row r="680" spans="5:5">
      <c r="E680" s="19"/>
    </row>
    <row r="681" spans="5:5">
      <c r="E681" s="19"/>
    </row>
    <row r="682" spans="5:5">
      <c r="E682" s="19"/>
    </row>
    <row r="683" spans="5:5">
      <c r="E683" s="19"/>
    </row>
    <row r="684" spans="5:5">
      <c r="E684" s="19"/>
    </row>
    <row r="685" spans="5:5">
      <c r="E685" s="19"/>
    </row>
    <row r="686" spans="5:5">
      <c r="E686" s="19"/>
    </row>
    <row r="687" spans="5:5">
      <c r="E687" s="19"/>
    </row>
    <row r="688" spans="5:5">
      <c r="E688" s="19"/>
    </row>
    <row r="689" spans="5:5">
      <c r="E689" s="19"/>
    </row>
    <row r="690" spans="5:5">
      <c r="E690" s="19"/>
    </row>
    <row r="691" spans="5:5">
      <c r="E691" s="19"/>
    </row>
    <row r="692" spans="5:5">
      <c r="E692" s="19"/>
    </row>
    <row r="693" spans="5:5">
      <c r="E693" s="19"/>
    </row>
    <row r="694" spans="5:5">
      <c r="E694" s="19"/>
    </row>
    <row r="695" spans="5:5">
      <c r="E695" s="19"/>
    </row>
    <row r="696" spans="5:5">
      <c r="E696" s="19"/>
    </row>
    <row r="697" spans="5:5">
      <c r="E697" s="19"/>
    </row>
    <row r="698" spans="5:5">
      <c r="E698" s="19"/>
    </row>
    <row r="699" spans="5:5">
      <c r="E699" s="19"/>
    </row>
    <row r="700" spans="5:5">
      <c r="E700" s="19"/>
    </row>
    <row r="701" spans="5:5">
      <c r="E701" s="19"/>
    </row>
    <row r="702" spans="5:5">
      <c r="E702" s="19"/>
    </row>
    <row r="703" spans="5:5">
      <c r="E703" s="19"/>
    </row>
    <row r="704" spans="5:5">
      <c r="E704" s="19"/>
    </row>
    <row r="705" spans="5:5">
      <c r="E705" s="19"/>
    </row>
    <row r="706" spans="5:5">
      <c r="E706" s="19"/>
    </row>
    <row r="707" spans="5:5">
      <c r="E707" s="19"/>
    </row>
    <row r="708" spans="5:5">
      <c r="E708" s="19"/>
    </row>
    <row r="709" spans="5:5">
      <c r="E709" s="19"/>
    </row>
    <row r="710" spans="5:5">
      <c r="E710" s="19"/>
    </row>
    <row r="711" spans="5:5">
      <c r="E711" s="19"/>
    </row>
    <row r="712" spans="5:5">
      <c r="E712" s="19"/>
    </row>
    <row r="713" spans="5:5">
      <c r="E713" s="19"/>
    </row>
    <row r="714" spans="5:5">
      <c r="E714" s="19"/>
    </row>
    <row r="715" spans="5:5">
      <c r="E715" s="19"/>
    </row>
    <row r="716" spans="5:5">
      <c r="E716" s="19"/>
    </row>
    <row r="717" spans="5:5">
      <c r="E717" s="19"/>
    </row>
    <row r="718" spans="5:5">
      <c r="E718" s="19"/>
    </row>
    <row r="719" spans="5:5">
      <c r="E719" s="19"/>
    </row>
    <row r="720" spans="5:5">
      <c r="E720" s="19"/>
    </row>
    <row r="721" spans="5:5">
      <c r="E721" s="19"/>
    </row>
    <row r="722" spans="5:5">
      <c r="E722" s="19"/>
    </row>
    <row r="723" spans="5:5">
      <c r="E723" s="19"/>
    </row>
    <row r="724" spans="5:5">
      <c r="E724" s="19"/>
    </row>
    <row r="725" spans="5:5">
      <c r="E725" s="19"/>
    </row>
    <row r="726" spans="5:5">
      <c r="E726" s="19"/>
    </row>
    <row r="727" spans="5:5">
      <c r="E727" s="19"/>
    </row>
    <row r="728" spans="5:5">
      <c r="E728" s="19"/>
    </row>
    <row r="729" spans="5:5">
      <c r="E729" s="19"/>
    </row>
    <row r="730" spans="5:5">
      <c r="E730" s="19"/>
    </row>
    <row r="731" spans="5:5">
      <c r="E731" s="19"/>
    </row>
    <row r="732" spans="5:5">
      <c r="E732" s="19"/>
    </row>
    <row r="733" spans="5:5">
      <c r="E733" s="19"/>
    </row>
    <row r="734" spans="5:5">
      <c r="E734" s="19"/>
    </row>
    <row r="735" spans="5:5">
      <c r="E735" s="19"/>
    </row>
    <row r="736" spans="5:5">
      <c r="E736" s="19"/>
    </row>
    <row r="737" spans="5:5">
      <c r="E737" s="19"/>
    </row>
    <row r="738" spans="5:5">
      <c r="E738" s="19"/>
    </row>
    <row r="739" spans="5:5">
      <c r="E739" s="19"/>
    </row>
    <row r="740" spans="5:5">
      <c r="E740" s="19"/>
    </row>
    <row r="741" spans="5:5">
      <c r="E741" s="19"/>
    </row>
    <row r="742" spans="5:5">
      <c r="E742" s="19"/>
    </row>
    <row r="743" spans="5:5">
      <c r="E743" s="19"/>
    </row>
    <row r="744" spans="5:5">
      <c r="E744" s="19"/>
    </row>
    <row r="745" spans="5:5">
      <c r="E745" s="19"/>
    </row>
    <row r="746" spans="5:5">
      <c r="E746" s="19"/>
    </row>
    <row r="747" spans="5:5">
      <c r="E747" s="19"/>
    </row>
    <row r="748" spans="5:5">
      <c r="E748" s="19"/>
    </row>
    <row r="749" spans="5:5">
      <c r="E749" s="19"/>
    </row>
    <row r="750" spans="5:5">
      <c r="E750" s="19"/>
    </row>
    <row r="751" spans="5:5">
      <c r="E751" s="19"/>
    </row>
    <row r="752" spans="5:5">
      <c r="E752" s="19"/>
    </row>
    <row r="753" spans="5:5">
      <c r="E753" s="19"/>
    </row>
    <row r="754" spans="5:5">
      <c r="E754" s="19"/>
    </row>
    <row r="755" spans="5:5">
      <c r="E755" s="19"/>
    </row>
    <row r="756" spans="5:5">
      <c r="E756" s="19"/>
    </row>
    <row r="757" spans="5:5">
      <c r="E757" s="19"/>
    </row>
    <row r="758" spans="5:5">
      <c r="E758" s="19"/>
    </row>
    <row r="759" spans="5:5">
      <c r="E759" s="19"/>
    </row>
    <row r="760" spans="5:5">
      <c r="E760" s="19"/>
    </row>
    <row r="761" spans="5:5">
      <c r="E761" s="19"/>
    </row>
    <row r="762" spans="5:5">
      <c r="E762" s="19"/>
    </row>
    <row r="763" spans="5:5">
      <c r="E763" s="19"/>
    </row>
    <row r="764" spans="5:5">
      <c r="E764" s="19"/>
    </row>
    <row r="765" spans="5:5">
      <c r="E765" s="19"/>
    </row>
    <row r="766" spans="5:5">
      <c r="E766" s="19"/>
    </row>
    <row r="767" spans="5:5">
      <c r="E767" s="19"/>
    </row>
    <row r="768" spans="5:5">
      <c r="E768" s="19"/>
    </row>
    <row r="769" spans="5:5">
      <c r="E769" s="19"/>
    </row>
    <row r="770" spans="5:5">
      <c r="E770" s="19"/>
    </row>
    <row r="771" spans="5:5">
      <c r="E771" s="19"/>
    </row>
    <row r="772" spans="5:5">
      <c r="E772" s="19"/>
    </row>
    <row r="773" spans="5:5">
      <c r="E773" s="19"/>
    </row>
    <row r="774" spans="5:5">
      <c r="E774" s="19"/>
    </row>
    <row r="775" spans="5:5">
      <c r="E775" s="19"/>
    </row>
    <row r="776" spans="5:5">
      <c r="E776" s="19"/>
    </row>
    <row r="777" spans="5:5">
      <c r="E777" s="19"/>
    </row>
    <row r="778" spans="5:5">
      <c r="E778" s="19"/>
    </row>
    <row r="779" spans="5:5">
      <c r="E779" s="19"/>
    </row>
    <row r="780" spans="5:5">
      <c r="E780" s="19"/>
    </row>
    <row r="781" spans="5:5">
      <c r="E781" s="19"/>
    </row>
    <row r="782" spans="5:5">
      <c r="E782" s="19"/>
    </row>
    <row r="783" spans="5:5">
      <c r="E783" s="19"/>
    </row>
    <row r="784" spans="5:5">
      <c r="E784" s="19"/>
    </row>
    <row r="785" spans="5:5">
      <c r="E785" s="19"/>
    </row>
    <row r="786" spans="5:5">
      <c r="E786" s="19"/>
    </row>
    <row r="787" spans="5:5">
      <c r="E787" s="19"/>
    </row>
    <row r="788" spans="5:5">
      <c r="E788" s="19"/>
    </row>
    <row r="789" spans="5:5">
      <c r="E789" s="19"/>
    </row>
    <row r="790" spans="5:5">
      <c r="E790" s="19"/>
    </row>
    <row r="791" spans="5:5">
      <c r="E791" s="19"/>
    </row>
    <row r="792" spans="5:5">
      <c r="E792" s="19"/>
    </row>
    <row r="793" spans="5:5">
      <c r="E793" s="19"/>
    </row>
    <row r="794" spans="5:5">
      <c r="E794" s="19"/>
    </row>
    <row r="795" spans="5:5">
      <c r="E795" s="19"/>
    </row>
    <row r="796" spans="5:5">
      <c r="E796" s="19"/>
    </row>
    <row r="797" spans="5:5">
      <c r="E797" s="19"/>
    </row>
    <row r="798" spans="5:5">
      <c r="E798" s="19"/>
    </row>
    <row r="799" spans="5:5">
      <c r="E799" s="19"/>
    </row>
    <row r="800" spans="5:5">
      <c r="E800" s="19"/>
    </row>
    <row r="801" spans="5:5">
      <c r="E801" s="19"/>
    </row>
    <row r="802" spans="5:5">
      <c r="E802" s="19"/>
    </row>
    <row r="803" spans="5:5">
      <c r="E803" s="19"/>
    </row>
    <row r="804" spans="5:5">
      <c r="E804" s="19"/>
    </row>
    <row r="805" spans="5:5">
      <c r="E805" s="19"/>
    </row>
    <row r="806" spans="5:5">
      <c r="E806" s="19"/>
    </row>
    <row r="807" spans="5:5">
      <c r="E807" s="19"/>
    </row>
    <row r="808" spans="5:5">
      <c r="E808" s="19"/>
    </row>
    <row r="809" spans="5:5">
      <c r="E809" s="19"/>
    </row>
    <row r="810" spans="5:5">
      <c r="E810" s="19"/>
    </row>
    <row r="811" spans="5:5">
      <c r="E811" s="19"/>
    </row>
    <row r="812" spans="5:5">
      <c r="E812" s="19"/>
    </row>
    <row r="813" spans="5:5">
      <c r="E813" s="19"/>
    </row>
    <row r="814" spans="5:5">
      <c r="E814" s="19"/>
    </row>
    <row r="815" spans="5:5">
      <c r="E815" s="19"/>
    </row>
    <row r="816" spans="5:5">
      <c r="E816" s="19"/>
    </row>
    <row r="817" spans="5:5">
      <c r="E817" s="19"/>
    </row>
    <row r="818" spans="5:5">
      <c r="E818" s="19"/>
    </row>
    <row r="819" spans="5:5">
      <c r="E819" s="19"/>
    </row>
    <row r="820" spans="5:5">
      <c r="E820" s="19"/>
    </row>
    <row r="821" spans="5:5">
      <c r="E821" s="19"/>
    </row>
    <row r="822" spans="5:5">
      <c r="E822" s="19"/>
    </row>
    <row r="823" spans="5:5">
      <c r="E823" s="19"/>
    </row>
    <row r="824" spans="5:5">
      <c r="E824" s="19"/>
    </row>
    <row r="825" spans="5:5">
      <c r="E825" s="19"/>
    </row>
    <row r="826" spans="5:5">
      <c r="E826" s="19"/>
    </row>
    <row r="827" spans="5:5">
      <c r="E827" s="19"/>
    </row>
    <row r="828" spans="5:5">
      <c r="E828" s="19"/>
    </row>
    <row r="829" spans="5:5">
      <c r="E829" s="19"/>
    </row>
    <row r="830" spans="5:5">
      <c r="E830" s="19"/>
    </row>
    <row r="831" spans="5:5">
      <c r="E831" s="19"/>
    </row>
    <row r="832" spans="5:5">
      <c r="E832" s="19"/>
    </row>
    <row r="833" spans="5:5">
      <c r="E833" s="19"/>
    </row>
    <row r="834" spans="5:5">
      <c r="E834" s="19"/>
    </row>
    <row r="835" spans="5:5">
      <c r="E835" s="19"/>
    </row>
    <row r="836" spans="5:5">
      <c r="E836" s="19"/>
    </row>
    <row r="837" spans="5:5">
      <c r="E837" s="19"/>
    </row>
    <row r="838" spans="5:5">
      <c r="E838" s="19"/>
    </row>
    <row r="839" spans="5:5">
      <c r="E839" s="19"/>
    </row>
    <row r="840" spans="5:5">
      <c r="E840" s="19"/>
    </row>
    <row r="841" spans="5:5">
      <c r="E841" s="19"/>
    </row>
    <row r="842" spans="5:5">
      <c r="E842" s="19"/>
    </row>
    <row r="843" spans="5:5">
      <c r="E843" s="19"/>
    </row>
    <row r="844" spans="5:5">
      <c r="E844" s="19"/>
    </row>
    <row r="845" spans="5:5">
      <c r="E845" s="19"/>
    </row>
    <row r="846" spans="5:5">
      <c r="E846" s="19"/>
    </row>
    <row r="847" spans="5:5">
      <c r="E847" s="19"/>
    </row>
    <row r="848" spans="5:5">
      <c r="E848" s="19"/>
    </row>
    <row r="849" spans="5:5">
      <c r="E849" s="19"/>
    </row>
    <row r="850" spans="5:5">
      <c r="E850" s="19"/>
    </row>
    <row r="851" spans="5:5">
      <c r="E851" s="19"/>
    </row>
    <row r="852" spans="5:5">
      <c r="E852" s="19"/>
    </row>
    <row r="853" spans="5:5">
      <c r="E853" s="19"/>
    </row>
    <row r="854" spans="5:5">
      <c r="E854" s="19"/>
    </row>
    <row r="855" spans="5:5">
      <c r="E855" s="19"/>
    </row>
    <row r="856" spans="5:5">
      <c r="E856" s="19"/>
    </row>
    <row r="857" spans="5:5">
      <c r="E857" s="19"/>
    </row>
    <row r="858" spans="5:5">
      <c r="E858" s="19"/>
    </row>
  </sheetData>
  <conditionalFormatting sqref="G229:G237 F229:F234 F236:F237 F227:J227 H237:K237 H229:H231 E238:J238 H233:H236 I229:J236 F212:J220">
    <cfRule type="expression" dxfId="6" priority="1">
      <formula>#REF!=0</formula>
    </cfRule>
  </conditionalFormatting>
  <printOptions headings="1"/>
  <pageMargins left="0.23622047244094491" right="0.27559055118110237" top="0.74803149606299213" bottom="0.74803149606299213" header="0.31496062992125984" footer="0.31496062992125984"/>
  <pageSetup paperSize="8" scale="53" fitToHeight="0" orientation="portrait" r:id="rId1"/>
  <drawing r:id="rId2"/>
  <legacyDrawing r:id="rId3"/>
</worksheet>
</file>

<file path=xl/worksheets/sheet15.xml><?xml version="1.0" encoding="utf-8"?>
<worksheet xmlns="http://schemas.openxmlformats.org/spreadsheetml/2006/main" xmlns:r="http://schemas.openxmlformats.org/officeDocument/2006/relationships">
  <sheetPr codeName="Sheet35">
    <tabColor theme="9" tint="0.79998168889431442"/>
    <pageSetUpPr fitToPage="1"/>
  </sheetPr>
  <dimension ref="A1:Z858"/>
  <sheetViews>
    <sheetView zoomScaleNormal="100" workbookViewId="0"/>
  </sheetViews>
  <sheetFormatPr defaultRowHeight="15"/>
  <cols>
    <col min="1" max="2" width="4.140625" style="22" customWidth="1"/>
    <col min="3" max="3" width="47.5703125" style="22" customWidth="1"/>
    <col min="4" max="4" width="13.5703125" style="22" customWidth="1"/>
    <col min="5" max="5" width="10.5703125" style="22" customWidth="1"/>
    <col min="6" max="6" width="13.42578125" style="22" customWidth="1"/>
    <col min="7" max="7" width="10.42578125" style="22" customWidth="1"/>
    <col min="8" max="8" width="11.5703125" style="22" customWidth="1"/>
    <col min="9" max="9" width="10.28515625" style="22" customWidth="1"/>
    <col min="10" max="10" width="13.7109375" style="22" customWidth="1"/>
    <col min="11" max="11" width="11.28515625" style="22" customWidth="1"/>
    <col min="12" max="12" width="19.5703125" style="22" bestFit="1" customWidth="1"/>
    <col min="13" max="13" width="11.5703125" style="22" bestFit="1" customWidth="1"/>
    <col min="14" max="16384" width="9.140625" style="22"/>
  </cols>
  <sheetData>
    <row r="1" spans="1:16" ht="23.25">
      <c r="A1" s="27"/>
      <c r="C1" s="1" t="str">
        <f ca="1">OFFSET(Inputs_Anchor,0,G1+1)</f>
        <v xml:space="preserve">Powerco </v>
      </c>
      <c r="D1" s="1"/>
      <c r="E1" s="1"/>
      <c r="F1" s="4" t="s">
        <v>109</v>
      </c>
      <c r="G1" s="5">
        <v>11</v>
      </c>
      <c r="H1" s="1"/>
      <c r="I1" s="1"/>
      <c r="J1" s="1"/>
      <c r="K1" s="1"/>
      <c r="L1" s="1"/>
      <c r="M1" s="1"/>
      <c r="N1" s="1"/>
      <c r="O1" s="1"/>
      <c r="P1" s="1"/>
    </row>
    <row r="2" spans="1:16">
      <c r="A2" s="27"/>
      <c r="L2" s="26"/>
    </row>
    <row r="3" spans="1:16" ht="23.25">
      <c r="C3" s="1" t="s">
        <v>3</v>
      </c>
      <c r="D3" s="1"/>
      <c r="E3" s="1"/>
      <c r="F3" s="1"/>
      <c r="G3" s="1"/>
      <c r="H3" s="1"/>
      <c r="I3" s="1"/>
      <c r="J3" s="1"/>
      <c r="K3" s="1"/>
      <c r="L3" s="1"/>
      <c r="M3" s="1"/>
      <c r="N3" s="1"/>
      <c r="O3" s="1"/>
      <c r="P3" s="1"/>
    </row>
    <row r="4" spans="1:16">
      <c r="A4" s="27"/>
      <c r="B4" s="27"/>
      <c r="C4" s="27"/>
      <c r="D4" s="147" t="s">
        <v>57</v>
      </c>
      <c r="E4" s="147" t="s">
        <v>58</v>
      </c>
      <c r="F4" s="27"/>
      <c r="G4" s="27"/>
      <c r="H4" s="148" t="s">
        <v>5</v>
      </c>
      <c r="I4" s="27"/>
      <c r="J4" s="27"/>
      <c r="K4" s="27"/>
      <c r="L4" s="27"/>
    </row>
    <row r="5" spans="1:16">
      <c r="A5" s="30"/>
      <c r="B5" s="27"/>
      <c r="C5" s="27"/>
      <c r="D5" s="147" t="s">
        <v>56</v>
      </c>
      <c r="E5" s="147"/>
      <c r="F5" s="27"/>
      <c r="G5" s="27"/>
      <c r="H5" s="27"/>
      <c r="I5" s="27"/>
      <c r="J5" s="27"/>
      <c r="K5" s="27"/>
      <c r="L5" s="27"/>
    </row>
    <row r="6" spans="1:16">
      <c r="A6" s="119"/>
      <c r="B6" s="50"/>
      <c r="C6" s="99" t="s">
        <v>1</v>
      </c>
      <c r="D6" s="50"/>
      <c r="E6" s="99" t="str">
        <f>Inputs!D11</f>
        <v>2009/10</v>
      </c>
      <c r="F6" s="99" t="str">
        <f>Inputs!E11</f>
        <v>2010/11</v>
      </c>
      <c r="G6" s="99" t="str">
        <f>Inputs!F11</f>
        <v>2011/12</v>
      </c>
      <c r="H6" s="99" t="str">
        <f>Inputs!G11</f>
        <v>2012/13</v>
      </c>
      <c r="I6" s="99" t="str">
        <f>Inputs!H11</f>
        <v>2013/14</v>
      </c>
      <c r="J6" s="99" t="str">
        <f>Inputs!I11</f>
        <v>2014/15</v>
      </c>
      <c r="K6" s="99"/>
      <c r="L6" s="67"/>
    </row>
    <row r="7" spans="1:16">
      <c r="A7" s="119"/>
      <c r="B7" s="50"/>
      <c r="C7" s="50" t="s">
        <v>59</v>
      </c>
      <c r="D7" s="50"/>
      <c r="E7" s="125">
        <v>1</v>
      </c>
      <c r="F7" s="125">
        <v>2</v>
      </c>
      <c r="G7" s="125">
        <v>3</v>
      </c>
      <c r="H7" s="125">
        <v>4</v>
      </c>
      <c r="I7" s="125">
        <v>5</v>
      </c>
      <c r="J7" s="125">
        <v>6</v>
      </c>
      <c r="K7" s="125"/>
      <c r="L7" s="67"/>
    </row>
    <row r="8" spans="1:16">
      <c r="A8" s="119">
        <v>1</v>
      </c>
      <c r="B8" s="149"/>
      <c r="C8" s="50" t="str">
        <f>Inputs!B20</f>
        <v>Line Revenue through Prices</v>
      </c>
      <c r="D8" s="50"/>
      <c r="E8" s="47">
        <f t="shared" ref="E8:E27" si="0">INDEX(InputsBlock,A8+1,$G$1+2)</f>
        <v>291865.93942000007</v>
      </c>
      <c r="F8" s="50"/>
      <c r="G8" s="50"/>
      <c r="H8" s="50"/>
      <c r="I8" s="50"/>
      <c r="J8" s="50"/>
      <c r="K8" s="50"/>
      <c r="L8" s="27"/>
    </row>
    <row r="9" spans="1:16">
      <c r="A9" s="119">
        <f t="shared" ref="A9:A27" si="1">A8+1</f>
        <v>2</v>
      </c>
      <c r="B9" s="149"/>
      <c r="C9" s="50" t="str">
        <f>Inputs!B21</f>
        <v>Pass-through costs</v>
      </c>
      <c r="D9" s="50"/>
      <c r="E9" s="47">
        <f t="shared" si="0"/>
        <v>2010.0115150000001</v>
      </c>
      <c r="F9" s="50"/>
      <c r="G9" s="50"/>
      <c r="H9" s="50"/>
      <c r="I9" s="50"/>
      <c r="J9" s="50"/>
      <c r="K9" s="50"/>
      <c r="L9" s="27"/>
    </row>
    <row r="10" spans="1:16">
      <c r="A10" s="119">
        <f t="shared" si="1"/>
        <v>3</v>
      </c>
      <c r="B10" s="149"/>
      <c r="C10" s="50" t="str">
        <f>Inputs!B22</f>
        <v>Recoverable costs</v>
      </c>
      <c r="D10" s="50"/>
      <c r="E10" s="47">
        <f t="shared" si="0"/>
        <v>70937.882310463596</v>
      </c>
      <c r="F10" s="50"/>
      <c r="G10" s="50"/>
      <c r="H10" s="50"/>
      <c r="I10" s="50"/>
      <c r="J10" s="50"/>
      <c r="K10" s="50"/>
      <c r="L10" s="27"/>
    </row>
    <row r="11" spans="1:16">
      <c r="A11" s="119">
        <f t="shared" si="1"/>
        <v>4</v>
      </c>
      <c r="B11" s="149"/>
      <c r="C11" s="50" t="str">
        <f>Inputs!B23</f>
        <v>Opening RAB</v>
      </c>
      <c r="D11" s="50"/>
      <c r="E11" s="47">
        <f t="shared" si="0"/>
        <v>1275729.2823470344</v>
      </c>
      <c r="F11" s="50"/>
      <c r="G11" s="50"/>
      <c r="H11" s="50"/>
      <c r="I11" s="50"/>
      <c r="J11" s="50"/>
      <c r="K11" s="50"/>
      <c r="L11" s="150"/>
    </row>
    <row r="12" spans="1:16">
      <c r="A12" s="119">
        <f t="shared" si="1"/>
        <v>5</v>
      </c>
      <c r="B12" s="149"/>
      <c r="C12" s="50" t="str">
        <f>Inputs!B24</f>
        <v>Lost assets</v>
      </c>
      <c r="D12" s="50"/>
      <c r="E12" s="47">
        <f t="shared" si="0"/>
        <v>0</v>
      </c>
      <c r="F12" s="50"/>
      <c r="G12" s="50"/>
      <c r="H12" s="50"/>
      <c r="I12" s="50"/>
      <c r="J12" s="50"/>
      <c r="K12" s="50"/>
      <c r="L12" s="150"/>
    </row>
    <row r="13" spans="1:16">
      <c r="A13" s="119">
        <f t="shared" si="1"/>
        <v>6</v>
      </c>
      <c r="B13" s="149"/>
      <c r="C13" s="50" t="str">
        <f>Inputs!B25</f>
        <v>Found Assets</v>
      </c>
      <c r="D13" s="50"/>
      <c r="E13" s="47">
        <f t="shared" si="0"/>
        <v>0</v>
      </c>
      <c r="F13" s="50"/>
      <c r="G13" s="50"/>
      <c r="H13" s="50"/>
      <c r="I13" s="50"/>
      <c r="J13" s="50"/>
      <c r="K13" s="50"/>
      <c r="L13" s="150"/>
    </row>
    <row r="14" spans="1:16">
      <c r="A14" s="119">
        <f t="shared" si="1"/>
        <v>7</v>
      </c>
      <c r="B14" s="149"/>
      <c r="C14" s="50" t="str">
        <f>Inputs!B26</f>
        <v>Total Depreciation</v>
      </c>
      <c r="D14" s="50"/>
      <c r="E14" s="47">
        <f t="shared" si="0"/>
        <v>52422</v>
      </c>
      <c r="F14" s="47"/>
      <c r="G14" s="191" t="s">
        <v>280</v>
      </c>
      <c r="H14" s="50"/>
      <c r="I14" s="50"/>
      <c r="J14" s="50"/>
      <c r="K14" s="50"/>
      <c r="L14" s="27"/>
    </row>
    <row r="15" spans="1:16">
      <c r="A15" s="119">
        <f t="shared" si="1"/>
        <v>8</v>
      </c>
      <c r="B15" s="149"/>
      <c r="C15" s="50" t="str">
        <f>Inputs!B27</f>
        <v>RAB of disposed assets</v>
      </c>
      <c r="D15" s="50"/>
      <c r="E15" s="47">
        <f t="shared" si="0"/>
        <v>11055</v>
      </c>
      <c r="F15" s="50"/>
      <c r="G15" s="175" t="s">
        <v>281</v>
      </c>
      <c r="H15" s="50"/>
      <c r="I15" s="50"/>
      <c r="J15" s="50"/>
      <c r="K15" s="50"/>
      <c r="L15" s="27"/>
    </row>
    <row r="16" spans="1:16">
      <c r="A16" s="119">
        <f t="shared" si="1"/>
        <v>9</v>
      </c>
      <c r="B16" s="149"/>
      <c r="C16" s="50" t="str">
        <f>Inputs!B28</f>
        <v>Discretionary discounts &amp;  rebates</v>
      </c>
      <c r="D16" s="50"/>
      <c r="E16" s="47">
        <f t="shared" si="0"/>
        <v>0</v>
      </c>
      <c r="F16" s="50"/>
      <c r="G16" s="175" t="s">
        <v>282</v>
      </c>
      <c r="H16" s="50"/>
      <c r="I16" s="50"/>
      <c r="J16" s="50"/>
      <c r="K16" s="50"/>
      <c r="L16" s="27"/>
    </row>
    <row r="17" spans="1:22">
      <c r="A17" s="119">
        <f t="shared" si="1"/>
        <v>10</v>
      </c>
      <c r="B17" s="149"/>
      <c r="C17" s="50" t="str">
        <f>Inputs!B29</f>
        <v>Tax Depreciation</v>
      </c>
      <c r="D17" s="50"/>
      <c r="E17" s="47">
        <f t="shared" si="0"/>
        <v>59202</v>
      </c>
      <c r="F17" s="50"/>
      <c r="G17" s="175" t="s">
        <v>283</v>
      </c>
      <c r="H17" s="50"/>
      <c r="I17" s="50"/>
      <c r="J17" s="50"/>
      <c r="K17" s="50"/>
      <c r="L17" s="27"/>
    </row>
    <row r="18" spans="1:22">
      <c r="A18" s="119">
        <f t="shared" si="1"/>
        <v>11</v>
      </c>
      <c r="B18" s="149"/>
      <c r="C18" s="50" t="str">
        <f>Inputs!B30</f>
        <v>Opening regulatory tax asset value</v>
      </c>
      <c r="D18" s="50"/>
      <c r="E18" s="47">
        <f t="shared" si="0"/>
        <v>930383</v>
      </c>
      <c r="F18" s="50"/>
      <c r="G18" s="50"/>
      <c r="H18" s="50"/>
      <c r="I18" s="50"/>
      <c r="J18" s="50"/>
      <c r="K18" s="50"/>
      <c r="L18" s="27"/>
    </row>
    <row r="19" spans="1:22">
      <c r="A19" s="119">
        <f t="shared" si="1"/>
        <v>12</v>
      </c>
      <c r="B19" s="149"/>
      <c r="C19" s="50" t="str">
        <f>Inputs!B31</f>
        <v>Weighted Average Remaining Life at year-end</v>
      </c>
      <c r="D19" s="50"/>
      <c r="E19" s="47">
        <f t="shared" si="0"/>
        <v>26</v>
      </c>
      <c r="F19" s="50"/>
      <c r="G19" s="50"/>
      <c r="H19" s="50"/>
      <c r="I19" s="50"/>
      <c r="J19" s="50"/>
      <c r="K19" s="50"/>
      <c r="L19" s="27"/>
    </row>
    <row r="20" spans="1:22">
      <c r="A20" s="119">
        <f t="shared" si="1"/>
        <v>13</v>
      </c>
      <c r="B20" s="149"/>
      <c r="C20" s="50" t="str">
        <f>Inputs!B32</f>
        <v>Term Credit Spread Differential Allowance</v>
      </c>
      <c r="D20" s="50"/>
      <c r="E20" s="47">
        <f t="shared" si="0"/>
        <v>-10</v>
      </c>
      <c r="F20" s="50"/>
      <c r="G20" s="50"/>
      <c r="H20" s="50"/>
      <c r="I20" s="50"/>
      <c r="J20" s="50"/>
      <c r="K20" s="50"/>
      <c r="L20" s="27"/>
    </row>
    <row r="21" spans="1:22">
      <c r="A21" s="119">
        <f t="shared" si="1"/>
        <v>14</v>
      </c>
      <c r="B21" s="149"/>
      <c r="C21" s="50" t="s">
        <v>98</v>
      </c>
      <c r="D21" s="50"/>
      <c r="E21" s="47">
        <f t="shared" si="0"/>
        <v>63656</v>
      </c>
      <c r="F21" s="50"/>
      <c r="G21" s="50"/>
      <c r="H21" s="50"/>
      <c r="I21" s="50"/>
      <c r="J21" s="50"/>
      <c r="K21" s="50"/>
      <c r="L21" s="27"/>
    </row>
    <row r="22" spans="1:22">
      <c r="A22" s="119">
        <f t="shared" si="1"/>
        <v>15</v>
      </c>
      <c r="B22" s="149"/>
      <c r="C22" s="50" t="str">
        <f>Inputs!B34</f>
        <v>Operating expenditure 2009/10</v>
      </c>
      <c r="D22" s="50"/>
      <c r="E22" s="47">
        <f t="shared" si="0"/>
        <v>65350.154551183638</v>
      </c>
      <c r="F22" s="50"/>
      <c r="G22" s="50"/>
      <c r="H22" s="50"/>
      <c r="I22" s="50"/>
      <c r="J22" s="50"/>
      <c r="K22" s="50"/>
      <c r="L22" s="27"/>
    </row>
    <row r="23" spans="1:22">
      <c r="A23" s="119">
        <f t="shared" si="1"/>
        <v>16</v>
      </c>
      <c r="B23" s="149"/>
      <c r="C23" s="50" t="str">
        <f>Inputs!B35</f>
        <v>Other reg income (avg of 2008 to 11, in 2009/10 $)</v>
      </c>
      <c r="D23" s="50"/>
      <c r="E23" s="47">
        <f t="shared" si="0"/>
        <v>77.67070145448487</v>
      </c>
      <c r="F23" s="50"/>
      <c r="G23" s="50"/>
      <c r="H23" s="50"/>
      <c r="I23" s="50"/>
      <c r="J23" s="50"/>
      <c r="K23" s="49"/>
      <c r="L23" s="27"/>
    </row>
    <row r="24" spans="1:22">
      <c r="A24" s="119">
        <f t="shared" si="1"/>
        <v>17</v>
      </c>
      <c r="B24" s="149"/>
      <c r="C24" s="119" t="str">
        <f>Inputs!B36</f>
        <v>Allowable notional revenue 2012/13</v>
      </c>
      <c r="D24" s="50"/>
      <c r="E24" s="47">
        <f t="shared" si="0"/>
        <v>238846.31015940016</v>
      </c>
      <c r="F24" s="50"/>
      <c r="G24" s="50"/>
      <c r="H24" s="50"/>
      <c r="I24" s="50"/>
      <c r="J24" s="50"/>
      <c r="K24" s="49"/>
      <c r="L24" s="27"/>
    </row>
    <row r="25" spans="1:22">
      <c r="A25" s="119">
        <f t="shared" si="1"/>
        <v>18</v>
      </c>
      <c r="B25" s="149"/>
      <c r="C25" s="119" t="str">
        <f>Inputs!B37</f>
        <v>Pass-through costs 2012/13</v>
      </c>
      <c r="D25" s="50"/>
      <c r="E25" s="47">
        <f t="shared" si="0"/>
        <v>94874.477709999992</v>
      </c>
      <c r="F25" s="50"/>
      <c r="G25" s="50"/>
      <c r="H25" s="50"/>
      <c r="I25" s="50"/>
      <c r="J25" s="50"/>
      <c r="K25" s="49"/>
      <c r="L25" s="27"/>
    </row>
    <row r="26" spans="1:22">
      <c r="A26" s="119">
        <f t="shared" si="1"/>
        <v>19</v>
      </c>
      <c r="B26" s="50"/>
      <c r="C26" s="50" t="str">
        <f>Inputs!B38</f>
        <v>Alternate X value to 2014/15</v>
      </c>
      <c r="D26" s="49"/>
      <c r="E26" s="151" t="str">
        <f t="shared" si="0"/>
        <v>IWX</v>
      </c>
      <c r="F26" s="50"/>
      <c r="G26" s="50"/>
      <c r="H26" s="50"/>
      <c r="I26" s="50"/>
      <c r="J26" s="50"/>
      <c r="K26" s="49"/>
      <c r="L26" s="27"/>
    </row>
    <row r="27" spans="1:22">
      <c r="A27" s="119">
        <f t="shared" si="1"/>
        <v>20</v>
      </c>
      <c r="B27" s="50"/>
      <c r="C27" s="50" t="str">
        <f>Inputs!B39</f>
        <v>Cap on growth of maximum allowable revenue</v>
      </c>
      <c r="D27" s="50"/>
      <c r="E27" s="151">
        <f t="shared" si="0"/>
        <v>0.2</v>
      </c>
      <c r="F27" s="50"/>
      <c r="G27" s="50"/>
      <c r="H27" s="50"/>
      <c r="I27" s="50"/>
      <c r="J27" s="50"/>
      <c r="K27" s="49"/>
      <c r="L27" s="27"/>
    </row>
    <row r="28" spans="1:22">
      <c r="A28" s="119"/>
      <c r="B28" s="149"/>
      <c r="C28" s="50" t="s">
        <v>30</v>
      </c>
      <c r="D28" s="50"/>
      <c r="E28" s="130">
        <f>E22</f>
        <v>65350.154551183638</v>
      </c>
      <c r="F28" s="47">
        <f>INDEX(OpexBlock,F7-1,$G$1)</f>
        <v>67363.250768796774</v>
      </c>
      <c r="G28" s="47">
        <f>INDEX(OpexBlock,G7-1,$G$1)</f>
        <v>69672.141445106579</v>
      </c>
      <c r="H28" s="47">
        <f>INDEX(OpexBlock,H7-1,$G$1)</f>
        <v>71488.842928982413</v>
      </c>
      <c r="I28" s="47">
        <f>INDEX(OpexBlock,I7-1,$G$1)</f>
        <v>73583.219530402217</v>
      </c>
      <c r="J28" s="47">
        <f>INDEX(OpexBlock,J7-1,$G$1)</f>
        <v>75909.876254573246</v>
      </c>
      <c r="K28" s="49"/>
      <c r="L28" s="50"/>
      <c r="M28" s="15"/>
    </row>
    <row r="29" spans="1:22">
      <c r="A29" s="119"/>
      <c r="B29" s="149"/>
      <c r="C29" s="50" t="s">
        <v>158</v>
      </c>
      <c r="D29" s="47"/>
      <c r="E29" s="130">
        <f>E21</f>
        <v>63656</v>
      </c>
      <c r="F29" s="47">
        <f>INDEX(CommAssetsBlock,F7-1,$G$1)</f>
        <v>74280.581309136454</v>
      </c>
      <c r="G29" s="47">
        <f>INDEX(CommAssetsBlock,G7-1,$G$1)</f>
        <v>75122.705226785518</v>
      </c>
      <c r="H29" s="47">
        <f>INDEX(CommAssetsBlock,H7-1,$G$1)</f>
        <v>77446.054010072083</v>
      </c>
      <c r="I29" s="47">
        <f>INDEX(CommAssetsBlock,I7-1,$G$1)</f>
        <v>83478.690800567143</v>
      </c>
      <c r="J29" s="47">
        <f>INDEX(CommAssetsBlock,J7-1,$G$1)</f>
        <v>88065.69384101138</v>
      </c>
      <c r="K29" s="49"/>
      <c r="L29" s="50"/>
      <c r="M29" s="15"/>
    </row>
    <row r="30" spans="1:22">
      <c r="A30" s="119"/>
      <c r="B30" s="149"/>
      <c r="C30" s="50" t="s">
        <v>200</v>
      </c>
      <c r="D30" s="47"/>
      <c r="E30" s="49"/>
      <c r="F30" s="110">
        <f>INDEX(ConstPriceRevGrwth,F$7-1,$G$1)</f>
        <v>5.0885795365812458E-3</v>
      </c>
      <c r="G30" s="110">
        <f>INDEX(ConstPriceRevGrwth,G$7-1,$G$1)</f>
        <v>5.0885795365812458E-3</v>
      </c>
      <c r="H30" s="110">
        <f>INDEX(ConstPriceRevGrwth,H$7-1,$G$1)</f>
        <v>5.0885795365812458E-3</v>
      </c>
      <c r="I30" s="110">
        <f>INDEX(ConstPriceRevGrwth,I$7-1,$G$1)</f>
        <v>5.0885795365812458E-3</v>
      </c>
      <c r="J30" s="110">
        <f>INDEX(ConstPriceRevGrwth,J$7-1,$G$1)</f>
        <v>5.0885795365812458E-3</v>
      </c>
      <c r="K30" s="49"/>
      <c r="L30" s="50"/>
      <c r="M30" s="15"/>
      <c r="U30" s="15"/>
      <c r="V30" s="15"/>
    </row>
    <row r="31" spans="1:22" ht="15.75" thickBot="1">
      <c r="A31" s="119"/>
      <c r="B31" s="149"/>
      <c r="C31" s="50"/>
      <c r="D31" s="47"/>
      <c r="E31" s="49"/>
      <c r="F31" s="50"/>
      <c r="G31" s="49"/>
      <c r="H31" s="49"/>
      <c r="I31" s="49"/>
      <c r="J31" s="49"/>
      <c r="K31" s="49"/>
      <c r="L31" s="27"/>
      <c r="M31" s="15"/>
      <c r="U31" s="15"/>
      <c r="V31" s="15"/>
    </row>
    <row r="32" spans="1:22" ht="16.5" thickBot="1">
      <c r="A32" s="119"/>
      <c r="B32" s="149"/>
      <c r="C32" s="121" t="s">
        <v>182</v>
      </c>
      <c r="D32" s="47"/>
      <c r="E32" s="49"/>
      <c r="F32" s="50"/>
      <c r="G32" s="49"/>
      <c r="H32" s="49"/>
      <c r="I32" s="49"/>
      <c r="J32" s="49"/>
      <c r="K32" s="49"/>
      <c r="L32" s="195" t="s">
        <v>322</v>
      </c>
      <c r="M32" s="111"/>
      <c r="N32" s="34"/>
      <c r="O32" s="34"/>
      <c r="P32" s="34"/>
      <c r="Q32" s="34"/>
      <c r="R32" s="34"/>
      <c r="S32" s="34"/>
      <c r="T32" s="34"/>
      <c r="U32" s="34"/>
      <c r="V32" s="35"/>
    </row>
    <row r="33" spans="1:26">
      <c r="A33" s="119"/>
      <c r="B33" s="149"/>
      <c r="C33" s="122" t="str">
        <f>Inputs!B13</f>
        <v>2009 ΔCPI, 2 index, no lag, no GST adjustment</v>
      </c>
      <c r="D33" s="47"/>
      <c r="E33" s="49">
        <f>Inputs!D13</f>
        <v>1.7233850022212005E-2</v>
      </c>
      <c r="F33" s="49">
        <f>Inputs!E13</f>
        <v>1.9812209526758329E-2</v>
      </c>
      <c r="G33" s="49">
        <f>Inputs!F13</f>
        <v>2.4339880629970168E-2</v>
      </c>
      <c r="H33" s="49">
        <f>Inputs!G13</f>
        <v>2.2893253753313525E-2</v>
      </c>
      <c r="I33" s="49">
        <f>Inputs!H13</f>
        <v>2.144662687665666E-2</v>
      </c>
      <c r="J33" s="49">
        <f>Inputs!I13</f>
        <v>2.0000000000000018E-2</v>
      </c>
      <c r="K33" s="50"/>
      <c r="L33" s="196" t="s">
        <v>194</v>
      </c>
      <c r="M33" s="50"/>
      <c r="N33" s="15"/>
      <c r="O33" s="15"/>
      <c r="P33" s="15"/>
      <c r="Q33" s="15"/>
      <c r="R33" s="15"/>
      <c r="S33" s="15"/>
      <c r="T33" s="15"/>
      <c r="U33" s="15"/>
      <c r="V33" s="29"/>
    </row>
    <row r="34" spans="1:26">
      <c r="A34" s="119"/>
      <c r="B34" s="149"/>
      <c r="C34" s="122" t="str">
        <f>Inputs!B14</f>
        <v>2012 ΔCPI, 2 index, no lag, no GST adjustment</v>
      </c>
      <c r="D34" s="47"/>
      <c r="E34" s="49"/>
      <c r="F34" s="49">
        <f>Inputs!E14</f>
        <v>4.4667274384685429E-2</v>
      </c>
      <c r="G34" s="49">
        <f>Inputs!F14</f>
        <v>1.5706806282722585E-2</v>
      </c>
      <c r="H34" s="49">
        <f>Inputs!G14</f>
        <v>1.8041237113401998E-2</v>
      </c>
      <c r="I34" s="49">
        <f>Inputs!H14</f>
        <v>1.7721518987341867E-2</v>
      </c>
      <c r="J34" s="49">
        <f>Inputs!I14</f>
        <v>2.3217247097844007E-2</v>
      </c>
      <c r="K34" s="50"/>
      <c r="L34" s="196" t="s">
        <v>320</v>
      </c>
      <c r="M34" s="50"/>
      <c r="N34" s="15"/>
      <c r="O34" s="15"/>
      <c r="P34" s="15"/>
      <c r="Q34" s="15"/>
      <c r="R34" s="15"/>
      <c r="S34" s="15"/>
      <c r="T34" s="15"/>
      <c r="U34" s="15"/>
      <c r="V34" s="29"/>
    </row>
    <row r="35" spans="1:26">
      <c r="A35" s="119"/>
      <c r="B35" s="149"/>
      <c r="C35" s="122" t="str">
        <f>Inputs!B15</f>
        <v>2009 ΔCPI, 8 index, lagged, no GST adjustment</v>
      </c>
      <c r="D35" s="47"/>
      <c r="E35" s="49"/>
      <c r="F35" s="49"/>
      <c r="G35" s="49">
        <f>Inputs!F15</f>
        <v>1.6991832174541255E-2</v>
      </c>
      <c r="H35" s="49">
        <f>Inputs!G15</f>
        <v>2.0741514169093644E-2</v>
      </c>
      <c r="I35" s="49">
        <f>Inputs!H15</f>
        <v>2.3759818812291389E-2</v>
      </c>
      <c r="J35" s="49">
        <f>Inputs!I15</f>
        <v>2.2164443909808984E-2</v>
      </c>
      <c r="K35" s="50"/>
      <c r="L35" s="196" t="s">
        <v>321</v>
      </c>
      <c r="M35" s="50"/>
      <c r="N35" s="15"/>
      <c r="O35" s="15"/>
      <c r="P35" s="15"/>
      <c r="Q35" s="15"/>
      <c r="R35" s="15"/>
      <c r="S35" s="15"/>
      <c r="T35" s="15"/>
      <c r="U35" s="15"/>
      <c r="V35" s="29"/>
    </row>
    <row r="36" spans="1:26">
      <c r="A36" s="149"/>
      <c r="B36" s="149"/>
      <c r="C36" s="122" t="str">
        <f>Inputs!B16</f>
        <v>2012 ΔCPI, 8 index, lagged, no GST adjustment</v>
      </c>
      <c r="D36" s="50"/>
      <c r="E36" s="49"/>
      <c r="F36" s="49">
        <f>Inputs!E16</f>
        <v>2.465039108793543E-2</v>
      </c>
      <c r="G36" s="49">
        <f>Inputs!F16</f>
        <v>1.7811704834605591E-2</v>
      </c>
      <c r="H36" s="49">
        <f>Inputs!G16</f>
        <v>4.5909090909090899E-2</v>
      </c>
      <c r="I36" s="49">
        <f>Inputs!H16</f>
        <v>1.2820512820512775E-2</v>
      </c>
      <c r="J36" s="49">
        <f>Inputs!I16</f>
        <v>1.9725095732576747E-2</v>
      </c>
      <c r="K36" s="50"/>
      <c r="L36" s="196" t="s">
        <v>365</v>
      </c>
      <c r="M36" s="50"/>
      <c r="N36" s="15"/>
      <c r="O36" s="15"/>
      <c r="P36" s="15"/>
      <c r="Q36" s="15"/>
      <c r="R36" s="15"/>
      <c r="S36" s="15"/>
      <c r="T36" s="15"/>
      <c r="U36" s="15"/>
      <c r="V36" s="29"/>
    </row>
    <row r="37" spans="1:26" ht="15.75" thickBot="1">
      <c r="A37" s="149"/>
      <c r="B37" s="149"/>
      <c r="C37" s="122" t="str">
        <f>Inputs!B17</f>
        <v>2012 ΔCPI, 8 index, lagged, with GST adjustment</v>
      </c>
      <c r="D37" s="50"/>
      <c r="E37" s="49"/>
      <c r="F37" s="112">
        <f>Inputs!E17</f>
        <v>2.4650391087935652E-2</v>
      </c>
      <c r="G37" s="112">
        <f>Inputs!F17</f>
        <v>1.7811704834605369E-2</v>
      </c>
      <c r="H37" s="112">
        <f>Inputs!G17</f>
        <v>2.5401069518716568E-2</v>
      </c>
      <c r="I37" s="49">
        <f>Inputs!H17</f>
        <v>1.2820512820512775E-2</v>
      </c>
      <c r="J37" s="49">
        <f>Inputs!I17</f>
        <v>1.9725095732576747E-2</v>
      </c>
      <c r="K37" s="50"/>
      <c r="L37" s="219" t="s">
        <v>409</v>
      </c>
      <c r="M37" s="220"/>
      <c r="N37" s="220"/>
      <c r="O37" s="220"/>
      <c r="P37" s="220"/>
      <c r="Q37" s="220"/>
      <c r="R37" s="220"/>
      <c r="S37" s="220"/>
      <c r="T37" s="220"/>
      <c r="U37" s="220"/>
      <c r="V37" s="221"/>
    </row>
    <row r="38" spans="1:26">
      <c r="A38" s="149"/>
      <c r="B38" s="149"/>
      <c r="C38" s="122"/>
      <c r="D38" s="50"/>
      <c r="E38" s="49"/>
      <c r="F38" s="112"/>
      <c r="G38" s="112"/>
      <c r="H38" s="112"/>
      <c r="I38" s="49"/>
      <c r="J38" s="49"/>
      <c r="K38" s="49"/>
      <c r="L38" s="49"/>
      <c r="M38" s="49"/>
      <c r="N38" s="49"/>
      <c r="O38" s="49"/>
      <c r="P38" s="49"/>
      <c r="Q38" s="49"/>
      <c r="R38" s="49"/>
      <c r="S38" s="49"/>
      <c r="T38" s="49"/>
      <c r="U38" s="49"/>
      <c r="V38" s="49"/>
      <c r="W38" s="49"/>
      <c r="X38" s="49"/>
      <c r="Y38" s="49"/>
      <c r="Z38" s="49"/>
    </row>
    <row r="39" spans="1:26" ht="23.25">
      <c r="A39" s="50"/>
      <c r="B39" s="50"/>
      <c r="C39" s="1" t="s">
        <v>4</v>
      </c>
      <c r="D39" s="153" t="s">
        <v>36</v>
      </c>
      <c r="E39" s="153" t="s">
        <v>35</v>
      </c>
      <c r="F39" s="152"/>
      <c r="G39" s="152"/>
      <c r="H39" s="152"/>
      <c r="I39" s="152"/>
      <c r="J39" s="152"/>
      <c r="K39" s="152"/>
      <c r="L39" s="152"/>
      <c r="M39" s="152"/>
      <c r="N39" s="194"/>
      <c r="O39" s="194"/>
      <c r="P39" s="194"/>
    </row>
    <row r="40" spans="1:26">
      <c r="A40" s="50"/>
      <c r="B40" s="50"/>
      <c r="C40" s="50"/>
      <c r="D40" s="50"/>
      <c r="E40" s="154" t="s">
        <v>183</v>
      </c>
      <c r="F40" s="154" t="s">
        <v>184</v>
      </c>
      <c r="G40" s="154" t="s">
        <v>185</v>
      </c>
      <c r="H40" s="154" t="s">
        <v>186</v>
      </c>
      <c r="I40" s="154" t="s">
        <v>187</v>
      </c>
      <c r="J40" s="154" t="s">
        <v>188</v>
      </c>
      <c r="K40" s="154"/>
      <c r="L40" s="154"/>
      <c r="M40" s="48"/>
    </row>
    <row r="41" spans="1:26">
      <c r="A41" s="50"/>
      <c r="B41" s="50"/>
      <c r="C41" s="50" t="s">
        <v>129</v>
      </c>
      <c r="D41" s="50"/>
      <c r="E41" s="49">
        <f t="shared" ref="E41:J41" si="2">E33</f>
        <v>1.7233850022212005E-2</v>
      </c>
      <c r="F41" s="49">
        <f t="shared" si="2"/>
        <v>1.9812209526758329E-2</v>
      </c>
      <c r="G41" s="49">
        <f t="shared" si="2"/>
        <v>2.4339880629970168E-2</v>
      </c>
      <c r="H41" s="49">
        <f t="shared" si="2"/>
        <v>2.2893253753313525E-2</v>
      </c>
      <c r="I41" s="49">
        <f t="shared" si="2"/>
        <v>2.144662687665666E-2</v>
      </c>
      <c r="J41" s="49">
        <f t="shared" si="2"/>
        <v>2.0000000000000018E-2</v>
      </c>
      <c r="K41" s="51"/>
      <c r="L41" s="47"/>
      <c r="M41" s="15"/>
    </row>
    <row r="42" spans="1:26">
      <c r="A42" s="50"/>
      <c r="B42" s="50"/>
      <c r="C42" s="50" t="s">
        <v>163</v>
      </c>
      <c r="D42" s="50"/>
      <c r="E42" s="49"/>
      <c r="F42" s="49">
        <f>F34</f>
        <v>4.4667274384685429E-2</v>
      </c>
      <c r="G42" s="49">
        <f>G34</f>
        <v>1.5706806282722585E-2</v>
      </c>
      <c r="H42" s="49">
        <f>H34</f>
        <v>1.8041237113401998E-2</v>
      </c>
      <c r="I42" s="49">
        <f>I34</f>
        <v>1.7721518987341867E-2</v>
      </c>
      <c r="J42" s="49">
        <f>J34</f>
        <v>2.3217247097844007E-2</v>
      </c>
      <c r="K42" s="51"/>
      <c r="L42" s="47"/>
      <c r="M42" s="15"/>
    </row>
    <row r="43" spans="1:26">
      <c r="A43" s="50"/>
      <c r="B43" s="50"/>
      <c r="C43" s="50" t="s">
        <v>122</v>
      </c>
      <c r="D43" s="50"/>
      <c r="E43" s="130">
        <f>E23</f>
        <v>77.67070145448487</v>
      </c>
      <c r="F43" s="47">
        <f>E43*(1+F42)</f>
        <v>81.140039988003338</v>
      </c>
      <c r="G43" s="47">
        <f>F43*(1+G42)</f>
        <v>82.414490877867266</v>
      </c>
      <c r="H43" s="47">
        <f>G43*(1+H42)</f>
        <v>83.90135024937517</v>
      </c>
      <c r="I43" s="47">
        <f>H43*(1+I42)</f>
        <v>85.388209620883089</v>
      </c>
      <c r="J43" s="47">
        <f>I43*(1+J42)</f>
        <v>87.370688782893637</v>
      </c>
      <c r="K43" s="50"/>
      <c r="L43" s="47"/>
      <c r="M43" s="15"/>
    </row>
    <row r="44" spans="1:26">
      <c r="A44" s="50"/>
      <c r="B44" s="50"/>
      <c r="C44" s="50"/>
      <c r="D44" s="50"/>
      <c r="E44" s="51"/>
      <c r="F44" s="51"/>
      <c r="G44" s="51"/>
      <c r="H44" s="51"/>
      <c r="I44" s="51"/>
      <c r="J44" s="51"/>
      <c r="K44" s="51"/>
      <c r="L44" s="27"/>
      <c r="M44" s="15"/>
    </row>
    <row r="45" spans="1:26" ht="21">
      <c r="A45" s="50"/>
      <c r="B45" s="50"/>
      <c r="C45" s="155" t="s">
        <v>69</v>
      </c>
      <c r="D45" s="50"/>
      <c r="E45" s="50"/>
      <c r="F45" s="51"/>
      <c r="G45" s="51"/>
      <c r="H45" s="51"/>
      <c r="I45" s="51"/>
      <c r="J45" s="51"/>
      <c r="K45" s="51"/>
      <c r="L45" s="27"/>
      <c r="M45" s="15"/>
    </row>
    <row r="46" spans="1:26" ht="18">
      <c r="A46" s="50"/>
      <c r="B46" s="50"/>
      <c r="C46" s="50" t="s">
        <v>70</v>
      </c>
      <c r="D46" s="156">
        <f>'Timing Assumptions'!C23</f>
        <v>1.0428084742793051</v>
      </c>
      <c r="E46" s="50"/>
      <c r="F46" s="51"/>
      <c r="G46" s="51"/>
      <c r="H46" s="51"/>
      <c r="I46" s="51"/>
      <c r="J46" s="51"/>
      <c r="K46" s="51"/>
      <c r="L46" s="51"/>
      <c r="M46" s="15"/>
    </row>
    <row r="47" spans="1:26" ht="18">
      <c r="A47" s="50"/>
      <c r="B47" s="50"/>
      <c r="C47" s="50" t="s">
        <v>71</v>
      </c>
      <c r="D47" s="156">
        <f>'Timing Assumptions'!C24</f>
        <v>1.0428084742793051</v>
      </c>
      <c r="E47" s="50"/>
      <c r="F47" s="51"/>
      <c r="G47" s="51"/>
      <c r="H47" s="51"/>
      <c r="I47" s="51"/>
      <c r="J47" s="51"/>
      <c r="K47" s="51"/>
      <c r="L47" s="51"/>
      <c r="M47" s="15"/>
    </row>
    <row r="48" spans="1:26" ht="18">
      <c r="A48" s="50"/>
      <c r="B48" s="50"/>
      <c r="C48" s="50" t="s">
        <v>125</v>
      </c>
      <c r="D48" s="156">
        <f>'Timing Assumptions'!C25</f>
        <v>1.0428084742793051</v>
      </c>
      <c r="E48" s="50"/>
      <c r="F48" s="50"/>
      <c r="G48" s="51"/>
      <c r="H48" s="51"/>
      <c r="I48" s="51"/>
      <c r="J48" s="51"/>
      <c r="K48" s="95"/>
      <c r="L48" s="51"/>
      <c r="M48" s="15"/>
    </row>
    <row r="49" spans="1:16" ht="18">
      <c r="A49" s="50"/>
      <c r="B49" s="50"/>
      <c r="C49" s="50" t="s">
        <v>123</v>
      </c>
      <c r="D49" s="156">
        <f>'Timing Assumptions'!C26</f>
        <v>1.0428084742793051</v>
      </c>
      <c r="E49" s="50"/>
      <c r="F49" s="50"/>
      <c r="G49" s="51"/>
      <c r="H49" s="51"/>
      <c r="I49" s="51"/>
      <c r="J49" s="51"/>
      <c r="K49" s="95"/>
      <c r="L49" s="51"/>
      <c r="M49" s="15"/>
    </row>
    <row r="50" spans="1:16" ht="18">
      <c r="A50" s="50"/>
      <c r="B50" s="50"/>
      <c r="C50" s="50" t="s">
        <v>72</v>
      </c>
      <c r="D50" s="156">
        <f>'Timing Assumptions'!C27</f>
        <v>1.0346743941931567</v>
      </c>
      <c r="E50" s="51"/>
      <c r="F50" s="51"/>
      <c r="G50" s="51"/>
      <c r="H50" s="51"/>
      <c r="I50" s="50"/>
      <c r="J50" s="50"/>
      <c r="K50" s="95"/>
      <c r="L50" s="51"/>
      <c r="M50" s="15"/>
    </row>
    <row r="51" spans="1:16">
      <c r="A51" s="50"/>
      <c r="B51" s="50"/>
      <c r="C51" s="50"/>
      <c r="D51" s="50"/>
      <c r="E51" s="50"/>
      <c r="F51" s="50"/>
      <c r="G51" s="50"/>
      <c r="H51" s="50"/>
      <c r="I51" s="50"/>
      <c r="J51" s="50"/>
      <c r="K51" s="95"/>
      <c r="L51" s="27"/>
      <c r="M51" s="15"/>
    </row>
    <row r="52" spans="1:16" ht="21">
      <c r="A52" s="50"/>
      <c r="B52" s="50"/>
      <c r="C52" s="155" t="s">
        <v>105</v>
      </c>
      <c r="D52" s="155"/>
      <c r="E52" s="155"/>
      <c r="F52" s="155"/>
      <c r="G52" s="155"/>
      <c r="H52" s="155"/>
      <c r="I52" s="155"/>
      <c r="J52" s="155"/>
      <c r="K52" s="155"/>
      <c r="L52" s="157"/>
      <c r="M52" s="52"/>
      <c r="N52" s="2"/>
      <c r="O52" s="2"/>
      <c r="P52" s="2"/>
    </row>
    <row r="53" spans="1:16" ht="15.75">
      <c r="A53" s="50"/>
      <c r="B53" s="50"/>
      <c r="C53" s="158" t="s">
        <v>37</v>
      </c>
      <c r="D53" s="50"/>
      <c r="E53" s="159">
        <f>Inputs!D12</f>
        <v>0.3</v>
      </c>
      <c r="F53" s="159">
        <f>Inputs!E12</f>
        <v>0.3</v>
      </c>
      <c r="G53" s="159">
        <f>Inputs!F12</f>
        <v>0.28000000000000003</v>
      </c>
      <c r="H53" s="159">
        <f>Inputs!G12</f>
        <v>0.28000000000000003</v>
      </c>
      <c r="I53" s="159">
        <f>Inputs!H12</f>
        <v>0.28000000000000003</v>
      </c>
      <c r="J53" s="159">
        <f>Inputs!I12</f>
        <v>0.28000000000000003</v>
      </c>
      <c r="K53" s="95"/>
      <c r="L53" s="50"/>
      <c r="M53" s="15"/>
    </row>
    <row r="54" spans="1:16">
      <c r="A54" s="50"/>
      <c r="B54" s="50"/>
      <c r="C54" s="50" t="s">
        <v>38</v>
      </c>
      <c r="D54" s="50"/>
      <c r="E54" s="160">
        <f>E11/E14</f>
        <v>24.335761366354479</v>
      </c>
      <c r="F54" s="161">
        <f>E54-1</f>
        <v>23.335761366354479</v>
      </c>
      <c r="G54" s="161">
        <f>F54-1</f>
        <v>22.335761366354479</v>
      </c>
      <c r="H54" s="161">
        <f>G54-1</f>
        <v>21.335761366354479</v>
      </c>
      <c r="I54" s="161">
        <f>H54-1</f>
        <v>20.335761366354479</v>
      </c>
      <c r="J54" s="161">
        <f>I54-1</f>
        <v>19.335761366354479</v>
      </c>
      <c r="K54" s="95"/>
      <c r="L54" s="50"/>
      <c r="M54" s="15"/>
    </row>
    <row r="55" spans="1:16">
      <c r="A55" s="50"/>
      <c r="B55" s="50"/>
      <c r="C55" s="50" t="s">
        <v>159</v>
      </c>
      <c r="D55" s="50"/>
      <c r="E55" s="156"/>
      <c r="F55" s="49">
        <f>F34</f>
        <v>4.4667274384685429E-2</v>
      </c>
      <c r="G55" s="49">
        <f>G34</f>
        <v>1.5706806282722585E-2</v>
      </c>
      <c r="H55" s="49">
        <f>H34</f>
        <v>1.8041237113401998E-2</v>
      </c>
      <c r="I55" s="49">
        <f>I34</f>
        <v>1.7721518987341867E-2</v>
      </c>
      <c r="J55" s="49">
        <f>J34</f>
        <v>2.3217247097844007E-2</v>
      </c>
      <c r="K55" s="95"/>
      <c r="L55" s="50"/>
      <c r="M55" s="15"/>
    </row>
    <row r="56" spans="1:16">
      <c r="A56" s="50"/>
      <c r="B56" s="50"/>
      <c r="C56" s="50" t="s">
        <v>40</v>
      </c>
      <c r="D56" s="50"/>
      <c r="E56" s="129">
        <f>E15</f>
        <v>11055</v>
      </c>
      <c r="F56" s="32">
        <f>E56*(1+F55)</f>
        <v>11548.796718322697</v>
      </c>
      <c r="G56" s="32">
        <f>F56*(1+G55)</f>
        <v>11730.191431175934</v>
      </c>
      <c r="H56" s="32">
        <f>G56*(1+H55)</f>
        <v>11941.818596171375</v>
      </c>
      <c r="I56" s="32">
        <f>H56*(1+I55)</f>
        <v>12153.445761166819</v>
      </c>
      <c r="J56" s="32">
        <f>I56*(1+J55)</f>
        <v>12435.615314494073</v>
      </c>
      <c r="K56" s="95"/>
      <c r="L56" s="50"/>
      <c r="M56" s="15"/>
    </row>
    <row r="57" spans="1:16">
      <c r="A57" s="50"/>
      <c r="B57" s="50"/>
      <c r="C57" s="50"/>
      <c r="D57" s="122"/>
      <c r="E57" s="50"/>
      <c r="F57" s="50"/>
      <c r="G57" s="50"/>
      <c r="H57" s="50"/>
      <c r="I57" s="50"/>
      <c r="J57" s="50"/>
      <c r="K57" s="95"/>
      <c r="L57" s="27"/>
      <c r="M57" s="15"/>
    </row>
    <row r="58" spans="1:16" ht="15.75">
      <c r="A58" s="50"/>
      <c r="B58" s="50"/>
      <c r="C58" s="162" t="s">
        <v>89</v>
      </c>
      <c r="D58" s="32"/>
      <c r="E58" s="163" t="str">
        <f>Inputs!D11</f>
        <v>2009/10</v>
      </c>
      <c r="F58" s="163" t="str">
        <f>Inputs!E11</f>
        <v>2010/11</v>
      </c>
      <c r="G58" s="163" t="str">
        <f>Inputs!F11</f>
        <v>2011/12</v>
      </c>
      <c r="H58" s="163" t="str">
        <f>Inputs!G11</f>
        <v>2012/13</v>
      </c>
      <c r="I58" s="163" t="str">
        <f>Inputs!H11</f>
        <v>2013/14</v>
      </c>
      <c r="J58" s="163" t="str">
        <f>Inputs!I11</f>
        <v>2014/15</v>
      </c>
      <c r="K58" s="95"/>
      <c r="L58" s="27"/>
      <c r="M58" s="15"/>
    </row>
    <row r="59" spans="1:16">
      <c r="A59" s="50"/>
      <c r="B59" s="50"/>
      <c r="C59" s="50" t="s">
        <v>110</v>
      </c>
      <c r="D59" s="50"/>
      <c r="E59" s="129">
        <f>E11</f>
        <v>1275729.2823470344</v>
      </c>
      <c r="F59" s="32">
        <f>E65</f>
        <v>1234025.5035288308</v>
      </c>
      <c r="G59" s="32">
        <f>F65</f>
        <v>1193790.9181537877</v>
      </c>
      <c r="H59" s="32">
        <f>G65</f>
        <v>1157355.3729878105</v>
      </c>
      <c r="I59" s="32">
        <f>H65</f>
        <v>1117364.4426327823</v>
      </c>
      <c r="J59" s="32">
        <f>I65</f>
        <v>1073944.2925623611</v>
      </c>
      <c r="K59" s="95"/>
      <c r="L59" s="50"/>
      <c r="M59" s="15"/>
    </row>
    <row r="60" spans="1:16">
      <c r="A60" s="50"/>
      <c r="B60" s="50"/>
      <c r="C60" s="50" t="s">
        <v>40</v>
      </c>
      <c r="D60" s="32"/>
      <c r="E60" s="32">
        <f t="shared" ref="E60:J60" si="3">E56</f>
        <v>11055</v>
      </c>
      <c r="F60" s="32">
        <f t="shared" si="3"/>
        <v>11548.796718322697</v>
      </c>
      <c r="G60" s="32">
        <f t="shared" si="3"/>
        <v>11730.191431175934</v>
      </c>
      <c r="H60" s="32">
        <f t="shared" si="3"/>
        <v>11941.818596171375</v>
      </c>
      <c r="I60" s="32">
        <f t="shared" si="3"/>
        <v>12153.445761166819</v>
      </c>
      <c r="J60" s="32">
        <f t="shared" si="3"/>
        <v>12435.615314494073</v>
      </c>
      <c r="K60" s="95"/>
      <c r="L60" s="50"/>
      <c r="M60" s="15"/>
    </row>
    <row r="61" spans="1:16">
      <c r="A61" s="50"/>
      <c r="B61" s="50"/>
      <c r="C61" s="50" t="s">
        <v>312</v>
      </c>
      <c r="D61" s="32"/>
      <c r="E61" s="32">
        <f>Pco!E12</f>
        <v>0</v>
      </c>
      <c r="F61" s="95"/>
      <c r="G61" s="95"/>
      <c r="H61" s="95"/>
      <c r="I61" s="95"/>
      <c r="J61" s="95"/>
      <c r="K61" s="95"/>
      <c r="L61" s="50"/>
      <c r="M61" s="15"/>
    </row>
    <row r="62" spans="1:16">
      <c r="A62" s="50"/>
      <c r="B62" s="50"/>
      <c r="C62" s="50" t="s">
        <v>313</v>
      </c>
      <c r="D62" s="32"/>
      <c r="E62" s="32">
        <f>Pco!E13</f>
        <v>0</v>
      </c>
      <c r="F62" s="95"/>
      <c r="G62" s="95"/>
      <c r="H62" s="95"/>
      <c r="I62" s="95"/>
      <c r="J62" s="95"/>
      <c r="K62" s="95"/>
      <c r="L62" s="50"/>
      <c r="M62" s="15"/>
    </row>
    <row r="63" spans="1:16">
      <c r="A63" s="50"/>
      <c r="B63" s="50"/>
      <c r="C63" s="50" t="s">
        <v>41</v>
      </c>
      <c r="D63" s="50"/>
      <c r="E63" s="32">
        <f t="shared" ref="E63:J63" si="4">(E59*0.999-E60)*E41</f>
        <v>21773.221181796478</v>
      </c>
      <c r="F63" s="32">
        <f t="shared" si="4"/>
        <v>24195.515885074023</v>
      </c>
      <c r="G63" s="32">
        <f t="shared" si="4"/>
        <v>28742.160257359155</v>
      </c>
      <c r="H63" s="32">
        <f t="shared" si="4"/>
        <v>26195.747522936002</v>
      </c>
      <c r="I63" s="32">
        <f t="shared" si="4"/>
        <v>23679.0841715969</v>
      </c>
      <c r="J63" s="32">
        <f t="shared" si="4"/>
        <v>21208.694659106113</v>
      </c>
      <c r="K63" s="95"/>
      <c r="L63" s="50"/>
      <c r="M63" s="15"/>
    </row>
    <row r="64" spans="1:16">
      <c r="A64" s="50"/>
      <c r="B64" s="50"/>
      <c r="C64" s="50" t="s">
        <v>42</v>
      </c>
      <c r="D64" s="50"/>
      <c r="E64" s="129">
        <f>E14</f>
        <v>52422</v>
      </c>
      <c r="F64" s="32">
        <f>F59/F54</f>
        <v>52881.304541794372</v>
      </c>
      <c r="G64" s="32">
        <f>G59/G54</f>
        <v>53447.513992160442</v>
      </c>
      <c r="H64" s="32">
        <f>H59/H54</f>
        <v>54244.859281792822</v>
      </c>
      <c r="I64" s="32">
        <f>I59/I54</f>
        <v>54945.78848085137</v>
      </c>
      <c r="J64" s="32">
        <f>J59/J54</f>
        <v>55541.867331435737</v>
      </c>
      <c r="K64" s="95"/>
      <c r="L64" s="50"/>
      <c r="M64" s="15"/>
    </row>
    <row r="65" spans="1:13">
      <c r="A65" s="50"/>
      <c r="B65" s="50"/>
      <c r="C65" s="50" t="s">
        <v>43</v>
      </c>
      <c r="D65" s="50"/>
      <c r="E65" s="129">
        <f>E59-E60-E61+E62+E63-E64</f>
        <v>1234025.5035288308</v>
      </c>
      <c r="F65" s="32">
        <f>F59-F60+F63-F64</f>
        <v>1193790.9181537877</v>
      </c>
      <c r="G65" s="32">
        <f>G59-G60+G63-G64</f>
        <v>1157355.3729878105</v>
      </c>
      <c r="H65" s="32">
        <f>H59-H60+H63-H64</f>
        <v>1117364.4426327823</v>
      </c>
      <c r="I65" s="32">
        <f>I59-I60+I63-I64</f>
        <v>1073944.2925623611</v>
      </c>
      <c r="J65" s="32">
        <f>J59-J60+J63-J64</f>
        <v>1027175.5045755374</v>
      </c>
      <c r="K65" s="95"/>
      <c r="L65" s="50"/>
      <c r="M65" s="15"/>
    </row>
    <row r="66" spans="1:13">
      <c r="A66" s="50"/>
      <c r="B66" s="50"/>
      <c r="C66" s="50"/>
      <c r="D66" s="50"/>
      <c r="E66" s="50"/>
      <c r="F66" s="50"/>
      <c r="G66" s="50"/>
      <c r="H66" s="50"/>
      <c r="I66" s="50"/>
      <c r="J66" s="50"/>
      <c r="K66" s="95"/>
      <c r="L66" s="27"/>
      <c r="M66" s="15"/>
    </row>
    <row r="67" spans="1:13" ht="15.75">
      <c r="A67" s="50"/>
      <c r="B67" s="50"/>
      <c r="C67" s="162" t="s">
        <v>67</v>
      </c>
      <c r="D67" s="50"/>
      <c r="E67" s="162" t="str">
        <f>Inputs!D$11</f>
        <v>2009/10</v>
      </c>
      <c r="F67" s="162" t="str">
        <f>Inputs!E$11</f>
        <v>2010/11</v>
      </c>
      <c r="G67" s="162" t="str">
        <f>Inputs!F$11</f>
        <v>2011/12</v>
      </c>
      <c r="H67" s="162" t="str">
        <f>Inputs!G$11</f>
        <v>2012/13</v>
      </c>
      <c r="I67" s="162" t="str">
        <f>Inputs!H$11</f>
        <v>2013/14</v>
      </c>
      <c r="J67" s="162" t="str">
        <f>Inputs!I$11</f>
        <v>2014/15</v>
      </c>
      <c r="K67" s="95"/>
      <c r="L67" s="27"/>
      <c r="M67" s="15"/>
    </row>
    <row r="68" spans="1:13">
      <c r="A68" s="50"/>
      <c r="B68" s="50"/>
      <c r="C68" s="164" t="s">
        <v>60</v>
      </c>
      <c r="D68" s="50"/>
      <c r="E68" s="192">
        <v>1</v>
      </c>
      <c r="F68" s="164">
        <f>E68+1</f>
        <v>2</v>
      </c>
      <c r="G68" s="164">
        <f>F68+1</f>
        <v>3</v>
      </c>
      <c r="H68" s="164">
        <f>G68+1</f>
        <v>4</v>
      </c>
      <c r="I68" s="164">
        <f>H68+1</f>
        <v>5</v>
      </c>
      <c r="J68" s="164">
        <f>I68+1</f>
        <v>6</v>
      </c>
      <c r="K68" s="95"/>
      <c r="L68" s="27"/>
      <c r="M68" s="15"/>
    </row>
    <row r="69" spans="1:13">
      <c r="A69" s="50"/>
      <c r="B69" s="50"/>
      <c r="C69" s="50" t="s">
        <v>39</v>
      </c>
      <c r="D69" s="32"/>
      <c r="E69" s="32">
        <f t="shared" ref="E69:J69" si="5">E$29</f>
        <v>63656</v>
      </c>
      <c r="F69" s="32">
        <f t="shared" si="5"/>
        <v>74280.581309136454</v>
      </c>
      <c r="G69" s="32">
        <f t="shared" si="5"/>
        <v>75122.705226785518</v>
      </c>
      <c r="H69" s="32">
        <f t="shared" si="5"/>
        <v>77446.054010072083</v>
      </c>
      <c r="I69" s="32">
        <f t="shared" si="5"/>
        <v>83478.690800567143</v>
      </c>
      <c r="J69" s="32">
        <f t="shared" si="5"/>
        <v>88065.69384101138</v>
      </c>
      <c r="K69" s="95"/>
      <c r="L69" s="50"/>
      <c r="M69" s="15"/>
    </row>
    <row r="70" spans="1:13">
      <c r="A70" s="50">
        <v>1</v>
      </c>
      <c r="B70" s="50"/>
      <c r="C70" s="50" t="s">
        <v>254</v>
      </c>
      <c r="D70" s="50"/>
      <c r="E70" s="129">
        <v>0</v>
      </c>
      <c r="F70" s="32">
        <f t="shared" ref="F70:J75" si="6">E94</f>
        <v>63656</v>
      </c>
      <c r="G70" s="32">
        <f t="shared" si="6"/>
        <v>63502.588231857553</v>
      </c>
      <c r="H70" s="32">
        <f t="shared" si="6"/>
        <v>63604.993007481986</v>
      </c>
      <c r="I70" s="32">
        <f t="shared" si="6"/>
        <v>63581.932368485075</v>
      </c>
      <c r="J70" s="32">
        <f t="shared" si="6"/>
        <v>63431.694815505813</v>
      </c>
      <c r="K70" s="95"/>
      <c r="L70" s="50"/>
      <c r="M70" s="15"/>
    </row>
    <row r="71" spans="1:13">
      <c r="A71" s="50">
        <v>2</v>
      </c>
      <c r="B71" s="50"/>
      <c r="C71" s="50" t="s">
        <v>255</v>
      </c>
      <c r="D71" s="50"/>
      <c r="E71" s="129">
        <v>0</v>
      </c>
      <c r="F71" s="32">
        <f t="shared" si="6"/>
        <v>0</v>
      </c>
      <c r="G71" s="32">
        <f t="shared" si="6"/>
        <v>74280.581309136454</v>
      </c>
      <c r="H71" s="32">
        <f t="shared" si="6"/>
        <v>74437.882206678158</v>
      </c>
      <c r="I71" s="32">
        <f t="shared" si="6"/>
        <v>74450.237482743119</v>
      </c>
      <c r="J71" s="32">
        <f t="shared" si="6"/>
        <v>74315.543075222289</v>
      </c>
      <c r="K71" s="95"/>
      <c r="L71" s="50"/>
      <c r="M71" s="15"/>
    </row>
    <row r="72" spans="1:13">
      <c r="A72" s="50">
        <v>3</v>
      </c>
      <c r="B72" s="50"/>
      <c r="C72" s="50" t="s">
        <v>256</v>
      </c>
      <c r="D72" s="50"/>
      <c r="E72" s="129">
        <v>0</v>
      </c>
      <c r="F72" s="32">
        <f t="shared" si="6"/>
        <v>0</v>
      </c>
      <c r="G72" s="32">
        <f t="shared" si="6"/>
        <v>0</v>
      </c>
      <c r="H72" s="32">
        <f t="shared" si="6"/>
        <v>75122.705226785518</v>
      </c>
      <c r="I72" s="32">
        <f t="shared" si="6"/>
        <v>75173.114930693569</v>
      </c>
      <c r="J72" s="32">
        <f t="shared" si="6"/>
        <v>75076.844792979682</v>
      </c>
      <c r="K72" s="95"/>
      <c r="L72" s="50"/>
      <c r="M72" s="15"/>
    </row>
    <row r="73" spans="1:13">
      <c r="A73" s="50">
        <v>4</v>
      </c>
      <c r="B73" s="50"/>
      <c r="C73" s="50" t="s">
        <v>257</v>
      </c>
      <c r="D73" s="50"/>
      <c r="E73" s="129">
        <v>0</v>
      </c>
      <c r="F73" s="32">
        <f t="shared" si="6"/>
        <v>0</v>
      </c>
      <c r="G73" s="32">
        <f t="shared" si="6"/>
        <v>0</v>
      </c>
      <c r="H73" s="32">
        <f t="shared" si="6"/>
        <v>0</v>
      </c>
      <c r="I73" s="32">
        <f t="shared" si="6"/>
        <v>77446.054010072083</v>
      </c>
      <c r="J73" s="32">
        <f t="shared" si="6"/>
        <v>77385.987211049447</v>
      </c>
      <c r="K73" s="95"/>
      <c r="L73" s="50"/>
      <c r="M73" s="15"/>
    </row>
    <row r="74" spans="1:13">
      <c r="A74" s="50">
        <v>5</v>
      </c>
      <c r="B74" s="50"/>
      <c r="C74" s="50" t="s">
        <v>258</v>
      </c>
      <c r="D74" s="50"/>
      <c r="E74" s="129">
        <v>0</v>
      </c>
      <c r="F74" s="32">
        <f t="shared" si="6"/>
        <v>0</v>
      </c>
      <c r="G74" s="32">
        <f t="shared" si="6"/>
        <v>0</v>
      </c>
      <c r="H74" s="32">
        <f t="shared" si="6"/>
        <v>0</v>
      </c>
      <c r="I74" s="32">
        <f t="shared" si="6"/>
        <v>0</v>
      </c>
      <c r="J74" s="32">
        <f t="shared" si="6"/>
        <v>83478.690800567143</v>
      </c>
      <c r="K74" s="95"/>
      <c r="L74" s="50"/>
      <c r="M74" s="15"/>
    </row>
    <row r="75" spans="1:13">
      <c r="A75" s="50">
        <v>6</v>
      </c>
      <c r="B75" s="50"/>
      <c r="C75" s="50" t="s">
        <v>259</v>
      </c>
      <c r="D75" s="50"/>
      <c r="E75" s="129">
        <v>0</v>
      </c>
      <c r="F75" s="32">
        <f t="shared" si="6"/>
        <v>0</v>
      </c>
      <c r="G75" s="32">
        <f t="shared" si="6"/>
        <v>0</v>
      </c>
      <c r="H75" s="32">
        <f t="shared" si="6"/>
        <v>0</v>
      </c>
      <c r="I75" s="32">
        <f t="shared" si="6"/>
        <v>0</v>
      </c>
      <c r="J75" s="32">
        <f t="shared" si="6"/>
        <v>0</v>
      </c>
      <c r="K75" s="95"/>
      <c r="L75" s="50"/>
      <c r="M75" s="15"/>
    </row>
    <row r="76" spans="1:13">
      <c r="A76" s="50">
        <v>1</v>
      </c>
      <c r="B76" s="50"/>
      <c r="C76" s="50" t="s">
        <v>236</v>
      </c>
      <c r="D76" s="50"/>
      <c r="E76" s="129">
        <f>Inputs!$C$7+$A76</f>
        <v>46</v>
      </c>
      <c r="F76" s="32">
        <f t="shared" ref="F76:J81" si="7">E76-1</f>
        <v>45</v>
      </c>
      <c r="G76" s="32">
        <f t="shared" si="7"/>
        <v>44</v>
      </c>
      <c r="H76" s="32">
        <f t="shared" si="7"/>
        <v>43</v>
      </c>
      <c r="I76" s="32">
        <f t="shared" si="7"/>
        <v>42</v>
      </c>
      <c r="J76" s="32">
        <f t="shared" si="7"/>
        <v>41</v>
      </c>
      <c r="K76" s="95"/>
      <c r="L76" s="50"/>
      <c r="M76" s="15"/>
    </row>
    <row r="77" spans="1:13">
      <c r="A77" s="50">
        <v>2</v>
      </c>
      <c r="B77" s="50"/>
      <c r="C77" s="50" t="s">
        <v>237</v>
      </c>
      <c r="D77" s="50"/>
      <c r="E77" s="129">
        <f>Inputs!$C$7+$A77</f>
        <v>47</v>
      </c>
      <c r="F77" s="32">
        <f t="shared" si="7"/>
        <v>46</v>
      </c>
      <c r="G77" s="32">
        <f t="shared" si="7"/>
        <v>45</v>
      </c>
      <c r="H77" s="32">
        <f t="shared" si="7"/>
        <v>44</v>
      </c>
      <c r="I77" s="32">
        <f t="shared" si="7"/>
        <v>43</v>
      </c>
      <c r="J77" s="32">
        <f t="shared" si="7"/>
        <v>42</v>
      </c>
      <c r="K77" s="95"/>
      <c r="L77" s="50"/>
      <c r="M77" s="15"/>
    </row>
    <row r="78" spans="1:13">
      <c r="A78" s="50">
        <v>3</v>
      </c>
      <c r="B78" s="50"/>
      <c r="C78" s="50" t="s">
        <v>238</v>
      </c>
      <c r="D78" s="50"/>
      <c r="E78" s="129">
        <f>Inputs!$C$7+$A78</f>
        <v>48</v>
      </c>
      <c r="F78" s="32">
        <f t="shared" si="7"/>
        <v>47</v>
      </c>
      <c r="G78" s="32">
        <f t="shared" si="7"/>
        <v>46</v>
      </c>
      <c r="H78" s="32">
        <f t="shared" si="7"/>
        <v>45</v>
      </c>
      <c r="I78" s="32">
        <f t="shared" si="7"/>
        <v>44</v>
      </c>
      <c r="J78" s="32">
        <f t="shared" si="7"/>
        <v>43</v>
      </c>
      <c r="K78" s="95"/>
      <c r="L78" s="50"/>
      <c r="M78" s="15"/>
    </row>
    <row r="79" spans="1:13">
      <c r="A79" s="50">
        <v>4</v>
      </c>
      <c r="B79" s="50"/>
      <c r="C79" s="50" t="s">
        <v>239</v>
      </c>
      <c r="D79" s="50"/>
      <c r="E79" s="129">
        <f>Inputs!$C$7+$A79</f>
        <v>49</v>
      </c>
      <c r="F79" s="32">
        <f t="shared" si="7"/>
        <v>48</v>
      </c>
      <c r="G79" s="32">
        <f t="shared" si="7"/>
        <v>47</v>
      </c>
      <c r="H79" s="32">
        <f t="shared" si="7"/>
        <v>46</v>
      </c>
      <c r="I79" s="32">
        <f t="shared" si="7"/>
        <v>45</v>
      </c>
      <c r="J79" s="32">
        <f t="shared" si="7"/>
        <v>44</v>
      </c>
      <c r="K79" s="95"/>
      <c r="L79" s="50"/>
      <c r="M79" s="15"/>
    </row>
    <row r="80" spans="1:13">
      <c r="A80" s="50">
        <v>5</v>
      </c>
      <c r="B80" s="50"/>
      <c r="C80" s="50" t="s">
        <v>240</v>
      </c>
      <c r="D80" s="50"/>
      <c r="E80" s="129">
        <f>Inputs!$C$7+$A80</f>
        <v>50</v>
      </c>
      <c r="F80" s="32">
        <f t="shared" si="7"/>
        <v>49</v>
      </c>
      <c r="G80" s="32">
        <f t="shared" si="7"/>
        <v>48</v>
      </c>
      <c r="H80" s="32">
        <f t="shared" si="7"/>
        <v>47</v>
      </c>
      <c r="I80" s="32">
        <f t="shared" si="7"/>
        <v>46</v>
      </c>
      <c r="J80" s="32">
        <f t="shared" si="7"/>
        <v>45</v>
      </c>
      <c r="K80" s="95"/>
      <c r="L80" s="50"/>
      <c r="M80" s="15"/>
    </row>
    <row r="81" spans="1:13">
      <c r="A81" s="50">
        <v>6</v>
      </c>
      <c r="B81" s="50"/>
      <c r="C81" s="50" t="s">
        <v>241</v>
      </c>
      <c r="D81" s="50"/>
      <c r="E81" s="129">
        <f>Inputs!$C$7+$A81</f>
        <v>51</v>
      </c>
      <c r="F81" s="32">
        <f t="shared" si="7"/>
        <v>50</v>
      </c>
      <c r="G81" s="32">
        <f t="shared" si="7"/>
        <v>49</v>
      </c>
      <c r="H81" s="32">
        <f t="shared" si="7"/>
        <v>48</v>
      </c>
      <c r="I81" s="32">
        <f t="shared" si="7"/>
        <v>47</v>
      </c>
      <c r="J81" s="32">
        <f t="shared" si="7"/>
        <v>46</v>
      </c>
      <c r="K81" s="95"/>
      <c r="L81" s="50"/>
      <c r="M81" s="15"/>
    </row>
    <row r="82" spans="1:13">
      <c r="A82" s="50">
        <v>1</v>
      </c>
      <c r="B82" s="50"/>
      <c r="C82" s="50" t="s">
        <v>260</v>
      </c>
      <c r="D82" s="50"/>
      <c r="E82" s="32">
        <f t="shared" ref="E82:J87" si="8">E70*E$41</f>
        <v>0</v>
      </c>
      <c r="F82" s="32">
        <f t="shared" si="8"/>
        <v>1261.1660096353282</v>
      </c>
      <c r="G82" s="32">
        <f t="shared" si="8"/>
        <v>1545.6454172575611</v>
      </c>
      <c r="H82" s="32">
        <f t="shared" si="8"/>
        <v>1456.1252448980174</v>
      </c>
      <c r="I82" s="32">
        <f t="shared" si="8"/>
        <v>1363.6179796037181</v>
      </c>
      <c r="J82" s="32">
        <f t="shared" si="8"/>
        <v>1268.6338963101173</v>
      </c>
      <c r="K82" s="95"/>
      <c r="L82" s="50"/>
      <c r="M82" s="15"/>
    </row>
    <row r="83" spans="1:13">
      <c r="A83" s="50">
        <v>2</v>
      </c>
      <c r="B83" s="50"/>
      <c r="C83" s="50" t="s">
        <v>261</v>
      </c>
      <c r="D83" s="50"/>
      <c r="E83" s="32">
        <f t="shared" si="8"/>
        <v>0</v>
      </c>
      <c r="F83" s="32">
        <f t="shared" si="8"/>
        <v>0</v>
      </c>
      <c r="G83" s="32">
        <f t="shared" si="8"/>
        <v>1807.9804821891744</v>
      </c>
      <c r="H83" s="32">
        <f t="shared" si="8"/>
        <v>1704.1253262167447</v>
      </c>
      <c r="I83" s="32">
        <f t="shared" si="8"/>
        <v>1596.7064641708696</v>
      </c>
      <c r="J83" s="32">
        <f t="shared" si="8"/>
        <v>1486.3108615044471</v>
      </c>
      <c r="K83" s="95"/>
      <c r="L83" s="50"/>
      <c r="M83" s="15"/>
    </row>
    <row r="84" spans="1:13">
      <c r="A84" s="50">
        <v>3</v>
      </c>
      <c r="B84" s="50"/>
      <c r="C84" s="50" t="s">
        <v>262</v>
      </c>
      <c r="D84" s="50"/>
      <c r="E84" s="32">
        <f t="shared" si="8"/>
        <v>0</v>
      </c>
      <c r="F84" s="32">
        <f t="shared" si="8"/>
        <v>0</v>
      </c>
      <c r="G84" s="32">
        <f t="shared" si="8"/>
        <v>0</v>
      </c>
      <c r="H84" s="32">
        <f t="shared" si="8"/>
        <v>1719.803153392173</v>
      </c>
      <c r="I84" s="32">
        <f t="shared" si="8"/>
        <v>1612.2097470746128</v>
      </c>
      <c r="J84" s="32">
        <f t="shared" si="8"/>
        <v>1501.536895859595</v>
      </c>
      <c r="K84" s="95"/>
      <c r="L84" s="50"/>
      <c r="M84" s="15"/>
    </row>
    <row r="85" spans="1:13">
      <c r="A85" s="50">
        <v>4</v>
      </c>
      <c r="B85" s="50"/>
      <c r="C85" s="50" t="s">
        <v>263</v>
      </c>
      <c r="D85" s="50"/>
      <c r="E85" s="32">
        <f t="shared" si="8"/>
        <v>0</v>
      </c>
      <c r="F85" s="32">
        <f t="shared" si="8"/>
        <v>0</v>
      </c>
      <c r="G85" s="32">
        <f t="shared" si="8"/>
        <v>0</v>
      </c>
      <c r="H85" s="32">
        <f t="shared" si="8"/>
        <v>0</v>
      </c>
      <c r="I85" s="32">
        <f t="shared" si="8"/>
        <v>1660.9566234234153</v>
      </c>
      <c r="J85" s="32">
        <f t="shared" si="8"/>
        <v>1547.7197442209904</v>
      </c>
      <c r="K85" s="95"/>
      <c r="L85" s="50"/>
      <c r="M85" s="15"/>
    </row>
    <row r="86" spans="1:13">
      <c r="A86" s="50">
        <v>5</v>
      </c>
      <c r="B86" s="50"/>
      <c r="C86" s="50" t="s">
        <v>264</v>
      </c>
      <c r="D86" s="50"/>
      <c r="E86" s="32">
        <f t="shared" si="8"/>
        <v>0</v>
      </c>
      <c r="F86" s="32">
        <f t="shared" si="8"/>
        <v>0</v>
      </c>
      <c r="G86" s="32">
        <f t="shared" si="8"/>
        <v>0</v>
      </c>
      <c r="H86" s="32">
        <f t="shared" si="8"/>
        <v>0</v>
      </c>
      <c r="I86" s="32">
        <f t="shared" si="8"/>
        <v>0</v>
      </c>
      <c r="J86" s="32">
        <f t="shared" si="8"/>
        <v>1669.5738160113444</v>
      </c>
      <c r="K86" s="95"/>
      <c r="L86" s="50"/>
      <c r="M86" s="15"/>
    </row>
    <row r="87" spans="1:13">
      <c r="A87" s="50">
        <v>6</v>
      </c>
      <c r="B87" s="50"/>
      <c r="C87" s="50" t="s">
        <v>265</v>
      </c>
      <c r="D87" s="50"/>
      <c r="E87" s="32">
        <f t="shared" si="8"/>
        <v>0</v>
      </c>
      <c r="F87" s="32">
        <f t="shared" si="8"/>
        <v>0</v>
      </c>
      <c r="G87" s="32">
        <f t="shared" si="8"/>
        <v>0</v>
      </c>
      <c r="H87" s="32">
        <f t="shared" si="8"/>
        <v>0</v>
      </c>
      <c r="I87" s="32">
        <f t="shared" si="8"/>
        <v>0</v>
      </c>
      <c r="J87" s="32">
        <f t="shared" si="8"/>
        <v>0</v>
      </c>
      <c r="K87" s="95"/>
      <c r="L87" s="50"/>
      <c r="M87" s="15"/>
    </row>
    <row r="88" spans="1:13">
      <c r="A88" s="50">
        <v>1</v>
      </c>
      <c r="B88" s="50"/>
      <c r="C88" s="50" t="s">
        <v>266</v>
      </c>
      <c r="D88" s="50"/>
      <c r="E88" s="32">
        <f t="shared" ref="E88:J93" si="9">E70/E76</f>
        <v>0</v>
      </c>
      <c r="F88" s="32">
        <f t="shared" si="9"/>
        <v>1414.5777777777778</v>
      </c>
      <c r="G88" s="32">
        <f t="shared" si="9"/>
        <v>1443.2406416331262</v>
      </c>
      <c r="H88" s="32">
        <f t="shared" si="9"/>
        <v>1479.1858838949299</v>
      </c>
      <c r="I88" s="32">
        <f t="shared" si="9"/>
        <v>1513.855532582978</v>
      </c>
      <c r="J88" s="32">
        <f t="shared" si="9"/>
        <v>1547.1145076952637</v>
      </c>
      <c r="K88" s="95"/>
      <c r="L88" s="50"/>
      <c r="M88" s="15"/>
    </row>
    <row r="89" spans="1:13">
      <c r="A89" s="50">
        <v>2</v>
      </c>
      <c r="B89" s="50"/>
      <c r="C89" s="50" t="s">
        <v>267</v>
      </c>
      <c r="D89" s="50"/>
      <c r="E89" s="32">
        <f t="shared" si="9"/>
        <v>0</v>
      </c>
      <c r="F89" s="32">
        <f t="shared" si="9"/>
        <v>0</v>
      </c>
      <c r="G89" s="32">
        <f t="shared" si="9"/>
        <v>1650.6795846474768</v>
      </c>
      <c r="H89" s="32">
        <f t="shared" si="9"/>
        <v>1691.7700501517763</v>
      </c>
      <c r="I89" s="32">
        <f t="shared" si="9"/>
        <v>1731.4008716917006</v>
      </c>
      <c r="J89" s="32">
        <f t="shared" si="9"/>
        <v>1769.4176922671973</v>
      </c>
      <c r="K89" s="95"/>
      <c r="L89" s="50"/>
      <c r="M89" s="15"/>
    </row>
    <row r="90" spans="1:13">
      <c r="A90" s="50">
        <v>3</v>
      </c>
      <c r="B90" s="50"/>
      <c r="C90" s="50" t="s">
        <v>268</v>
      </c>
      <c r="D90" s="50"/>
      <c r="E90" s="32">
        <f t="shared" si="9"/>
        <v>0</v>
      </c>
      <c r="F90" s="32">
        <f t="shared" si="9"/>
        <v>0</v>
      </c>
      <c r="G90" s="32">
        <f t="shared" si="9"/>
        <v>0</v>
      </c>
      <c r="H90" s="32">
        <f t="shared" si="9"/>
        <v>1669.3934494841226</v>
      </c>
      <c r="I90" s="32">
        <f t="shared" si="9"/>
        <v>1708.4798847884902</v>
      </c>
      <c r="J90" s="32">
        <f t="shared" si="9"/>
        <v>1745.9731347204577</v>
      </c>
      <c r="K90" s="95"/>
      <c r="L90" s="50"/>
      <c r="M90" s="15"/>
    </row>
    <row r="91" spans="1:13">
      <c r="A91" s="50">
        <v>4</v>
      </c>
      <c r="B91" s="50"/>
      <c r="C91" s="50" t="s">
        <v>269</v>
      </c>
      <c r="D91" s="50"/>
      <c r="E91" s="32">
        <f t="shared" si="9"/>
        <v>0</v>
      </c>
      <c r="F91" s="32">
        <f t="shared" si="9"/>
        <v>0</v>
      </c>
      <c r="G91" s="32">
        <f t="shared" si="9"/>
        <v>0</v>
      </c>
      <c r="H91" s="32">
        <f t="shared" si="9"/>
        <v>0</v>
      </c>
      <c r="I91" s="32">
        <f t="shared" si="9"/>
        <v>1721.0234224460462</v>
      </c>
      <c r="J91" s="32">
        <f t="shared" si="9"/>
        <v>1758.7724366147602</v>
      </c>
      <c r="K91" s="95"/>
      <c r="L91" s="50"/>
      <c r="M91" s="15"/>
    </row>
    <row r="92" spans="1:13">
      <c r="A92" s="50">
        <v>5</v>
      </c>
      <c r="B92" s="50"/>
      <c r="C92" s="50" t="s">
        <v>270</v>
      </c>
      <c r="D92" s="50"/>
      <c r="E92" s="32">
        <f t="shared" si="9"/>
        <v>0</v>
      </c>
      <c r="F92" s="32">
        <f t="shared" si="9"/>
        <v>0</v>
      </c>
      <c r="G92" s="32">
        <f t="shared" si="9"/>
        <v>0</v>
      </c>
      <c r="H92" s="32">
        <f t="shared" si="9"/>
        <v>0</v>
      </c>
      <c r="I92" s="32">
        <f t="shared" si="9"/>
        <v>0</v>
      </c>
      <c r="J92" s="32">
        <f t="shared" si="9"/>
        <v>1855.0820177903809</v>
      </c>
      <c r="K92" s="95"/>
      <c r="L92" s="50"/>
      <c r="M92" s="15"/>
    </row>
    <row r="93" spans="1:13">
      <c r="A93" s="50">
        <v>6</v>
      </c>
      <c r="B93" s="50"/>
      <c r="C93" s="50" t="s">
        <v>271</v>
      </c>
      <c r="D93" s="50"/>
      <c r="E93" s="32">
        <f t="shared" si="9"/>
        <v>0</v>
      </c>
      <c r="F93" s="32">
        <f t="shared" si="9"/>
        <v>0</v>
      </c>
      <c r="G93" s="32">
        <f t="shared" si="9"/>
        <v>0</v>
      </c>
      <c r="H93" s="32">
        <f t="shared" si="9"/>
        <v>0</v>
      </c>
      <c r="I93" s="32">
        <f t="shared" si="9"/>
        <v>0</v>
      </c>
      <c r="J93" s="32">
        <f t="shared" si="9"/>
        <v>0</v>
      </c>
      <c r="K93" s="95"/>
      <c r="L93" s="50"/>
      <c r="M93" s="15"/>
    </row>
    <row r="94" spans="1:13">
      <c r="A94" s="50">
        <v>1</v>
      </c>
      <c r="B94" s="50"/>
      <c r="C94" s="50" t="s">
        <v>272</v>
      </c>
      <c r="D94" s="50"/>
      <c r="E94" s="32">
        <f t="shared" ref="E94:J99" si="10">E70+E82-E88+IF($A94=E$68,E$69,0)</f>
        <v>63656</v>
      </c>
      <c r="F94" s="32">
        <f t="shared" si="10"/>
        <v>63502.588231857553</v>
      </c>
      <c r="G94" s="32">
        <f t="shared" si="10"/>
        <v>63604.993007481986</v>
      </c>
      <c r="H94" s="32">
        <f t="shared" si="10"/>
        <v>63581.932368485075</v>
      </c>
      <c r="I94" s="32">
        <f t="shared" si="10"/>
        <v>63431.694815505813</v>
      </c>
      <c r="J94" s="32">
        <f t="shared" si="10"/>
        <v>63153.214204120661</v>
      </c>
      <c r="K94" s="95"/>
      <c r="L94" s="50"/>
      <c r="M94" s="15"/>
    </row>
    <row r="95" spans="1:13">
      <c r="A95" s="50">
        <v>2</v>
      </c>
      <c r="B95" s="50"/>
      <c r="C95" s="50" t="s">
        <v>273</v>
      </c>
      <c r="D95" s="50"/>
      <c r="E95" s="32">
        <f t="shared" si="10"/>
        <v>0</v>
      </c>
      <c r="F95" s="32">
        <f t="shared" si="10"/>
        <v>74280.581309136454</v>
      </c>
      <c r="G95" s="32">
        <f t="shared" si="10"/>
        <v>74437.882206678158</v>
      </c>
      <c r="H95" s="32">
        <f t="shared" si="10"/>
        <v>74450.237482743119</v>
      </c>
      <c r="I95" s="32">
        <f t="shared" si="10"/>
        <v>74315.543075222289</v>
      </c>
      <c r="J95" s="32">
        <f t="shared" si="10"/>
        <v>74032.436244459546</v>
      </c>
      <c r="K95" s="95"/>
      <c r="L95" s="50"/>
      <c r="M95" s="15"/>
    </row>
    <row r="96" spans="1:13">
      <c r="A96" s="50">
        <v>3</v>
      </c>
      <c r="B96" s="50"/>
      <c r="C96" s="50" t="s">
        <v>274</v>
      </c>
      <c r="D96" s="50"/>
      <c r="E96" s="32">
        <f t="shared" si="10"/>
        <v>0</v>
      </c>
      <c r="F96" s="32">
        <f t="shared" si="10"/>
        <v>0</v>
      </c>
      <c r="G96" s="32">
        <f t="shared" si="10"/>
        <v>75122.705226785518</v>
      </c>
      <c r="H96" s="32">
        <f t="shared" si="10"/>
        <v>75173.114930693569</v>
      </c>
      <c r="I96" s="32">
        <f t="shared" si="10"/>
        <v>75076.844792979682</v>
      </c>
      <c r="J96" s="32">
        <f t="shared" si="10"/>
        <v>74832.408554118825</v>
      </c>
      <c r="K96" s="95"/>
      <c r="L96" s="50"/>
      <c r="M96" s="15"/>
    </row>
    <row r="97" spans="1:13">
      <c r="A97" s="50">
        <v>4</v>
      </c>
      <c r="B97" s="50"/>
      <c r="C97" s="50" t="s">
        <v>275</v>
      </c>
      <c r="D97" s="50"/>
      <c r="E97" s="32">
        <f t="shared" si="10"/>
        <v>0</v>
      </c>
      <c r="F97" s="32">
        <f t="shared" si="10"/>
        <v>0</v>
      </c>
      <c r="G97" s="32">
        <f t="shared" si="10"/>
        <v>0</v>
      </c>
      <c r="H97" s="32">
        <f t="shared" si="10"/>
        <v>77446.054010072083</v>
      </c>
      <c r="I97" s="32">
        <f t="shared" si="10"/>
        <v>77385.987211049447</v>
      </c>
      <c r="J97" s="32">
        <f t="shared" si="10"/>
        <v>77174.934518655675</v>
      </c>
      <c r="K97" s="95"/>
      <c r="L97" s="50"/>
      <c r="M97" s="15"/>
    </row>
    <row r="98" spans="1:13">
      <c r="A98" s="50">
        <v>5</v>
      </c>
      <c r="B98" s="50"/>
      <c r="C98" s="50" t="s">
        <v>276</v>
      </c>
      <c r="D98" s="50"/>
      <c r="E98" s="32">
        <f t="shared" si="10"/>
        <v>0</v>
      </c>
      <c r="F98" s="32">
        <f t="shared" si="10"/>
        <v>0</v>
      </c>
      <c r="G98" s="32">
        <f t="shared" si="10"/>
        <v>0</v>
      </c>
      <c r="H98" s="32">
        <f t="shared" si="10"/>
        <v>0</v>
      </c>
      <c r="I98" s="32">
        <f t="shared" si="10"/>
        <v>83478.690800567143</v>
      </c>
      <c r="J98" s="32">
        <f t="shared" si="10"/>
        <v>83293.182598788102</v>
      </c>
      <c r="K98" s="95"/>
      <c r="L98" s="50"/>
      <c r="M98" s="15"/>
    </row>
    <row r="99" spans="1:13">
      <c r="A99" s="50">
        <v>6</v>
      </c>
      <c r="B99" s="50"/>
      <c r="C99" s="50" t="s">
        <v>277</v>
      </c>
      <c r="D99" s="50"/>
      <c r="E99" s="32">
        <f t="shared" si="10"/>
        <v>0</v>
      </c>
      <c r="F99" s="32">
        <f t="shared" si="10"/>
        <v>0</v>
      </c>
      <c r="G99" s="32">
        <f t="shared" si="10"/>
        <v>0</v>
      </c>
      <c r="H99" s="32">
        <f t="shared" si="10"/>
        <v>0</v>
      </c>
      <c r="I99" s="32">
        <f t="shared" si="10"/>
        <v>0</v>
      </c>
      <c r="J99" s="32">
        <f t="shared" si="10"/>
        <v>88065.69384101138</v>
      </c>
      <c r="K99" s="95"/>
      <c r="L99" s="50"/>
      <c r="M99" s="15"/>
    </row>
    <row r="100" spans="1:13">
      <c r="A100" s="50"/>
      <c r="B100" s="50"/>
      <c r="C100" s="50" t="s">
        <v>146</v>
      </c>
      <c r="D100" s="50"/>
      <c r="E100" s="32">
        <f t="shared" ref="E100:J100" si="11">SUM(E70:E75)</f>
        <v>0</v>
      </c>
      <c r="F100" s="32">
        <f t="shared" si="11"/>
        <v>63656</v>
      </c>
      <c r="G100" s="32">
        <f t="shared" si="11"/>
        <v>137783.16954099401</v>
      </c>
      <c r="H100" s="32">
        <f t="shared" si="11"/>
        <v>213165.58044094563</v>
      </c>
      <c r="I100" s="32">
        <f t="shared" si="11"/>
        <v>290651.33879199385</v>
      </c>
      <c r="J100" s="32">
        <f t="shared" si="11"/>
        <v>373688.7606953244</v>
      </c>
      <c r="K100" s="95"/>
      <c r="L100" s="27"/>
      <c r="M100" s="15"/>
    </row>
    <row r="101" spans="1:13">
      <c r="A101" s="50"/>
      <c r="B101" s="50"/>
      <c r="C101" s="50" t="s">
        <v>147</v>
      </c>
      <c r="D101" s="50"/>
      <c r="E101" s="32">
        <f t="shared" ref="E101:J101" si="12">SUM(E82:E87)</f>
        <v>0</v>
      </c>
      <c r="F101" s="32">
        <f t="shared" si="12"/>
        <v>1261.1660096353282</v>
      </c>
      <c r="G101" s="32">
        <f t="shared" si="12"/>
        <v>3353.6258994467353</v>
      </c>
      <c r="H101" s="32">
        <f t="shared" si="12"/>
        <v>4880.0537245069354</v>
      </c>
      <c r="I101" s="32">
        <f t="shared" si="12"/>
        <v>6233.4908142726163</v>
      </c>
      <c r="J101" s="32">
        <f t="shared" si="12"/>
        <v>7473.7752139064951</v>
      </c>
      <c r="K101" s="95"/>
      <c r="L101" s="27"/>
      <c r="M101" s="15"/>
    </row>
    <row r="102" spans="1:13">
      <c r="A102" s="50"/>
      <c r="B102" s="50"/>
      <c r="C102" s="50" t="s">
        <v>68</v>
      </c>
      <c r="D102" s="50"/>
      <c r="E102" s="32">
        <f t="shared" ref="E102:J102" si="13">SUM(E88:E93)</f>
        <v>0</v>
      </c>
      <c r="F102" s="32">
        <f t="shared" si="13"/>
        <v>1414.5777777777778</v>
      </c>
      <c r="G102" s="32">
        <f t="shared" si="13"/>
        <v>3093.9202262806029</v>
      </c>
      <c r="H102" s="32">
        <f t="shared" si="13"/>
        <v>4840.3493835308291</v>
      </c>
      <c r="I102" s="32">
        <f t="shared" si="13"/>
        <v>6674.7597115092149</v>
      </c>
      <c r="J102" s="32">
        <f t="shared" si="13"/>
        <v>8676.359789088061</v>
      </c>
      <c r="K102" s="95"/>
      <c r="L102" s="27"/>
      <c r="M102" s="15"/>
    </row>
    <row r="103" spans="1:13">
      <c r="A103" s="50"/>
      <c r="B103" s="50"/>
      <c r="C103" s="50" t="s">
        <v>148</v>
      </c>
      <c r="D103" s="50"/>
      <c r="E103" s="32">
        <f t="shared" ref="E103:J103" si="14">SUM(E94:E99)</f>
        <v>63656</v>
      </c>
      <c r="F103" s="32">
        <f t="shared" si="14"/>
        <v>137783.16954099401</v>
      </c>
      <c r="G103" s="32">
        <f t="shared" si="14"/>
        <v>213165.58044094563</v>
      </c>
      <c r="H103" s="32">
        <f t="shared" si="14"/>
        <v>290651.33879199385</v>
      </c>
      <c r="I103" s="32">
        <f t="shared" si="14"/>
        <v>373688.7606953244</v>
      </c>
      <c r="J103" s="32">
        <f t="shared" si="14"/>
        <v>460551.86996115424</v>
      </c>
      <c r="K103" s="95"/>
      <c r="L103" s="50"/>
      <c r="M103" s="15"/>
    </row>
    <row r="104" spans="1:13">
      <c r="A104" s="50"/>
      <c r="B104" s="50"/>
      <c r="C104" s="50"/>
      <c r="D104" s="50"/>
      <c r="E104" s="32"/>
      <c r="F104" s="32"/>
      <c r="G104" s="32"/>
      <c r="H104" s="32"/>
      <c r="I104" s="32"/>
      <c r="J104" s="32"/>
      <c r="K104" s="95"/>
      <c r="L104" s="50"/>
      <c r="M104" s="15"/>
    </row>
    <row r="105" spans="1:13" ht="15.75">
      <c r="A105" s="50"/>
      <c r="B105" s="50"/>
      <c r="C105" s="162" t="s">
        <v>121</v>
      </c>
      <c r="D105" s="50"/>
      <c r="E105" s="162" t="str">
        <f>Inputs!D$11</f>
        <v>2009/10</v>
      </c>
      <c r="F105" s="162" t="str">
        <f>Inputs!E$11</f>
        <v>2010/11</v>
      </c>
      <c r="G105" s="162" t="str">
        <f>Inputs!F$11</f>
        <v>2011/12</v>
      </c>
      <c r="H105" s="162" t="str">
        <f>Inputs!G$11</f>
        <v>2012/13</v>
      </c>
      <c r="I105" s="162" t="str">
        <f>Inputs!H$11</f>
        <v>2013/14</v>
      </c>
      <c r="J105" s="162" t="str">
        <f>Inputs!I$11</f>
        <v>2014/15</v>
      </c>
      <c r="K105" s="95"/>
      <c r="L105" s="50"/>
      <c r="M105" s="15"/>
    </row>
    <row r="106" spans="1:13">
      <c r="A106" s="50"/>
      <c r="B106" s="50"/>
      <c r="C106" s="164" t="s">
        <v>60</v>
      </c>
      <c r="D106" s="50"/>
      <c r="E106" s="164">
        <v>1</v>
      </c>
      <c r="F106" s="164">
        <v>2</v>
      </c>
      <c r="G106" s="164">
        <v>3</v>
      </c>
      <c r="H106" s="164">
        <v>4</v>
      </c>
      <c r="I106" s="164">
        <v>5</v>
      </c>
      <c r="J106" s="164">
        <v>6</v>
      </c>
      <c r="K106" s="95"/>
      <c r="L106" s="50"/>
      <c r="M106" s="15"/>
    </row>
    <row r="107" spans="1:13">
      <c r="A107" s="50"/>
      <c r="B107" s="50"/>
      <c r="C107" s="50" t="s">
        <v>39</v>
      </c>
      <c r="D107" s="32"/>
      <c r="E107" s="32">
        <f t="shared" ref="E107:J107" si="15">E$29</f>
        <v>63656</v>
      </c>
      <c r="F107" s="32">
        <f t="shared" si="15"/>
        <v>74280.581309136454</v>
      </c>
      <c r="G107" s="32">
        <f t="shared" si="15"/>
        <v>75122.705226785518</v>
      </c>
      <c r="H107" s="32">
        <f t="shared" si="15"/>
        <v>77446.054010072083</v>
      </c>
      <c r="I107" s="32">
        <f t="shared" si="15"/>
        <v>83478.690800567143</v>
      </c>
      <c r="J107" s="32">
        <f t="shared" si="15"/>
        <v>88065.69384101138</v>
      </c>
      <c r="K107" s="95"/>
      <c r="L107" s="50"/>
      <c r="M107" s="15"/>
    </row>
    <row r="108" spans="1:13">
      <c r="A108" s="50">
        <v>1</v>
      </c>
      <c r="B108" s="50"/>
      <c r="C108" s="50" t="s">
        <v>230</v>
      </c>
      <c r="D108" s="50"/>
      <c r="E108" s="129">
        <v>0</v>
      </c>
      <c r="F108" s="32">
        <f t="shared" ref="F108:J113" si="16">E126</f>
        <v>63656</v>
      </c>
      <c r="G108" s="32">
        <f t="shared" si="16"/>
        <v>62241.422222222223</v>
      </c>
      <c r="H108" s="32">
        <f t="shared" si="16"/>
        <v>60826.844444444447</v>
      </c>
      <c r="I108" s="32">
        <f t="shared" si="16"/>
        <v>59412.26666666667</v>
      </c>
      <c r="J108" s="32">
        <f t="shared" si="16"/>
        <v>57997.688888888893</v>
      </c>
      <c r="K108" s="95"/>
      <c r="L108" s="50"/>
      <c r="M108" s="15"/>
    </row>
    <row r="109" spans="1:13">
      <c r="A109" s="50">
        <v>2</v>
      </c>
      <c r="B109" s="50"/>
      <c r="C109" s="50" t="s">
        <v>231</v>
      </c>
      <c r="D109" s="50"/>
      <c r="E109" s="129">
        <v>0</v>
      </c>
      <c r="F109" s="32">
        <f t="shared" si="16"/>
        <v>0</v>
      </c>
      <c r="G109" s="32">
        <f t="shared" si="16"/>
        <v>74280.581309136454</v>
      </c>
      <c r="H109" s="32">
        <f t="shared" si="16"/>
        <v>72629.901724488984</v>
      </c>
      <c r="I109" s="32">
        <f t="shared" si="16"/>
        <v>70979.222139841513</v>
      </c>
      <c r="J109" s="32">
        <f t="shared" si="16"/>
        <v>69328.542555194043</v>
      </c>
      <c r="K109" s="95"/>
      <c r="L109" s="50"/>
      <c r="M109" s="15"/>
    </row>
    <row r="110" spans="1:13">
      <c r="A110" s="50">
        <v>3</v>
      </c>
      <c r="B110" s="50"/>
      <c r="C110" s="50" t="s">
        <v>232</v>
      </c>
      <c r="D110" s="50"/>
      <c r="E110" s="129">
        <v>0</v>
      </c>
      <c r="F110" s="32">
        <f t="shared" si="16"/>
        <v>0</v>
      </c>
      <c r="G110" s="32">
        <f t="shared" si="16"/>
        <v>0</v>
      </c>
      <c r="H110" s="32">
        <f t="shared" si="16"/>
        <v>75122.705226785518</v>
      </c>
      <c r="I110" s="32">
        <f t="shared" si="16"/>
        <v>73453.311777301395</v>
      </c>
      <c r="J110" s="32">
        <f t="shared" si="16"/>
        <v>71783.918327817271</v>
      </c>
      <c r="K110" s="95"/>
      <c r="L110" s="50"/>
      <c r="M110" s="15"/>
    </row>
    <row r="111" spans="1:13">
      <c r="A111" s="50">
        <v>4</v>
      </c>
      <c r="B111" s="50"/>
      <c r="C111" s="50" t="s">
        <v>233</v>
      </c>
      <c r="D111" s="50"/>
      <c r="E111" s="129">
        <v>0</v>
      </c>
      <c r="F111" s="32">
        <f t="shared" si="16"/>
        <v>0</v>
      </c>
      <c r="G111" s="32">
        <f t="shared" si="16"/>
        <v>0</v>
      </c>
      <c r="H111" s="32">
        <f t="shared" si="16"/>
        <v>0</v>
      </c>
      <c r="I111" s="32">
        <f t="shared" si="16"/>
        <v>77446.054010072083</v>
      </c>
      <c r="J111" s="32">
        <f t="shared" si="16"/>
        <v>75725.030587626039</v>
      </c>
      <c r="K111" s="95"/>
      <c r="L111" s="50"/>
      <c r="M111" s="15"/>
    </row>
    <row r="112" spans="1:13">
      <c r="A112" s="50">
        <v>5</v>
      </c>
      <c r="B112" s="50"/>
      <c r="C112" s="50" t="s">
        <v>234</v>
      </c>
      <c r="D112" s="50"/>
      <c r="E112" s="129">
        <v>0</v>
      </c>
      <c r="F112" s="32">
        <f t="shared" si="16"/>
        <v>0</v>
      </c>
      <c r="G112" s="32">
        <f t="shared" si="16"/>
        <v>0</v>
      </c>
      <c r="H112" s="32">
        <f t="shared" si="16"/>
        <v>0</v>
      </c>
      <c r="I112" s="32">
        <f t="shared" si="16"/>
        <v>0</v>
      </c>
      <c r="J112" s="32">
        <f t="shared" si="16"/>
        <v>83478.690800567143</v>
      </c>
      <c r="K112" s="95"/>
      <c r="L112" s="50"/>
      <c r="M112" s="15"/>
    </row>
    <row r="113" spans="1:13">
      <c r="A113" s="50">
        <v>6</v>
      </c>
      <c r="B113" s="50"/>
      <c r="C113" s="50" t="s">
        <v>235</v>
      </c>
      <c r="D113" s="50"/>
      <c r="E113" s="129">
        <v>0</v>
      </c>
      <c r="F113" s="32">
        <f t="shared" si="16"/>
        <v>0</v>
      </c>
      <c r="G113" s="32">
        <f t="shared" si="16"/>
        <v>0</v>
      </c>
      <c r="H113" s="32">
        <f t="shared" si="16"/>
        <v>0</v>
      </c>
      <c r="I113" s="32">
        <f t="shared" si="16"/>
        <v>0</v>
      </c>
      <c r="J113" s="32">
        <f t="shared" si="16"/>
        <v>0</v>
      </c>
      <c r="K113" s="95"/>
      <c r="L113" s="50"/>
      <c r="M113" s="15"/>
    </row>
    <row r="114" spans="1:13">
      <c r="A114" s="50">
        <v>1</v>
      </c>
      <c r="B114" s="50"/>
      <c r="C114" s="50" t="s">
        <v>236</v>
      </c>
      <c r="D114" s="50"/>
      <c r="E114" s="129">
        <f>Inputs!$C$7+$A114</f>
        <v>46</v>
      </c>
      <c r="F114" s="32">
        <f t="shared" ref="F114:J119" si="17">E114-1</f>
        <v>45</v>
      </c>
      <c r="G114" s="32">
        <f t="shared" si="17"/>
        <v>44</v>
      </c>
      <c r="H114" s="32">
        <f t="shared" si="17"/>
        <v>43</v>
      </c>
      <c r="I114" s="32">
        <f t="shared" si="17"/>
        <v>42</v>
      </c>
      <c r="J114" s="32">
        <f t="shared" si="17"/>
        <v>41</v>
      </c>
      <c r="K114" s="95"/>
      <c r="L114" s="50"/>
      <c r="M114" s="15"/>
    </row>
    <row r="115" spans="1:13">
      <c r="A115" s="50">
        <v>2</v>
      </c>
      <c r="B115" s="50"/>
      <c r="C115" s="50" t="s">
        <v>237</v>
      </c>
      <c r="D115" s="50"/>
      <c r="E115" s="129">
        <f>Inputs!$C$7+$A115</f>
        <v>47</v>
      </c>
      <c r="F115" s="32">
        <f t="shared" si="17"/>
        <v>46</v>
      </c>
      <c r="G115" s="32">
        <f t="shared" si="17"/>
        <v>45</v>
      </c>
      <c r="H115" s="32">
        <f t="shared" si="17"/>
        <v>44</v>
      </c>
      <c r="I115" s="32">
        <f t="shared" si="17"/>
        <v>43</v>
      </c>
      <c r="J115" s="32">
        <f t="shared" si="17"/>
        <v>42</v>
      </c>
      <c r="K115" s="95"/>
      <c r="L115" s="50"/>
      <c r="M115" s="15"/>
    </row>
    <row r="116" spans="1:13">
      <c r="A116" s="50">
        <v>3</v>
      </c>
      <c r="B116" s="50"/>
      <c r="C116" s="50" t="s">
        <v>238</v>
      </c>
      <c r="D116" s="50"/>
      <c r="E116" s="129">
        <f>Inputs!$C$7+$A116</f>
        <v>48</v>
      </c>
      <c r="F116" s="32">
        <f t="shared" si="17"/>
        <v>47</v>
      </c>
      <c r="G116" s="32">
        <f t="shared" si="17"/>
        <v>46</v>
      </c>
      <c r="H116" s="32">
        <f t="shared" si="17"/>
        <v>45</v>
      </c>
      <c r="I116" s="32">
        <f t="shared" si="17"/>
        <v>44</v>
      </c>
      <c r="J116" s="32">
        <f t="shared" si="17"/>
        <v>43</v>
      </c>
      <c r="K116" s="95"/>
      <c r="L116" s="50"/>
      <c r="M116" s="15"/>
    </row>
    <row r="117" spans="1:13">
      <c r="A117" s="50">
        <v>4</v>
      </c>
      <c r="B117" s="50"/>
      <c r="C117" s="50" t="s">
        <v>239</v>
      </c>
      <c r="D117" s="50"/>
      <c r="E117" s="129">
        <f>Inputs!$C$7+$A117</f>
        <v>49</v>
      </c>
      <c r="F117" s="32">
        <f t="shared" si="17"/>
        <v>48</v>
      </c>
      <c r="G117" s="32">
        <f t="shared" si="17"/>
        <v>47</v>
      </c>
      <c r="H117" s="32">
        <f t="shared" si="17"/>
        <v>46</v>
      </c>
      <c r="I117" s="32">
        <f t="shared" si="17"/>
        <v>45</v>
      </c>
      <c r="J117" s="32">
        <f t="shared" si="17"/>
        <v>44</v>
      </c>
      <c r="K117" s="95"/>
      <c r="L117" s="50"/>
      <c r="M117" s="15"/>
    </row>
    <row r="118" spans="1:13">
      <c r="A118" s="50">
        <v>5</v>
      </c>
      <c r="B118" s="50"/>
      <c r="C118" s="50" t="s">
        <v>240</v>
      </c>
      <c r="D118" s="50"/>
      <c r="E118" s="129">
        <f>Inputs!$C$7+$A118</f>
        <v>50</v>
      </c>
      <c r="F118" s="32">
        <f t="shared" si="17"/>
        <v>49</v>
      </c>
      <c r="G118" s="32">
        <f t="shared" si="17"/>
        <v>48</v>
      </c>
      <c r="H118" s="32">
        <f t="shared" si="17"/>
        <v>47</v>
      </c>
      <c r="I118" s="32">
        <f t="shared" si="17"/>
        <v>46</v>
      </c>
      <c r="J118" s="32">
        <f t="shared" si="17"/>
        <v>45</v>
      </c>
      <c r="K118" s="95"/>
      <c r="L118" s="50"/>
      <c r="M118" s="15"/>
    </row>
    <row r="119" spans="1:13">
      <c r="A119" s="50">
        <v>6</v>
      </c>
      <c r="B119" s="50"/>
      <c r="C119" s="50" t="s">
        <v>241</v>
      </c>
      <c r="D119" s="50"/>
      <c r="E119" s="129">
        <f>Inputs!$C$7+$A119</f>
        <v>51</v>
      </c>
      <c r="F119" s="32">
        <f t="shared" si="17"/>
        <v>50</v>
      </c>
      <c r="G119" s="32">
        <f t="shared" si="17"/>
        <v>49</v>
      </c>
      <c r="H119" s="32">
        <f t="shared" si="17"/>
        <v>48</v>
      </c>
      <c r="I119" s="32">
        <f t="shared" si="17"/>
        <v>47</v>
      </c>
      <c r="J119" s="32">
        <f t="shared" si="17"/>
        <v>46</v>
      </c>
      <c r="K119" s="95"/>
      <c r="L119" s="50"/>
      <c r="M119" s="15"/>
    </row>
    <row r="120" spans="1:13">
      <c r="A120" s="50">
        <v>1</v>
      </c>
      <c r="B120" s="50"/>
      <c r="C120" s="50" t="s">
        <v>242</v>
      </c>
      <c r="D120" s="50"/>
      <c r="E120" s="32">
        <f t="shared" ref="E120:J125" si="18">E108/E114</f>
        <v>0</v>
      </c>
      <c r="F120" s="32">
        <f t="shared" si="18"/>
        <v>1414.5777777777778</v>
      </c>
      <c r="G120" s="32">
        <f t="shared" si="18"/>
        <v>1414.5777777777778</v>
      </c>
      <c r="H120" s="32">
        <f t="shared" si="18"/>
        <v>1414.5777777777778</v>
      </c>
      <c r="I120" s="32">
        <f t="shared" si="18"/>
        <v>1414.5777777777778</v>
      </c>
      <c r="J120" s="32">
        <f t="shared" si="18"/>
        <v>1414.5777777777778</v>
      </c>
      <c r="K120" s="95"/>
      <c r="L120" s="50"/>
      <c r="M120" s="15"/>
    </row>
    <row r="121" spans="1:13">
      <c r="A121" s="50">
        <v>2</v>
      </c>
      <c r="B121" s="50"/>
      <c r="C121" s="50" t="s">
        <v>243</v>
      </c>
      <c r="D121" s="50"/>
      <c r="E121" s="32">
        <f t="shared" si="18"/>
        <v>0</v>
      </c>
      <c r="F121" s="32">
        <f t="shared" si="18"/>
        <v>0</v>
      </c>
      <c r="G121" s="32">
        <f t="shared" si="18"/>
        <v>1650.6795846474768</v>
      </c>
      <c r="H121" s="32">
        <f t="shared" si="18"/>
        <v>1650.679584647477</v>
      </c>
      <c r="I121" s="32">
        <f t="shared" si="18"/>
        <v>1650.679584647477</v>
      </c>
      <c r="J121" s="32">
        <f t="shared" si="18"/>
        <v>1650.6795846474772</v>
      </c>
      <c r="K121" s="95"/>
      <c r="L121" s="50"/>
      <c r="M121" s="15"/>
    </row>
    <row r="122" spans="1:13">
      <c r="A122" s="50">
        <v>3</v>
      </c>
      <c r="B122" s="50"/>
      <c r="C122" s="50" t="s">
        <v>244</v>
      </c>
      <c r="D122" s="50"/>
      <c r="E122" s="32">
        <f t="shared" si="18"/>
        <v>0</v>
      </c>
      <c r="F122" s="32">
        <f t="shared" si="18"/>
        <v>0</v>
      </c>
      <c r="G122" s="32">
        <f t="shared" si="18"/>
        <v>0</v>
      </c>
      <c r="H122" s="32">
        <f t="shared" si="18"/>
        <v>1669.3934494841226</v>
      </c>
      <c r="I122" s="32">
        <f t="shared" si="18"/>
        <v>1669.3934494841226</v>
      </c>
      <c r="J122" s="32">
        <f t="shared" si="18"/>
        <v>1669.3934494841226</v>
      </c>
      <c r="K122" s="95"/>
      <c r="L122" s="50"/>
      <c r="M122" s="15"/>
    </row>
    <row r="123" spans="1:13">
      <c r="A123" s="50">
        <v>4</v>
      </c>
      <c r="B123" s="50"/>
      <c r="C123" s="50" t="s">
        <v>245</v>
      </c>
      <c r="D123" s="50"/>
      <c r="E123" s="32">
        <f t="shared" si="18"/>
        <v>0</v>
      </c>
      <c r="F123" s="32">
        <f t="shared" si="18"/>
        <v>0</v>
      </c>
      <c r="G123" s="32">
        <f t="shared" si="18"/>
        <v>0</v>
      </c>
      <c r="H123" s="32">
        <f t="shared" si="18"/>
        <v>0</v>
      </c>
      <c r="I123" s="32">
        <f t="shared" si="18"/>
        <v>1721.0234224460462</v>
      </c>
      <c r="J123" s="32">
        <f t="shared" si="18"/>
        <v>1721.0234224460464</v>
      </c>
      <c r="K123" s="95"/>
      <c r="L123" s="50"/>
      <c r="M123" s="15"/>
    </row>
    <row r="124" spans="1:13">
      <c r="A124" s="50">
        <v>5</v>
      </c>
      <c r="B124" s="50"/>
      <c r="C124" s="50" t="s">
        <v>246</v>
      </c>
      <c r="D124" s="50"/>
      <c r="E124" s="32">
        <f t="shared" si="18"/>
        <v>0</v>
      </c>
      <c r="F124" s="32">
        <f t="shared" si="18"/>
        <v>0</v>
      </c>
      <c r="G124" s="32">
        <f t="shared" si="18"/>
        <v>0</v>
      </c>
      <c r="H124" s="32">
        <f t="shared" si="18"/>
        <v>0</v>
      </c>
      <c r="I124" s="32">
        <f t="shared" si="18"/>
        <v>0</v>
      </c>
      <c r="J124" s="32">
        <f t="shared" si="18"/>
        <v>1855.0820177903809</v>
      </c>
      <c r="K124" s="95"/>
      <c r="L124" s="50"/>
      <c r="M124" s="15"/>
    </row>
    <row r="125" spans="1:13">
      <c r="A125" s="50">
        <v>6</v>
      </c>
      <c r="B125" s="50"/>
      <c r="C125" s="50" t="s">
        <v>247</v>
      </c>
      <c r="D125" s="50"/>
      <c r="E125" s="32">
        <f t="shared" si="18"/>
        <v>0</v>
      </c>
      <c r="F125" s="32">
        <f t="shared" si="18"/>
        <v>0</v>
      </c>
      <c r="G125" s="32">
        <f t="shared" si="18"/>
        <v>0</v>
      </c>
      <c r="H125" s="32">
        <f t="shared" si="18"/>
        <v>0</v>
      </c>
      <c r="I125" s="32">
        <f t="shared" si="18"/>
        <v>0</v>
      </c>
      <c r="J125" s="32">
        <f t="shared" si="18"/>
        <v>0</v>
      </c>
      <c r="K125" s="95"/>
      <c r="L125" s="50"/>
      <c r="M125" s="15"/>
    </row>
    <row r="126" spans="1:13">
      <c r="A126" s="50">
        <v>1</v>
      </c>
      <c r="B126" s="50"/>
      <c r="C126" s="50" t="s">
        <v>248</v>
      </c>
      <c r="D126" s="50"/>
      <c r="E126" s="32">
        <f t="shared" ref="E126:J131" si="19">E108-E120+IF($A126=E$106,E$107,0)</f>
        <v>63656</v>
      </c>
      <c r="F126" s="32">
        <f t="shared" si="19"/>
        <v>62241.422222222223</v>
      </c>
      <c r="G126" s="32">
        <f t="shared" si="19"/>
        <v>60826.844444444447</v>
      </c>
      <c r="H126" s="32">
        <f t="shared" si="19"/>
        <v>59412.26666666667</v>
      </c>
      <c r="I126" s="32">
        <f t="shared" si="19"/>
        <v>57997.688888888893</v>
      </c>
      <c r="J126" s="32">
        <f t="shared" si="19"/>
        <v>56583.111111111117</v>
      </c>
      <c r="K126" s="95"/>
      <c r="L126" s="50"/>
      <c r="M126" s="15"/>
    </row>
    <row r="127" spans="1:13">
      <c r="A127" s="50">
        <v>2</v>
      </c>
      <c r="B127" s="50"/>
      <c r="C127" s="50" t="s">
        <v>249</v>
      </c>
      <c r="D127" s="50"/>
      <c r="E127" s="32">
        <f t="shared" si="19"/>
        <v>0</v>
      </c>
      <c r="F127" s="32">
        <f t="shared" si="19"/>
        <v>74280.581309136454</v>
      </c>
      <c r="G127" s="32">
        <f t="shared" si="19"/>
        <v>72629.901724488984</v>
      </c>
      <c r="H127" s="32">
        <f t="shared" si="19"/>
        <v>70979.222139841513</v>
      </c>
      <c r="I127" s="32">
        <f t="shared" si="19"/>
        <v>69328.542555194043</v>
      </c>
      <c r="J127" s="32">
        <f t="shared" si="19"/>
        <v>67677.862970546572</v>
      </c>
      <c r="K127" s="95"/>
      <c r="L127" s="50"/>
      <c r="M127" s="15"/>
    </row>
    <row r="128" spans="1:13">
      <c r="A128" s="50">
        <v>3</v>
      </c>
      <c r="B128" s="50"/>
      <c r="C128" s="50" t="s">
        <v>250</v>
      </c>
      <c r="D128" s="50"/>
      <c r="E128" s="32">
        <f t="shared" si="19"/>
        <v>0</v>
      </c>
      <c r="F128" s="32">
        <f t="shared" si="19"/>
        <v>0</v>
      </c>
      <c r="G128" s="32">
        <f t="shared" si="19"/>
        <v>75122.705226785518</v>
      </c>
      <c r="H128" s="32">
        <f t="shared" si="19"/>
        <v>73453.311777301395</v>
      </c>
      <c r="I128" s="32">
        <f t="shared" si="19"/>
        <v>71783.918327817271</v>
      </c>
      <c r="J128" s="32">
        <f t="shared" si="19"/>
        <v>70114.524878333148</v>
      </c>
      <c r="K128" s="95"/>
      <c r="L128" s="50"/>
      <c r="M128" s="15"/>
    </row>
    <row r="129" spans="1:13">
      <c r="A129" s="50">
        <v>4</v>
      </c>
      <c r="B129" s="50"/>
      <c r="C129" s="50" t="s">
        <v>251</v>
      </c>
      <c r="D129" s="50"/>
      <c r="E129" s="32">
        <f t="shared" si="19"/>
        <v>0</v>
      </c>
      <c r="F129" s="32">
        <f t="shared" si="19"/>
        <v>0</v>
      </c>
      <c r="G129" s="32">
        <f t="shared" si="19"/>
        <v>0</v>
      </c>
      <c r="H129" s="32">
        <f t="shared" si="19"/>
        <v>77446.054010072083</v>
      </c>
      <c r="I129" s="32">
        <f t="shared" si="19"/>
        <v>75725.030587626039</v>
      </c>
      <c r="J129" s="32">
        <f t="shared" si="19"/>
        <v>74004.007165179995</v>
      </c>
      <c r="K129" s="95"/>
      <c r="L129" s="50"/>
      <c r="M129" s="15"/>
    </row>
    <row r="130" spans="1:13">
      <c r="A130" s="50">
        <v>5</v>
      </c>
      <c r="B130" s="50"/>
      <c r="C130" s="50" t="s">
        <v>252</v>
      </c>
      <c r="D130" s="50"/>
      <c r="E130" s="32">
        <f t="shared" si="19"/>
        <v>0</v>
      </c>
      <c r="F130" s="32">
        <f t="shared" si="19"/>
        <v>0</v>
      </c>
      <c r="G130" s="32">
        <f t="shared" si="19"/>
        <v>0</v>
      </c>
      <c r="H130" s="32">
        <f t="shared" si="19"/>
        <v>0</v>
      </c>
      <c r="I130" s="32">
        <f t="shared" si="19"/>
        <v>83478.690800567143</v>
      </c>
      <c r="J130" s="32">
        <f t="shared" si="19"/>
        <v>81623.608782776762</v>
      </c>
      <c r="K130" s="95"/>
      <c r="L130" s="50"/>
      <c r="M130" s="15"/>
    </row>
    <row r="131" spans="1:13">
      <c r="A131" s="50">
        <v>6</v>
      </c>
      <c r="B131" s="50"/>
      <c r="C131" s="50" t="s">
        <v>253</v>
      </c>
      <c r="D131" s="50"/>
      <c r="E131" s="32">
        <f t="shared" si="19"/>
        <v>0</v>
      </c>
      <c r="F131" s="32">
        <f t="shared" si="19"/>
        <v>0</v>
      </c>
      <c r="G131" s="32">
        <f t="shared" si="19"/>
        <v>0</v>
      </c>
      <c r="H131" s="32">
        <f t="shared" si="19"/>
        <v>0</v>
      </c>
      <c r="I131" s="32">
        <f t="shared" si="19"/>
        <v>0</v>
      </c>
      <c r="J131" s="32">
        <f t="shared" si="19"/>
        <v>88065.69384101138</v>
      </c>
      <c r="K131" s="95"/>
      <c r="L131" s="50"/>
      <c r="M131" s="15"/>
    </row>
    <row r="132" spans="1:13">
      <c r="A132" s="50"/>
      <c r="B132" s="50"/>
      <c r="C132" s="50" t="s">
        <v>62</v>
      </c>
      <c r="D132" s="50"/>
      <c r="E132" s="32">
        <f t="shared" ref="E132:J132" si="20">SUM(E120:E125)</f>
        <v>0</v>
      </c>
      <c r="F132" s="32">
        <f t="shared" si="20"/>
        <v>1414.5777777777778</v>
      </c>
      <c r="G132" s="32">
        <f t="shared" si="20"/>
        <v>3065.2573624252545</v>
      </c>
      <c r="H132" s="32">
        <f t="shared" si="20"/>
        <v>4734.6508119093769</v>
      </c>
      <c r="I132" s="32">
        <f t="shared" si="20"/>
        <v>6455.6742343554233</v>
      </c>
      <c r="J132" s="32">
        <f t="shared" si="20"/>
        <v>8310.7562521458058</v>
      </c>
      <c r="K132" s="95"/>
      <c r="L132" s="27"/>
      <c r="M132" s="15"/>
    </row>
    <row r="133" spans="1:13" s="15" customFormat="1">
      <c r="A133" s="50"/>
      <c r="B133" s="50"/>
      <c r="C133" s="50"/>
      <c r="D133" s="50"/>
      <c r="E133" s="32"/>
      <c r="F133" s="32"/>
      <c r="G133" s="32"/>
      <c r="H133" s="32"/>
      <c r="I133" s="32"/>
      <c r="J133" s="32"/>
      <c r="K133" s="95"/>
      <c r="L133" s="50"/>
    </row>
    <row r="134" spans="1:13" ht="15.75">
      <c r="A134" s="50"/>
      <c r="B134" s="50"/>
      <c r="C134" s="162" t="s">
        <v>63</v>
      </c>
      <c r="D134" s="50"/>
      <c r="E134" s="50"/>
      <c r="F134" s="50"/>
      <c r="G134" s="50"/>
      <c r="H134" s="50"/>
      <c r="I134" s="50"/>
      <c r="J134" s="50"/>
      <c r="K134" s="95"/>
      <c r="L134" s="50"/>
      <c r="M134" s="15"/>
    </row>
    <row r="135" spans="1:13">
      <c r="A135" s="50"/>
      <c r="B135" s="50"/>
      <c r="C135" s="50" t="s">
        <v>65</v>
      </c>
      <c r="D135" s="50"/>
      <c r="E135" s="129">
        <f>E59</f>
        <v>1275729.2823470344</v>
      </c>
      <c r="F135" s="32">
        <f>E140</f>
        <v>1212252.2823470344</v>
      </c>
      <c r="G135" s="32">
        <f>F140</f>
        <v>1148755.2220466689</v>
      </c>
      <c r="H135" s="32">
        <f>G140</f>
        <v>1085593.8211212377</v>
      </c>
      <c r="I135" s="32">
        <f>H140</f>
        <v>1022770.5831803051</v>
      </c>
      <c r="J135" s="32">
        <f>I140</f>
        <v>960322.95050600497</v>
      </c>
      <c r="K135" s="95"/>
      <c r="L135" s="50"/>
      <c r="M135" s="15"/>
    </row>
    <row r="136" spans="1:13">
      <c r="A136" s="50"/>
      <c r="B136" s="50"/>
      <c r="C136" s="50" t="s">
        <v>40</v>
      </c>
      <c r="D136" s="50"/>
      <c r="E136" s="32">
        <f t="shared" ref="E136:J136" si="21">E56</f>
        <v>11055</v>
      </c>
      <c r="F136" s="32">
        <f t="shared" si="21"/>
        <v>11548.796718322697</v>
      </c>
      <c r="G136" s="32">
        <f t="shared" si="21"/>
        <v>11730.191431175934</v>
      </c>
      <c r="H136" s="32">
        <f t="shared" si="21"/>
        <v>11941.818596171375</v>
      </c>
      <c r="I136" s="32">
        <f t="shared" si="21"/>
        <v>12153.445761166819</v>
      </c>
      <c r="J136" s="32">
        <f t="shared" si="21"/>
        <v>12435.615314494073</v>
      </c>
      <c r="K136" s="95"/>
      <c r="L136" s="50"/>
      <c r="M136" s="15"/>
    </row>
    <row r="137" spans="1:13">
      <c r="A137" s="50"/>
      <c r="B137" s="50"/>
      <c r="C137" s="50" t="s">
        <v>312</v>
      </c>
      <c r="D137" s="50"/>
      <c r="E137" s="32">
        <f>Pco!E12</f>
        <v>0</v>
      </c>
      <c r="F137" s="32"/>
      <c r="G137" s="32"/>
      <c r="H137" s="32"/>
      <c r="I137" s="32"/>
      <c r="J137" s="32"/>
      <c r="K137" s="95"/>
      <c r="L137" s="50"/>
      <c r="M137" s="15"/>
    </row>
    <row r="138" spans="1:13">
      <c r="A138" s="50"/>
      <c r="B138" s="50"/>
      <c r="C138" s="50" t="s">
        <v>313</v>
      </c>
      <c r="D138" s="50"/>
      <c r="E138" s="32">
        <f>Pco!E13</f>
        <v>0</v>
      </c>
      <c r="F138" s="32"/>
      <c r="G138" s="32"/>
      <c r="H138" s="32"/>
      <c r="I138" s="32"/>
      <c r="J138" s="32"/>
      <c r="K138" s="95"/>
      <c r="L138" s="50"/>
      <c r="M138" s="15"/>
    </row>
    <row r="139" spans="1:13">
      <c r="A139" s="50"/>
      <c r="B139" s="50"/>
      <c r="C139" s="50" t="s">
        <v>64</v>
      </c>
      <c r="D139" s="50"/>
      <c r="E139" s="32">
        <f t="shared" ref="E139:J139" si="22">E135/E$54</f>
        <v>52422</v>
      </c>
      <c r="F139" s="32">
        <f t="shared" si="22"/>
        <v>51948.263582042833</v>
      </c>
      <c r="G139" s="32">
        <f t="shared" si="22"/>
        <v>51431.209494255192</v>
      </c>
      <c r="H139" s="32">
        <f t="shared" si="22"/>
        <v>50881.419344761212</v>
      </c>
      <c r="I139" s="32">
        <f t="shared" si="22"/>
        <v>50294.186913133199</v>
      </c>
      <c r="J139" s="32">
        <f t="shared" si="22"/>
        <v>49665.639346223586</v>
      </c>
      <c r="K139" s="95"/>
      <c r="L139" s="50"/>
      <c r="M139" s="15"/>
    </row>
    <row r="140" spans="1:13">
      <c r="A140" s="50"/>
      <c r="B140" s="50"/>
      <c r="C140" s="50" t="s">
        <v>61</v>
      </c>
      <c r="D140" s="50"/>
      <c r="E140" s="129">
        <f>E135-E136-E137+E138-E139</f>
        <v>1212252.2823470344</v>
      </c>
      <c r="F140" s="32">
        <f>F135-F136-F139</f>
        <v>1148755.2220466689</v>
      </c>
      <c r="G140" s="32">
        <f>G135-G136-G139</f>
        <v>1085593.8211212377</v>
      </c>
      <c r="H140" s="32">
        <f>H135-H136-H139</f>
        <v>1022770.5831803051</v>
      </c>
      <c r="I140" s="32">
        <f>I135-I136-I139</f>
        <v>960322.95050600497</v>
      </c>
      <c r="J140" s="32">
        <f>J135-J136-J139</f>
        <v>898221.69584528729</v>
      </c>
      <c r="K140" s="95"/>
      <c r="L140" s="50"/>
      <c r="M140" s="15"/>
    </row>
    <row r="141" spans="1:13">
      <c r="A141" s="50"/>
      <c r="B141" s="50"/>
      <c r="C141" s="50"/>
      <c r="D141" s="50"/>
      <c r="E141" s="32"/>
      <c r="F141" s="32"/>
      <c r="G141" s="32"/>
      <c r="H141" s="32"/>
      <c r="I141" s="32"/>
      <c r="J141" s="32"/>
      <c r="K141" s="95"/>
      <c r="L141" s="27"/>
      <c r="M141" s="15"/>
    </row>
    <row r="142" spans="1:13" ht="15.75">
      <c r="A142" s="50"/>
      <c r="B142" s="50"/>
      <c r="C142" s="162" t="s">
        <v>66</v>
      </c>
      <c r="D142" s="50"/>
      <c r="E142" s="50"/>
      <c r="F142" s="50"/>
      <c r="G142" s="50"/>
      <c r="H142" s="50"/>
      <c r="I142" s="50"/>
      <c r="J142" s="50"/>
      <c r="K142" s="95"/>
      <c r="L142" s="27"/>
      <c r="M142" s="15"/>
    </row>
    <row r="143" spans="1:13">
      <c r="A143" s="50"/>
      <c r="B143" s="50"/>
      <c r="C143" s="50" t="s">
        <v>155</v>
      </c>
      <c r="D143" s="50"/>
      <c r="E143" s="32">
        <f t="shared" ref="E143:J143" si="23">E59+E100</f>
        <v>1275729.2823470344</v>
      </c>
      <c r="F143" s="32">
        <f t="shared" si="23"/>
        <v>1297681.5035288308</v>
      </c>
      <c r="G143" s="32">
        <f t="shared" si="23"/>
        <v>1331574.0876947818</v>
      </c>
      <c r="H143" s="32">
        <f t="shared" si="23"/>
        <v>1370520.9534287562</v>
      </c>
      <c r="I143" s="32">
        <f t="shared" si="23"/>
        <v>1408015.7814247762</v>
      </c>
      <c r="J143" s="32">
        <f t="shared" si="23"/>
        <v>1447633.0532576856</v>
      </c>
      <c r="K143" s="95"/>
      <c r="L143" s="27"/>
      <c r="M143" s="15"/>
    </row>
    <row r="144" spans="1:13">
      <c r="A144" s="50"/>
      <c r="B144" s="50"/>
      <c r="C144" s="50" t="s">
        <v>154</v>
      </c>
      <c r="D144" s="50"/>
      <c r="E144" s="32">
        <f t="shared" ref="E144:J146" si="24">E63+E101</f>
        <v>21773.221181796478</v>
      </c>
      <c r="F144" s="32">
        <f t="shared" si="24"/>
        <v>25456.681894709352</v>
      </c>
      <c r="G144" s="32">
        <f t="shared" si="24"/>
        <v>32095.786156805891</v>
      </c>
      <c r="H144" s="32">
        <f t="shared" si="24"/>
        <v>31075.801247442938</v>
      </c>
      <c r="I144" s="32">
        <f t="shared" si="24"/>
        <v>29912.574985869516</v>
      </c>
      <c r="J144" s="32">
        <f t="shared" si="24"/>
        <v>28682.469873012607</v>
      </c>
      <c r="K144" s="95"/>
      <c r="L144" s="50"/>
      <c r="M144" s="15"/>
    </row>
    <row r="145" spans="1:13">
      <c r="A145" s="50"/>
      <c r="B145" s="50"/>
      <c r="C145" s="50" t="s">
        <v>153</v>
      </c>
      <c r="D145" s="50"/>
      <c r="E145" s="32">
        <f t="shared" si="24"/>
        <v>52422</v>
      </c>
      <c r="F145" s="32">
        <f t="shared" si="24"/>
        <v>54295.882319572149</v>
      </c>
      <c r="G145" s="32">
        <f t="shared" si="24"/>
        <v>56541.434218441049</v>
      </c>
      <c r="H145" s="32">
        <f t="shared" si="24"/>
        <v>59085.208665323647</v>
      </c>
      <c r="I145" s="32">
        <f t="shared" si="24"/>
        <v>61620.548192360584</v>
      </c>
      <c r="J145" s="32">
        <f t="shared" si="24"/>
        <v>64218.227120523799</v>
      </c>
      <c r="K145" s="95"/>
      <c r="L145" s="50"/>
      <c r="M145" s="15"/>
    </row>
    <row r="146" spans="1:13">
      <c r="A146" s="50"/>
      <c r="B146" s="50"/>
      <c r="C146" s="50" t="s">
        <v>156</v>
      </c>
      <c r="D146" s="50"/>
      <c r="E146" s="32">
        <f t="shared" si="24"/>
        <v>1297681.5035288308</v>
      </c>
      <c r="F146" s="32">
        <f t="shared" si="24"/>
        <v>1331574.0876947818</v>
      </c>
      <c r="G146" s="32">
        <f t="shared" si="24"/>
        <v>1370520.9534287562</v>
      </c>
      <c r="H146" s="32">
        <f t="shared" si="24"/>
        <v>1408015.7814247762</v>
      </c>
      <c r="I146" s="32">
        <f t="shared" si="24"/>
        <v>1447633.0532576856</v>
      </c>
      <c r="J146" s="32">
        <f t="shared" si="24"/>
        <v>1487727.3745366917</v>
      </c>
      <c r="K146" s="95"/>
      <c r="L146" s="50"/>
      <c r="M146" s="15"/>
    </row>
    <row r="147" spans="1:13">
      <c r="A147" s="50"/>
      <c r="B147" s="50"/>
      <c r="C147" s="50" t="s">
        <v>45</v>
      </c>
      <c r="D147" s="50"/>
      <c r="E147" s="32">
        <f t="shared" ref="E147:J147" si="25">E132+E139</f>
        <v>52422</v>
      </c>
      <c r="F147" s="32">
        <f t="shared" si="25"/>
        <v>53362.84135982061</v>
      </c>
      <c r="G147" s="32">
        <f t="shared" si="25"/>
        <v>54496.466856680447</v>
      </c>
      <c r="H147" s="32">
        <f t="shared" si="25"/>
        <v>55616.07015667059</v>
      </c>
      <c r="I147" s="32">
        <f t="shared" si="25"/>
        <v>56749.86114748862</v>
      </c>
      <c r="J147" s="32">
        <f t="shared" si="25"/>
        <v>57976.395598369389</v>
      </c>
      <c r="K147" s="95"/>
      <c r="L147" s="50"/>
      <c r="M147" s="15"/>
    </row>
    <row r="148" spans="1:13">
      <c r="A148" s="50"/>
      <c r="B148" s="50"/>
      <c r="C148" s="50" t="s">
        <v>178</v>
      </c>
      <c r="D148" s="50"/>
      <c r="E148" s="128"/>
      <c r="F148" s="165">
        <f>F143+F107+F144-F145-F56-F146</f>
        <v>0</v>
      </c>
      <c r="G148" s="165">
        <f>G143+G107+G144-G145-G56-G146</f>
        <v>0</v>
      </c>
      <c r="H148" s="165">
        <f>H143+H107+H144-H145-H56-H146</f>
        <v>0</v>
      </c>
      <c r="I148" s="165">
        <f>I143+I107+I144-I145-I56-I146</f>
        <v>0</v>
      </c>
      <c r="J148" s="165">
        <f>J143+J107+J144-J145-J56-J146</f>
        <v>0</v>
      </c>
      <c r="K148" s="95"/>
      <c r="L148" s="50"/>
      <c r="M148" s="15"/>
    </row>
    <row r="149" spans="1:13">
      <c r="A149" s="50"/>
      <c r="B149" s="50"/>
      <c r="C149" s="50"/>
      <c r="D149" s="50"/>
      <c r="E149" s="50"/>
      <c r="F149" s="32"/>
      <c r="G149" s="32"/>
      <c r="H149" s="50"/>
      <c r="I149" s="50"/>
      <c r="J149" s="50"/>
      <c r="K149" s="95"/>
      <c r="L149" s="50"/>
      <c r="M149" s="15"/>
    </row>
    <row r="150" spans="1:13" ht="15.75">
      <c r="A150" s="50"/>
      <c r="B150" s="50"/>
      <c r="C150" s="162" t="s">
        <v>90</v>
      </c>
      <c r="D150" s="50"/>
      <c r="E150" s="50"/>
      <c r="F150" s="50"/>
      <c r="G150" s="50"/>
      <c r="H150" s="50"/>
      <c r="I150" s="50"/>
      <c r="J150" s="50"/>
      <c r="K150" s="95"/>
      <c r="L150" s="50"/>
      <c r="M150" s="15"/>
    </row>
    <row r="151" spans="1:13" ht="15.75">
      <c r="A151" s="50"/>
      <c r="B151" s="50"/>
      <c r="C151" s="158" t="s">
        <v>160</v>
      </c>
      <c r="D151" s="50"/>
      <c r="E151" s="129"/>
      <c r="F151" s="166">
        <f>F143/$E143</f>
        <v>1.0172075858770049</v>
      </c>
      <c r="G151" s="166">
        <f>G143/$E143</f>
        <v>1.0437748087470458</v>
      </c>
      <c r="H151" s="166">
        <f>H143/$E143</f>
        <v>1.0743039078850083</v>
      </c>
      <c r="I151" s="166">
        <f>I143/$E143</f>
        <v>1.1036948049310011</v>
      </c>
      <c r="J151" s="166">
        <f>J143/$E143</f>
        <v>1.134749412190641</v>
      </c>
      <c r="K151" s="95"/>
      <c r="L151" s="50"/>
      <c r="M151" s="15"/>
    </row>
    <row r="152" spans="1:13">
      <c r="A152" s="50"/>
      <c r="B152" s="50"/>
      <c r="C152" s="50" t="s">
        <v>90</v>
      </c>
      <c r="D152" s="50"/>
      <c r="E152" s="129">
        <f>IF(E20&gt;0,E20,0)</f>
        <v>0</v>
      </c>
      <c r="F152" s="32">
        <f>$E152*F151</f>
        <v>0</v>
      </c>
      <c r="G152" s="32">
        <f>$E152*G151</f>
        <v>0</v>
      </c>
      <c r="H152" s="32">
        <f>$E152*H151</f>
        <v>0</v>
      </c>
      <c r="I152" s="32">
        <f>$E152*I151</f>
        <v>0</v>
      </c>
      <c r="J152" s="32">
        <f>$E152*J151</f>
        <v>0</v>
      </c>
      <c r="K152" s="95"/>
      <c r="L152" s="50"/>
      <c r="M152" s="15"/>
    </row>
    <row r="153" spans="1:13">
      <c r="A153" s="50"/>
      <c r="B153" s="50"/>
      <c r="C153" s="50"/>
      <c r="D153" s="50"/>
      <c r="E153" s="50"/>
      <c r="F153" s="50"/>
      <c r="G153" s="50"/>
      <c r="H153" s="50"/>
      <c r="I153" s="50"/>
      <c r="J153" s="50"/>
      <c r="K153" s="95"/>
      <c r="L153" s="50"/>
      <c r="M153" s="15"/>
    </row>
    <row r="154" spans="1:13" ht="15.75">
      <c r="A154" s="50"/>
      <c r="B154" s="50"/>
      <c r="C154" s="162" t="s">
        <v>46</v>
      </c>
      <c r="D154" s="50"/>
      <c r="E154" s="50"/>
      <c r="F154" s="50"/>
      <c r="G154" s="50"/>
      <c r="H154" s="50"/>
      <c r="I154" s="50"/>
      <c r="J154" s="50"/>
      <c r="K154" s="95"/>
      <c r="L154" s="27"/>
      <c r="M154" s="15"/>
    </row>
    <row r="155" spans="1:13">
      <c r="A155" s="50"/>
      <c r="B155" s="50"/>
      <c r="C155" s="50" t="s">
        <v>157</v>
      </c>
      <c r="D155" s="49">
        <f>E17/E18</f>
        <v>6.3631859137580973E-2</v>
      </c>
      <c r="E155" s="50"/>
      <c r="F155" s="50"/>
      <c r="G155" s="50"/>
      <c r="H155" s="50"/>
      <c r="I155" s="50"/>
      <c r="J155" s="50"/>
      <c r="K155" s="95"/>
      <c r="L155" s="125"/>
      <c r="M155" s="15"/>
    </row>
    <row r="156" spans="1:13">
      <c r="A156" s="50"/>
      <c r="B156" s="50"/>
      <c r="C156" s="50" t="s">
        <v>167</v>
      </c>
      <c r="D156" s="50"/>
      <c r="E156" s="129">
        <f>E18</f>
        <v>930383</v>
      </c>
      <c r="F156" s="32">
        <f>E159</f>
        <v>934837</v>
      </c>
      <c r="G156" s="32">
        <f>F159</f>
        <v>949632.1650085377</v>
      </c>
      <c r="H156" s="32">
        <f>G159</f>
        <v>964328.01007898385</v>
      </c>
      <c r="I156" s="32">
        <f>H159</f>
        <v>980412.07998928637</v>
      </c>
      <c r="J156" s="32">
        <f>I159</f>
        <v>1001505.3274191925</v>
      </c>
      <c r="K156" s="95"/>
      <c r="L156" s="125"/>
      <c r="M156" s="15"/>
    </row>
    <row r="157" spans="1:13">
      <c r="A157" s="50"/>
      <c r="B157" s="50"/>
      <c r="C157" s="50" t="s">
        <v>34</v>
      </c>
      <c r="D157" s="50"/>
      <c r="E157" s="129">
        <f>E17</f>
        <v>59202</v>
      </c>
      <c r="F157" s="32">
        <f>F156*$D155</f>
        <v>59485.416300598787</v>
      </c>
      <c r="G157" s="32">
        <f>G156*$D155</f>
        <v>60426.860156339324</v>
      </c>
      <c r="H157" s="32">
        <f>H156*$D155</f>
        <v>61361.984099769666</v>
      </c>
      <c r="I157" s="32">
        <f>I156*$D155</f>
        <v>62385.443370661043</v>
      </c>
      <c r="J157" s="32">
        <f>J156*$D155</f>
        <v>63727.645919874973</v>
      </c>
      <c r="K157" s="95"/>
      <c r="L157" s="50"/>
      <c r="M157" s="15"/>
    </row>
    <row r="158" spans="1:13">
      <c r="A158" s="50"/>
      <c r="B158" s="50"/>
      <c r="C158" s="50" t="s">
        <v>98</v>
      </c>
      <c r="D158" s="50"/>
      <c r="E158" s="32">
        <f t="shared" ref="E158:J158" si="26">E29</f>
        <v>63656</v>
      </c>
      <c r="F158" s="32">
        <f t="shared" si="26"/>
        <v>74280.581309136454</v>
      </c>
      <c r="G158" s="32">
        <f t="shared" si="26"/>
        <v>75122.705226785518</v>
      </c>
      <c r="H158" s="32">
        <f t="shared" si="26"/>
        <v>77446.054010072083</v>
      </c>
      <c r="I158" s="32">
        <f t="shared" si="26"/>
        <v>83478.690800567143</v>
      </c>
      <c r="J158" s="32">
        <f t="shared" si="26"/>
        <v>88065.69384101138</v>
      </c>
      <c r="K158" s="95"/>
      <c r="L158" s="125"/>
      <c r="M158" s="15"/>
    </row>
    <row r="159" spans="1:13">
      <c r="A159" s="50"/>
      <c r="B159" s="50"/>
      <c r="C159" s="50" t="s">
        <v>127</v>
      </c>
      <c r="D159" s="50"/>
      <c r="E159" s="32">
        <f t="shared" ref="E159:J159" si="27">E156-E157+E158</f>
        <v>934837</v>
      </c>
      <c r="F159" s="32">
        <f t="shared" si="27"/>
        <v>949632.1650085377</v>
      </c>
      <c r="G159" s="32">
        <f t="shared" si="27"/>
        <v>964328.01007898385</v>
      </c>
      <c r="H159" s="32">
        <f t="shared" si="27"/>
        <v>980412.07998928637</v>
      </c>
      <c r="I159" s="32">
        <f t="shared" si="27"/>
        <v>1001505.3274191925</v>
      </c>
      <c r="J159" s="32">
        <f t="shared" si="27"/>
        <v>1025843.3753403289</v>
      </c>
      <c r="K159" s="95"/>
      <c r="L159" s="125"/>
      <c r="M159" s="15"/>
    </row>
    <row r="160" spans="1:13">
      <c r="A160" s="50"/>
      <c r="B160" s="50"/>
      <c r="C160" s="50"/>
      <c r="D160" s="50"/>
      <c r="E160" s="50"/>
      <c r="F160" s="50"/>
      <c r="G160" s="50"/>
      <c r="H160" s="50"/>
      <c r="I160" s="50"/>
      <c r="J160" s="50"/>
      <c r="K160" s="95"/>
      <c r="L160" s="27"/>
      <c r="M160" s="15"/>
    </row>
    <row r="161" spans="1:13" ht="15.75">
      <c r="A161" s="50"/>
      <c r="B161" s="50"/>
      <c r="C161" s="162" t="s">
        <v>128</v>
      </c>
      <c r="D161" s="50"/>
      <c r="E161" s="50"/>
      <c r="F161" s="50"/>
      <c r="G161" s="50"/>
      <c r="H161" s="50"/>
      <c r="I161" s="50"/>
      <c r="J161" s="50"/>
      <c r="K161" s="95"/>
      <c r="L161" s="27"/>
      <c r="M161" s="15"/>
    </row>
    <row r="162" spans="1:13">
      <c r="A162" s="50"/>
      <c r="B162" s="50"/>
      <c r="C162" s="50" t="s">
        <v>126</v>
      </c>
      <c r="D162" s="50"/>
      <c r="E162" s="32">
        <f t="shared" ref="E162:J162" si="28">E147-E157</f>
        <v>-6780</v>
      </c>
      <c r="F162" s="32">
        <f t="shared" si="28"/>
        <v>-6122.5749407781768</v>
      </c>
      <c r="G162" s="32">
        <f t="shared" si="28"/>
        <v>-5930.3932996588774</v>
      </c>
      <c r="H162" s="32">
        <f t="shared" si="28"/>
        <v>-5745.9139430990763</v>
      </c>
      <c r="I162" s="32">
        <f t="shared" si="28"/>
        <v>-5635.5822231724233</v>
      </c>
      <c r="J162" s="32">
        <f t="shared" si="28"/>
        <v>-5751.250321505584</v>
      </c>
      <c r="K162" s="95"/>
      <c r="L162" s="50"/>
      <c r="M162" s="15"/>
    </row>
    <row r="163" spans="1:13">
      <c r="A163" s="50"/>
      <c r="B163" s="50"/>
      <c r="C163" s="50"/>
      <c r="D163" s="50"/>
      <c r="E163" s="50"/>
      <c r="F163" s="50"/>
      <c r="G163" s="50"/>
      <c r="H163" s="50"/>
      <c r="I163" s="50"/>
      <c r="J163" s="50"/>
      <c r="K163" s="95"/>
      <c r="L163" s="50"/>
      <c r="M163" s="15"/>
    </row>
    <row r="164" spans="1:13" ht="15.75">
      <c r="A164" s="50"/>
      <c r="B164" s="50"/>
      <c r="C164" s="162" t="s">
        <v>47</v>
      </c>
      <c r="D164" s="50"/>
      <c r="E164" s="50"/>
      <c r="F164" s="50"/>
      <c r="G164" s="50"/>
      <c r="H164" s="50"/>
      <c r="I164" s="50"/>
      <c r="J164" s="50"/>
      <c r="K164" s="95"/>
      <c r="L164" s="50"/>
      <c r="M164" s="15"/>
    </row>
    <row r="165" spans="1:13">
      <c r="A165" s="50"/>
      <c r="B165" s="50"/>
      <c r="C165" s="50" t="s">
        <v>151</v>
      </c>
      <c r="D165" s="50"/>
      <c r="E165" s="193">
        <v>0</v>
      </c>
      <c r="F165" s="31">
        <f>E168</f>
        <v>-6018.7647963119352</v>
      </c>
      <c r="G165" s="31">
        <f>F168</f>
        <v>-11840.302074857324</v>
      </c>
      <c r="H165" s="31">
        <f>G168</f>
        <v>-17219.92600865295</v>
      </c>
      <c r="I165" s="31">
        <f>H168</f>
        <v>-22547.895722611833</v>
      </c>
      <c r="J165" s="31">
        <f>I168</f>
        <v>-27844.972554991251</v>
      </c>
      <c r="K165" s="95"/>
      <c r="L165" s="50"/>
      <c r="M165" s="15"/>
    </row>
    <row r="166" spans="1:13">
      <c r="A166" s="50"/>
      <c r="B166" s="50"/>
      <c r="C166" s="50" t="s">
        <v>126</v>
      </c>
      <c r="D166" s="50"/>
      <c r="E166" s="32">
        <f t="shared" ref="E166:J166" si="29">E162</f>
        <v>-6780</v>
      </c>
      <c r="F166" s="32">
        <f t="shared" si="29"/>
        <v>-6122.5749407781768</v>
      </c>
      <c r="G166" s="32">
        <f t="shared" si="29"/>
        <v>-5930.3932996588774</v>
      </c>
      <c r="H166" s="32">
        <f t="shared" si="29"/>
        <v>-5745.9139430990763</v>
      </c>
      <c r="I166" s="32">
        <f t="shared" si="29"/>
        <v>-5635.5822231724233</v>
      </c>
      <c r="J166" s="32">
        <f t="shared" si="29"/>
        <v>-5751.250321505584</v>
      </c>
      <c r="K166" s="95"/>
      <c r="L166" s="50"/>
      <c r="M166" s="15"/>
    </row>
    <row r="167" spans="1:13">
      <c r="A167" s="50"/>
      <c r="B167" s="50"/>
      <c r="C167" s="50" t="s">
        <v>48</v>
      </c>
      <c r="D167" s="50"/>
      <c r="E167" s="129">
        <f>(E11-E18)/E19</f>
        <v>13282.549321039785</v>
      </c>
      <c r="F167" s="32">
        <f>E167</f>
        <v>13282.549321039785</v>
      </c>
      <c r="G167" s="32">
        <f>F167</f>
        <v>13282.549321039785</v>
      </c>
      <c r="H167" s="32">
        <f>G167</f>
        <v>13282.549321039785</v>
      </c>
      <c r="I167" s="32">
        <f>H167</f>
        <v>13282.549321039785</v>
      </c>
      <c r="J167" s="32">
        <f>I167</f>
        <v>13282.549321039785</v>
      </c>
      <c r="K167" s="95"/>
      <c r="L167" s="50"/>
      <c r="M167" s="15"/>
    </row>
    <row r="168" spans="1:13">
      <c r="A168" s="50"/>
      <c r="B168" s="50"/>
      <c r="C168" s="50" t="s">
        <v>152</v>
      </c>
      <c r="D168" s="50"/>
      <c r="E168" s="31">
        <f t="shared" ref="E168:J168" si="30">E165+(E166-E167)*E53</f>
        <v>-6018.7647963119352</v>
      </c>
      <c r="F168" s="31">
        <f t="shared" si="30"/>
        <v>-11840.302074857324</v>
      </c>
      <c r="G168" s="31">
        <f t="shared" si="30"/>
        <v>-17219.92600865295</v>
      </c>
      <c r="H168" s="31">
        <f t="shared" si="30"/>
        <v>-22547.895722611833</v>
      </c>
      <c r="I168" s="31">
        <f t="shared" si="30"/>
        <v>-27844.972554991251</v>
      </c>
      <c r="J168" s="31">
        <f t="shared" si="30"/>
        <v>-33174.436454903953</v>
      </c>
      <c r="K168" s="95"/>
      <c r="L168" s="50"/>
      <c r="M168" s="15"/>
    </row>
    <row r="169" spans="1:13">
      <c r="A169" s="50"/>
      <c r="B169" s="50"/>
      <c r="C169" s="50"/>
      <c r="D169" s="50"/>
      <c r="E169" s="31"/>
      <c r="F169" s="31"/>
      <c r="G169" s="31"/>
      <c r="H169" s="31"/>
      <c r="I169" s="31"/>
      <c r="J169" s="31"/>
      <c r="K169" s="95"/>
      <c r="L169" s="27"/>
      <c r="M169" s="15"/>
    </row>
    <row r="170" spans="1:13" ht="15.75">
      <c r="A170" s="50"/>
      <c r="B170" s="50"/>
      <c r="C170" s="162" t="s">
        <v>196</v>
      </c>
      <c r="D170" s="50"/>
      <c r="E170" s="50"/>
      <c r="F170" s="50"/>
      <c r="G170" s="50"/>
      <c r="H170" s="50"/>
      <c r="I170" s="50"/>
      <c r="J170" s="50"/>
      <c r="K170" s="95"/>
      <c r="L170" s="27"/>
      <c r="M170" s="15"/>
    </row>
    <row r="171" spans="1:13">
      <c r="A171" s="50"/>
      <c r="B171" s="50"/>
      <c r="C171" s="50" t="s">
        <v>106</v>
      </c>
      <c r="D171" s="50"/>
      <c r="E171" s="32">
        <f t="shared" ref="E171:J171" si="31">E143+E165</f>
        <v>1275729.2823470344</v>
      </c>
      <c r="F171" s="32">
        <f t="shared" si="31"/>
        <v>1291662.7387325189</v>
      </c>
      <c r="G171" s="32">
        <f t="shared" si="31"/>
        <v>1319733.7856199245</v>
      </c>
      <c r="H171" s="32">
        <f t="shared" si="31"/>
        <v>1353301.0274201033</v>
      </c>
      <c r="I171" s="32">
        <f t="shared" si="31"/>
        <v>1385467.8857021644</v>
      </c>
      <c r="J171" s="32">
        <f t="shared" si="31"/>
        <v>1419788.0807026944</v>
      </c>
      <c r="K171" s="95"/>
      <c r="L171" s="50"/>
      <c r="M171" s="15"/>
    </row>
    <row r="172" spans="1:13">
      <c r="A172" s="50"/>
      <c r="B172" s="50"/>
      <c r="C172" s="50" t="s">
        <v>98</v>
      </c>
      <c r="D172" s="50"/>
      <c r="E172" s="32">
        <f t="shared" ref="E172:J172" si="32">E29</f>
        <v>63656</v>
      </c>
      <c r="F172" s="32">
        <f t="shared" si="32"/>
        <v>74280.581309136454</v>
      </c>
      <c r="G172" s="32">
        <f t="shared" si="32"/>
        <v>75122.705226785518</v>
      </c>
      <c r="H172" s="32">
        <f t="shared" si="32"/>
        <v>77446.054010072083</v>
      </c>
      <c r="I172" s="32">
        <f t="shared" si="32"/>
        <v>83478.690800567143</v>
      </c>
      <c r="J172" s="32">
        <f t="shared" si="32"/>
        <v>88065.69384101138</v>
      </c>
      <c r="K172" s="95"/>
      <c r="L172" s="50"/>
      <c r="M172" s="15"/>
    </row>
    <row r="173" spans="1:13">
      <c r="A173" s="50"/>
      <c r="B173" s="50"/>
      <c r="C173" s="50" t="s">
        <v>111</v>
      </c>
      <c r="D173" s="50"/>
      <c r="E173" s="96">
        <f t="shared" ref="E173:J173" si="33">E152</f>
        <v>0</v>
      </c>
      <c r="F173" s="96">
        <f t="shared" si="33"/>
        <v>0</v>
      </c>
      <c r="G173" s="96">
        <f t="shared" si="33"/>
        <v>0</v>
      </c>
      <c r="H173" s="96">
        <f t="shared" si="33"/>
        <v>0</v>
      </c>
      <c r="I173" s="96">
        <f t="shared" si="33"/>
        <v>0</v>
      </c>
      <c r="J173" s="96">
        <f t="shared" si="33"/>
        <v>0</v>
      </c>
      <c r="K173" s="95"/>
      <c r="L173" s="50"/>
      <c r="M173" s="15"/>
    </row>
    <row r="174" spans="1:13">
      <c r="A174" s="50"/>
      <c r="B174" s="50"/>
      <c r="C174" s="50" t="s">
        <v>44</v>
      </c>
      <c r="D174" s="50"/>
      <c r="E174" s="96">
        <f t="shared" ref="E174:J174" si="34">E144</f>
        <v>21773.221181796478</v>
      </c>
      <c r="F174" s="96">
        <f t="shared" si="34"/>
        <v>25456.681894709352</v>
      </c>
      <c r="G174" s="96">
        <f t="shared" si="34"/>
        <v>32095.786156805891</v>
      </c>
      <c r="H174" s="96">
        <f t="shared" si="34"/>
        <v>31075.801247442938</v>
      </c>
      <c r="I174" s="96">
        <f t="shared" si="34"/>
        <v>29912.574985869516</v>
      </c>
      <c r="J174" s="96">
        <f t="shared" si="34"/>
        <v>28682.469873012607</v>
      </c>
      <c r="K174" s="95"/>
      <c r="L174" s="50"/>
      <c r="M174" s="15"/>
    </row>
    <row r="175" spans="1:13">
      <c r="A175" s="50"/>
      <c r="B175" s="50"/>
      <c r="C175" s="50" t="s">
        <v>196</v>
      </c>
      <c r="D175" s="50"/>
      <c r="E175" s="32">
        <f t="shared" ref="E175:J175" si="35">E171*WACC+E172*($D$48-1)+E173-E174</f>
        <v>92833.253118761873</v>
      </c>
      <c r="F175" s="32">
        <f t="shared" si="35"/>
        <v>91001.978646556556</v>
      </c>
      <c r="G175" s="32">
        <f t="shared" si="35"/>
        <v>86860.755236554163</v>
      </c>
      <c r="H175" s="32">
        <f t="shared" si="35"/>
        <v>90924.046268423961</v>
      </c>
      <c r="I175" s="32">
        <f t="shared" si="35"/>
        <v>95166.553978216441</v>
      </c>
      <c r="J175" s="32">
        <f t="shared" si="35"/>
        <v>99602.902794295776</v>
      </c>
      <c r="K175" s="95"/>
      <c r="L175" s="50"/>
      <c r="M175" s="15"/>
    </row>
    <row r="176" spans="1:13">
      <c r="A176" s="50"/>
      <c r="B176" s="50"/>
      <c r="C176" s="50"/>
      <c r="D176" s="50"/>
      <c r="E176" s="31"/>
      <c r="F176" s="31"/>
      <c r="G176" s="31"/>
      <c r="H176" s="31"/>
      <c r="I176" s="31"/>
      <c r="J176" s="31"/>
      <c r="K176" s="95"/>
      <c r="L176" s="27"/>
      <c r="M176" s="15"/>
    </row>
    <row r="177" spans="1:13" ht="15.75">
      <c r="A177" s="50"/>
      <c r="B177" s="50"/>
      <c r="C177" s="162" t="s">
        <v>49</v>
      </c>
      <c r="D177" s="50"/>
      <c r="E177" s="50"/>
      <c r="F177" s="50"/>
      <c r="G177" s="50"/>
      <c r="H177" s="50"/>
      <c r="I177" s="50"/>
      <c r="J177" s="50"/>
      <c r="K177" s="95"/>
      <c r="L177" s="27"/>
      <c r="M177" s="15"/>
    </row>
    <row r="178" spans="1:13">
      <c r="A178" s="50"/>
      <c r="B178" s="50"/>
      <c r="C178" s="50" t="s">
        <v>50</v>
      </c>
      <c r="D178" s="50"/>
      <c r="E178" s="31">
        <f t="shared" ref="E178:J178" si="36">E171*Leverage*Debt+E152</f>
        <v>44512.746119652722</v>
      </c>
      <c r="F178" s="31">
        <f t="shared" si="36"/>
        <v>45068.696279855052</v>
      </c>
      <c r="G178" s="31">
        <f t="shared" si="36"/>
        <v>46048.151247850408</v>
      </c>
      <c r="H178" s="31">
        <f t="shared" si="36"/>
        <v>47219.379448742242</v>
      </c>
      <c r="I178" s="31">
        <f t="shared" si="36"/>
        <v>48341.745467919922</v>
      </c>
      <c r="J178" s="31">
        <f t="shared" si="36"/>
        <v>49539.245711878408</v>
      </c>
      <c r="K178" s="95"/>
      <c r="L178" s="50"/>
      <c r="M178" s="15"/>
    </row>
    <row r="179" spans="1:13">
      <c r="A179" s="50"/>
      <c r="B179" s="50"/>
      <c r="C179" s="50" t="s">
        <v>51</v>
      </c>
      <c r="D179" s="50"/>
      <c r="E179" s="31">
        <f t="shared" ref="E179:J179" si="37">E145-E147</f>
        <v>0</v>
      </c>
      <c r="F179" s="31">
        <f t="shared" si="37"/>
        <v>933.04095975153905</v>
      </c>
      <c r="G179" s="31">
        <f t="shared" si="37"/>
        <v>2044.9673617606022</v>
      </c>
      <c r="H179" s="31">
        <f t="shared" si="37"/>
        <v>3469.1385086530572</v>
      </c>
      <c r="I179" s="31">
        <f t="shared" si="37"/>
        <v>4870.6870448719637</v>
      </c>
      <c r="J179" s="31">
        <f t="shared" si="37"/>
        <v>6241.8315221544108</v>
      </c>
      <c r="K179" s="95"/>
      <c r="L179" s="50"/>
      <c r="M179" s="15"/>
    </row>
    <row r="180" spans="1:13">
      <c r="A180" s="50"/>
      <c r="B180" s="50"/>
      <c r="C180" s="50" t="s">
        <v>52</v>
      </c>
      <c r="D180" s="50"/>
      <c r="E180" s="31">
        <f t="shared" ref="E180:J180" si="38">E167+E179-E178</f>
        <v>-31230.196798612938</v>
      </c>
      <c r="F180" s="31">
        <f t="shared" si="38"/>
        <v>-30853.10599906373</v>
      </c>
      <c r="G180" s="31">
        <f t="shared" si="38"/>
        <v>-30720.634565050023</v>
      </c>
      <c r="H180" s="31">
        <f t="shared" si="38"/>
        <v>-30467.691619049401</v>
      </c>
      <c r="I180" s="31">
        <f t="shared" si="38"/>
        <v>-30188.509102008175</v>
      </c>
      <c r="J180" s="31">
        <f t="shared" si="38"/>
        <v>-30014.864868684213</v>
      </c>
      <c r="K180" s="95"/>
      <c r="L180" s="50"/>
      <c r="M180" s="15"/>
    </row>
    <row r="181" spans="1:13">
      <c r="A181" s="50"/>
      <c r="B181" s="50"/>
      <c r="C181" s="50"/>
      <c r="D181" s="50"/>
      <c r="E181" s="50"/>
      <c r="F181" s="167"/>
      <c r="G181" s="32"/>
      <c r="H181" s="32"/>
      <c r="I181" s="32"/>
      <c r="J181" s="32"/>
      <c r="K181" s="95"/>
      <c r="L181" s="50"/>
      <c r="M181" s="15"/>
    </row>
    <row r="182" spans="1:13" ht="15.75">
      <c r="A182" s="50"/>
      <c r="B182" s="50"/>
      <c r="C182" s="162" t="s">
        <v>107</v>
      </c>
      <c r="D182" s="50"/>
      <c r="E182" s="50"/>
      <c r="F182" s="167"/>
      <c r="G182" s="32"/>
      <c r="H182" s="32"/>
      <c r="I182" s="32"/>
      <c r="J182" s="32"/>
      <c r="K182" s="95"/>
      <c r="L182" s="27"/>
      <c r="M182" s="15"/>
    </row>
    <row r="183" spans="1:13">
      <c r="A183" s="50"/>
      <c r="B183" s="50"/>
      <c r="C183" s="50" t="s">
        <v>153</v>
      </c>
      <c r="D183" s="50"/>
      <c r="E183" s="32">
        <f t="shared" ref="E183:J183" si="39">E145</f>
        <v>52422</v>
      </c>
      <c r="F183" s="32">
        <f t="shared" si="39"/>
        <v>54295.882319572149</v>
      </c>
      <c r="G183" s="32">
        <f t="shared" si="39"/>
        <v>56541.434218441049</v>
      </c>
      <c r="H183" s="32">
        <f t="shared" si="39"/>
        <v>59085.208665323647</v>
      </c>
      <c r="I183" s="32">
        <f t="shared" si="39"/>
        <v>61620.548192360584</v>
      </c>
      <c r="J183" s="32">
        <f t="shared" si="39"/>
        <v>64218.227120523799</v>
      </c>
      <c r="K183" s="95"/>
      <c r="L183" s="50"/>
      <c r="M183" s="15"/>
    </row>
    <row r="184" spans="1:13">
      <c r="A184" s="50"/>
      <c r="B184" s="50"/>
      <c r="C184" s="50" t="s">
        <v>107</v>
      </c>
      <c r="D184" s="50"/>
      <c r="E184" s="96">
        <f t="shared" ref="E184:J184" si="40">E183</f>
        <v>52422</v>
      </c>
      <c r="F184" s="96">
        <f t="shared" si="40"/>
        <v>54295.882319572149</v>
      </c>
      <c r="G184" s="96">
        <f t="shared" si="40"/>
        <v>56541.434218441049</v>
      </c>
      <c r="H184" s="96">
        <f t="shared" si="40"/>
        <v>59085.208665323647</v>
      </c>
      <c r="I184" s="96">
        <f t="shared" si="40"/>
        <v>61620.548192360584</v>
      </c>
      <c r="J184" s="96">
        <f t="shared" si="40"/>
        <v>64218.227120523799</v>
      </c>
      <c r="K184" s="95"/>
      <c r="L184" s="50"/>
      <c r="M184" s="15"/>
    </row>
    <row r="185" spans="1:13">
      <c r="A185" s="50"/>
      <c r="B185" s="50"/>
      <c r="C185" s="50"/>
      <c r="D185" s="50"/>
      <c r="E185" s="50"/>
      <c r="F185" s="96"/>
      <c r="G185" s="96"/>
      <c r="H185" s="96"/>
      <c r="I185" s="96"/>
      <c r="J185" s="96"/>
      <c r="K185" s="95"/>
      <c r="L185" s="50"/>
      <c r="M185" s="15"/>
    </row>
    <row r="186" spans="1:13" ht="15.75">
      <c r="A186" s="50"/>
      <c r="B186" s="50"/>
      <c r="C186" s="121" t="s">
        <v>122</v>
      </c>
      <c r="D186" s="50"/>
      <c r="E186" s="50"/>
      <c r="F186" s="96"/>
      <c r="G186" s="96"/>
      <c r="H186" s="96"/>
      <c r="I186" s="96"/>
      <c r="J186" s="96"/>
      <c r="K186" s="95"/>
      <c r="L186" s="27"/>
      <c r="M186" s="15"/>
    </row>
    <row r="187" spans="1:13">
      <c r="A187" s="50"/>
      <c r="B187" s="50"/>
      <c r="C187" s="50" t="s">
        <v>122</v>
      </c>
      <c r="D187" s="50"/>
      <c r="E187" s="32">
        <f t="shared" ref="E187:J187" si="41">E43</f>
        <v>77.67070145448487</v>
      </c>
      <c r="F187" s="32">
        <f t="shared" si="41"/>
        <v>81.140039988003338</v>
      </c>
      <c r="G187" s="32">
        <f t="shared" si="41"/>
        <v>82.414490877867266</v>
      </c>
      <c r="H187" s="32">
        <f t="shared" si="41"/>
        <v>83.90135024937517</v>
      </c>
      <c r="I187" s="32">
        <f t="shared" si="41"/>
        <v>85.388209620883089</v>
      </c>
      <c r="J187" s="32">
        <f t="shared" si="41"/>
        <v>87.370688782893637</v>
      </c>
      <c r="K187" s="95"/>
      <c r="L187" s="125"/>
      <c r="M187" s="15"/>
    </row>
    <row r="188" spans="1:13">
      <c r="A188" s="50"/>
      <c r="B188" s="50"/>
      <c r="C188" s="50"/>
      <c r="D188" s="50"/>
      <c r="E188" s="50"/>
      <c r="F188" s="96"/>
      <c r="G188" s="96"/>
      <c r="H188" s="96"/>
      <c r="I188" s="96"/>
      <c r="J188" s="96"/>
      <c r="K188" s="95"/>
      <c r="L188" s="27"/>
      <c r="M188" s="15"/>
    </row>
    <row r="189" spans="1:13" ht="15.75">
      <c r="A189" s="50"/>
      <c r="B189" s="50"/>
      <c r="C189" s="162" t="s">
        <v>179</v>
      </c>
      <c r="D189" s="50"/>
      <c r="E189" s="32">
        <f t="shared" ref="E189:J189" si="42">E28</f>
        <v>65350.154551183638</v>
      </c>
      <c r="F189" s="32">
        <f t="shared" si="42"/>
        <v>67363.250768796774</v>
      </c>
      <c r="G189" s="32">
        <f t="shared" si="42"/>
        <v>69672.141445106579</v>
      </c>
      <c r="H189" s="32">
        <f t="shared" si="42"/>
        <v>71488.842928982413</v>
      </c>
      <c r="I189" s="32">
        <f t="shared" si="42"/>
        <v>73583.219530402217</v>
      </c>
      <c r="J189" s="32">
        <f t="shared" si="42"/>
        <v>75909.876254573246</v>
      </c>
      <c r="K189" s="95"/>
      <c r="L189" s="125"/>
      <c r="M189" s="15"/>
    </row>
    <row r="190" spans="1:13">
      <c r="A190" s="50"/>
      <c r="B190" s="50"/>
      <c r="C190" s="50" t="s">
        <v>180</v>
      </c>
      <c r="D190" s="50"/>
      <c r="E190" s="32">
        <f t="shared" ref="E190:J190" si="43">E189*$D$46</f>
        <v>68147.694961436602</v>
      </c>
      <c r="F190" s="32">
        <f t="shared" si="43"/>
        <v>70246.968756703194</v>
      </c>
      <c r="G190" s="32">
        <f t="shared" si="43"/>
        <v>72654.699520143535</v>
      </c>
      <c r="H190" s="32">
        <f t="shared" si="43"/>
        <v>74549.171222765042</v>
      </c>
      <c r="I190" s="32">
        <f t="shared" si="43"/>
        <v>76733.204891057903</v>
      </c>
      <c r="J190" s="32">
        <f t="shared" si="43"/>
        <v>79159.462239762375</v>
      </c>
      <c r="K190" s="95"/>
      <c r="L190" s="125"/>
      <c r="M190" s="15"/>
    </row>
    <row r="191" spans="1:13">
      <c r="A191" s="50"/>
      <c r="B191" s="50"/>
      <c r="C191" s="50"/>
      <c r="D191" s="50"/>
      <c r="E191" s="50"/>
      <c r="F191" s="96"/>
      <c r="G191" s="32"/>
      <c r="H191" s="32"/>
      <c r="I191" s="32"/>
      <c r="J191" s="32"/>
      <c r="K191" s="95"/>
      <c r="L191" s="27"/>
      <c r="M191" s="15"/>
    </row>
    <row r="192" spans="1:13" ht="15.75">
      <c r="A192" s="50"/>
      <c r="B192" s="50"/>
      <c r="C192" s="162" t="s">
        <v>229</v>
      </c>
      <c r="D192" s="50"/>
      <c r="E192" s="50"/>
      <c r="F192" s="50"/>
      <c r="G192" s="50"/>
      <c r="H192" s="50"/>
      <c r="I192" s="50"/>
      <c r="J192" s="50"/>
      <c r="K192" s="95"/>
      <c r="L192" s="125"/>
      <c r="M192" s="15"/>
    </row>
    <row r="193" spans="1:15">
      <c r="A193" s="50"/>
      <c r="B193" s="50"/>
      <c r="C193" s="50" t="s">
        <v>169</v>
      </c>
      <c r="D193" s="50"/>
      <c r="E193" s="31">
        <f t="shared" ref="E193:J193" si="44">E168-E165</f>
        <v>-6018.7647963119352</v>
      </c>
      <c r="F193" s="31">
        <f t="shared" si="44"/>
        <v>-5821.5372785453883</v>
      </c>
      <c r="G193" s="31">
        <f t="shared" si="44"/>
        <v>-5379.6239337956267</v>
      </c>
      <c r="H193" s="31">
        <f t="shared" si="44"/>
        <v>-5327.9697139588825</v>
      </c>
      <c r="I193" s="31">
        <f t="shared" si="44"/>
        <v>-5297.0768323794182</v>
      </c>
      <c r="J193" s="31">
        <f t="shared" si="44"/>
        <v>-5329.4638999127019</v>
      </c>
      <c r="K193" s="95"/>
      <c r="L193" s="125"/>
      <c r="M193" s="15"/>
    </row>
    <row r="194" spans="1:15">
      <c r="A194" s="50"/>
      <c r="B194" s="50"/>
      <c r="C194" s="50" t="s">
        <v>170</v>
      </c>
      <c r="D194" s="50"/>
      <c r="E194" s="50"/>
      <c r="F194" s="31">
        <f>(F175+F184+F190+((F187-F189-F145-F152+F180)*F53+F193)*$D47-F193-F187*$D49)/($D50-F53*$D47)</f>
        <v>232081.85130710207</v>
      </c>
      <c r="G194" s="31">
        <f>(G175+G184+G190+((G187-G189-G145-G152+G180)*G53+G193)*$D47-G193-G187*$D49)/($D50-G53*$D47)</f>
        <v>228820.25985730963</v>
      </c>
      <c r="H194" s="31">
        <f>(H175+H184+H190+((H187-H189-H145-H152+H180)*H53+H193)*$D47-H193-H187*$D49)/($D50-H53*$D47)</f>
        <v>238653.84836968585</v>
      </c>
      <c r="I194" s="31">
        <f>(I175+I184+I190+((I187-I189-I145-I152+I180)*I53+I193)*$D47-I193-I187*$D49)/($D50-I53*$D47)</f>
        <v>249010.53955744719</v>
      </c>
      <c r="J194" s="31">
        <f>(J175+J184+J190+((J187-J189-J145-J152+J180)*J53+J193)*$D47-J193-J187*$D49)/($D50-J53*$D47)</f>
        <v>259876.84246610411</v>
      </c>
      <c r="K194" s="95"/>
      <c r="L194" s="125"/>
      <c r="M194" s="15"/>
    </row>
    <row r="195" spans="1:15">
      <c r="A195" s="50"/>
      <c r="B195" s="50"/>
      <c r="C195" s="50" t="s">
        <v>177</v>
      </c>
      <c r="D195" s="50"/>
      <c r="E195" s="50"/>
      <c r="F195" s="31">
        <f>(F194+F187-F189-F183-F152+F180)*F53</f>
        <v>23895.225677897226</v>
      </c>
      <c r="G195" s="31">
        <f>(G194+G187-G189-G183-G152+G180)*G53</f>
        <v>20151.169953485161</v>
      </c>
      <c r="H195" s="31">
        <f>(H194+H187-H189-H183-H152+H180)*H53</f>
        <v>21754.881821842326</v>
      </c>
      <c r="I195" s="31">
        <f>(I194+I187-I189-I183-I152+I180)*I53</f>
        <v>23437.022263843184</v>
      </c>
      <c r="J195" s="31">
        <f>(J194+J187-J189-J183-J152+J180)*J53</f>
        <v>25149.948575109604</v>
      </c>
      <c r="K195" s="95"/>
      <c r="L195" s="125"/>
      <c r="M195" s="15"/>
    </row>
    <row r="196" spans="1:15">
      <c r="A196" s="50"/>
      <c r="B196" s="50"/>
      <c r="C196" s="50" t="s">
        <v>162</v>
      </c>
      <c r="D196" s="50"/>
      <c r="E196" s="50"/>
      <c r="F196" s="31">
        <f>IF(F195&lt;0,#N/A,F195)</f>
        <v>23895.225677897226</v>
      </c>
      <c r="G196" s="31">
        <f>IF(G195&lt;0,#N/A,G195)</f>
        <v>20151.169953485161</v>
      </c>
      <c r="H196" s="31">
        <f>IF(H195&lt;0,#N/A,H195)</f>
        <v>21754.881821842326</v>
      </c>
      <c r="I196" s="31">
        <f>IF(I195&lt;0,#N/A,I195)</f>
        <v>23437.022263843184</v>
      </c>
      <c r="J196" s="31">
        <f>IF(J195&lt;0,#N/A,J195)</f>
        <v>25149.948575109604</v>
      </c>
      <c r="K196" s="95"/>
      <c r="L196" s="50"/>
      <c r="M196" s="15"/>
    </row>
    <row r="197" spans="1:15">
      <c r="A197" s="50"/>
      <c r="B197" s="50"/>
      <c r="C197" s="50" t="s">
        <v>171</v>
      </c>
      <c r="D197" s="50"/>
      <c r="E197" s="50"/>
      <c r="F197" s="31">
        <f>F175+F184+F190+(F196+F193)*$D$47-F193-F187*$D$49</f>
        <v>240129.1489044021</v>
      </c>
      <c r="G197" s="31">
        <f>G175+G184+G190+(G196+G193)*$D$47-G193-G187*$D$49</f>
        <v>236754.46374698251</v>
      </c>
      <c r="H197" s="31">
        <f>H175+H184+H190+(H196+H193)*$D$47-H193-H187*$D$49</f>
        <v>246929.02598377017</v>
      </c>
      <c r="I197" s="31">
        <f>I175+I184+I190+(I196+I193)*$D$47-I193-I187*$D$49</f>
        <v>257644.82916431274</v>
      </c>
      <c r="J197" s="31">
        <f>J175+J184+J190+(J196+J193)*$D$47-J193-J187*$D$49</f>
        <v>268887.91454344674</v>
      </c>
      <c r="K197" s="95"/>
      <c r="L197" s="27"/>
      <c r="M197" s="15"/>
    </row>
    <row r="198" spans="1:15">
      <c r="A198" s="50"/>
      <c r="B198" s="50"/>
      <c r="C198" s="50" t="s">
        <v>172</v>
      </c>
      <c r="D198" s="50"/>
      <c r="E198" s="50"/>
      <c r="F198" s="31">
        <f>F197/$D$50</f>
        <v>232081.85130710207</v>
      </c>
      <c r="G198" s="31">
        <f>G197/$D$50</f>
        <v>228820.2598573096</v>
      </c>
      <c r="H198" s="31">
        <f>H197/$D$50</f>
        <v>238653.84836968585</v>
      </c>
      <c r="I198" s="31">
        <f>I197/$D$50</f>
        <v>249010.53955744719</v>
      </c>
      <c r="J198" s="31">
        <f>J197/$D$50</f>
        <v>259876.84246610416</v>
      </c>
      <c r="K198" s="95"/>
      <c r="L198" s="50"/>
      <c r="M198" s="15"/>
    </row>
    <row r="199" spans="1:15">
      <c r="A199" s="50"/>
      <c r="B199" s="50"/>
      <c r="C199" s="50" t="s">
        <v>173</v>
      </c>
      <c r="D199" s="50"/>
      <c r="E199" s="50"/>
      <c r="F199" s="31">
        <f>F194-F198</f>
        <v>0</v>
      </c>
      <c r="G199" s="31">
        <f>G194-G198</f>
        <v>0</v>
      </c>
      <c r="H199" s="31">
        <f>H194-H198</f>
        <v>0</v>
      </c>
      <c r="I199" s="31">
        <f>I194-I198</f>
        <v>0</v>
      </c>
      <c r="J199" s="31">
        <f>J194-J198</f>
        <v>0</v>
      </c>
      <c r="K199" s="95"/>
      <c r="L199" s="27"/>
      <c r="M199" s="15"/>
    </row>
    <row r="200" spans="1:15">
      <c r="A200" s="50"/>
      <c r="B200" s="50"/>
      <c r="C200" s="50"/>
      <c r="D200" s="50"/>
      <c r="E200" s="50"/>
      <c r="F200" s="50"/>
      <c r="G200" s="50"/>
      <c r="H200" s="50"/>
      <c r="I200" s="50"/>
      <c r="J200" s="50"/>
      <c r="K200" s="50"/>
      <c r="L200" s="50"/>
      <c r="M200" s="15"/>
    </row>
    <row r="201" spans="1:15" ht="15.75">
      <c r="A201" s="50"/>
      <c r="B201" s="50"/>
      <c r="C201" s="162" t="s">
        <v>174</v>
      </c>
      <c r="D201" s="50"/>
      <c r="E201" s="50"/>
      <c r="F201" s="31"/>
      <c r="G201" s="31"/>
      <c r="H201" s="31"/>
      <c r="I201" s="31"/>
      <c r="J201" s="50"/>
      <c r="K201" s="95"/>
      <c r="L201" s="27"/>
      <c r="M201" s="15"/>
    </row>
    <row r="202" spans="1:15">
      <c r="A202" s="50"/>
      <c r="B202" s="50"/>
      <c r="C202" s="95" t="s">
        <v>103</v>
      </c>
      <c r="D202" s="50"/>
      <c r="E202" s="50"/>
      <c r="F202" s="31"/>
      <c r="G202" s="31"/>
      <c r="H202" s="31"/>
      <c r="I202" s="31"/>
      <c r="J202" s="50"/>
      <c r="K202" s="95"/>
      <c r="L202" s="50"/>
      <c r="M202" s="15"/>
      <c r="O202" s="8"/>
    </row>
    <row r="203" spans="1:15">
      <c r="A203" s="50"/>
      <c r="B203" s="50"/>
      <c r="C203" s="50" t="s">
        <v>175</v>
      </c>
      <c r="D203" s="50"/>
      <c r="E203" s="50"/>
      <c r="F203" s="50"/>
      <c r="G203" s="50"/>
      <c r="H203" s="31">
        <v>1</v>
      </c>
      <c r="I203" s="31">
        <v>2</v>
      </c>
      <c r="J203" s="31">
        <v>3</v>
      </c>
      <c r="K203" s="95"/>
      <c r="L203" s="27"/>
      <c r="M203" s="15"/>
    </row>
    <row r="204" spans="1:15">
      <c r="A204" s="50"/>
      <c r="B204" s="50" t="s">
        <v>135</v>
      </c>
      <c r="C204" s="50" t="s">
        <v>136</v>
      </c>
      <c r="D204" s="50"/>
      <c r="E204" s="50"/>
      <c r="F204" s="31"/>
      <c r="G204" s="31"/>
      <c r="H204" s="31">
        <f>H197</f>
        <v>246929.02598377017</v>
      </c>
      <c r="I204" s="31">
        <f>I197</f>
        <v>257644.82916431274</v>
      </c>
      <c r="J204" s="31">
        <f>J197</f>
        <v>268887.91454344674</v>
      </c>
      <c r="K204" s="95"/>
      <c r="L204" s="50"/>
      <c r="M204" s="15"/>
    </row>
    <row r="205" spans="1:15">
      <c r="A205" s="50"/>
      <c r="B205" s="50" t="s">
        <v>135</v>
      </c>
      <c r="C205" s="50" t="s">
        <v>137</v>
      </c>
      <c r="D205" s="50"/>
      <c r="E205" s="50"/>
      <c r="F205" s="31"/>
      <c r="G205" s="31"/>
      <c r="H205" s="31">
        <f>H204/(1+WACC)^H$203</f>
        <v>227019.42261999651</v>
      </c>
      <c r="I205" s="31">
        <f>I204/(1+WACC)^I$203</f>
        <v>217772.56864456573</v>
      </c>
      <c r="J205" s="31">
        <f>J204/(1+WACC)^J$203</f>
        <v>208950.73215419883</v>
      </c>
      <c r="K205" s="95"/>
      <c r="L205" s="50"/>
      <c r="M205" s="15"/>
    </row>
    <row r="206" spans="1:15">
      <c r="A206" s="50"/>
      <c r="B206" s="50" t="s">
        <v>135</v>
      </c>
      <c r="C206" s="50" t="s">
        <v>101</v>
      </c>
      <c r="D206" s="31">
        <f>SUM(H205:J205)</f>
        <v>653742.72341876104</v>
      </c>
      <c r="E206" s="50"/>
      <c r="F206" s="31"/>
      <c r="G206" s="31"/>
      <c r="H206" s="31"/>
      <c r="I206" s="31"/>
      <c r="J206" s="31"/>
      <c r="K206" s="95"/>
      <c r="L206" s="50"/>
      <c r="M206" s="15"/>
    </row>
    <row r="207" spans="1:15">
      <c r="A207" s="50"/>
      <c r="B207" s="50"/>
      <c r="C207" s="50"/>
      <c r="D207" s="50"/>
      <c r="E207" s="50"/>
      <c r="F207" s="123"/>
      <c r="G207" s="50"/>
      <c r="H207" s="50"/>
      <c r="I207" s="50"/>
      <c r="J207" s="50"/>
      <c r="K207" s="95"/>
      <c r="L207" s="50"/>
      <c r="M207" s="15"/>
    </row>
    <row r="208" spans="1:15" ht="21">
      <c r="A208" s="50"/>
      <c r="B208" s="50"/>
      <c r="C208" s="155" t="s">
        <v>104</v>
      </c>
      <c r="D208" s="50"/>
      <c r="E208" s="50"/>
      <c r="F208" s="123"/>
      <c r="G208" s="50"/>
      <c r="H208" s="50"/>
      <c r="I208" s="50"/>
      <c r="J208" s="50"/>
      <c r="K208" s="95"/>
      <c r="L208" s="50"/>
      <c r="M208" s="15"/>
    </row>
    <row r="209" spans="1:13" ht="15.75">
      <c r="A209" s="50"/>
      <c r="B209" s="50"/>
      <c r="C209" s="50"/>
      <c r="D209" s="50"/>
      <c r="E209" s="162" t="str">
        <f>Inputs!D$11</f>
        <v>2009/10</v>
      </c>
      <c r="F209" s="168" t="str">
        <f>Inputs!E$11</f>
        <v>2010/11</v>
      </c>
      <c r="G209" s="162" t="str">
        <f>Inputs!F$11</f>
        <v>2011/12</v>
      </c>
      <c r="H209" s="162" t="str">
        <f>Inputs!G$11</f>
        <v>2012/13</v>
      </c>
      <c r="I209" s="162" t="str">
        <f>Inputs!H$11</f>
        <v>2013/14</v>
      </c>
      <c r="J209" s="162" t="str">
        <f>Inputs!I$11</f>
        <v>2014/15</v>
      </c>
      <c r="K209" s="95"/>
      <c r="L209" s="50"/>
      <c r="M209" s="15"/>
    </row>
    <row r="210" spans="1:13">
      <c r="A210" s="50"/>
      <c r="B210" s="50"/>
      <c r="C210" s="50" t="s">
        <v>53</v>
      </c>
      <c r="D210" s="32">
        <f>D206</f>
        <v>653742.72341876104</v>
      </c>
      <c r="E210" s="50"/>
      <c r="F210" s="169"/>
      <c r="G210" s="32"/>
      <c r="H210" s="32"/>
      <c r="I210" s="32"/>
      <c r="J210" s="32"/>
      <c r="K210" s="95"/>
      <c r="L210" s="50"/>
      <c r="M210" s="15"/>
    </row>
    <row r="211" spans="1:13">
      <c r="A211" s="50"/>
      <c r="B211" s="50"/>
      <c r="C211" s="50" t="s">
        <v>143</v>
      </c>
      <c r="D211" s="50"/>
      <c r="E211" s="50"/>
      <c r="F211" s="113"/>
      <c r="G211" s="113"/>
      <c r="H211" s="170">
        <v>1</v>
      </c>
      <c r="I211" s="113">
        <f>H211*(1+I$35)*(1+I$30)*(1-X_industry_wide)</f>
        <v>1.0289693020766737</v>
      </c>
      <c r="J211" s="113">
        <f>I211*(1+J$35)*(1+J$30)*(1-X_industry_wide)</f>
        <v>1.0571278794457584</v>
      </c>
      <c r="K211" s="95"/>
      <c r="L211" s="50" t="s">
        <v>290</v>
      </c>
    </row>
    <row r="212" spans="1:13">
      <c r="A212" s="50"/>
      <c r="B212" s="50"/>
      <c r="C212" s="50" t="s">
        <v>102</v>
      </c>
      <c r="D212" s="50"/>
      <c r="E212" s="50"/>
      <c r="F212" s="171"/>
      <c r="G212" s="113"/>
      <c r="H212" s="113">
        <f>H211/(1+WACC)^H$203</f>
        <v>0.91937115013330895</v>
      </c>
      <c r="I212" s="113">
        <f>I211/(1+WACC)^I$203</f>
        <v>0.86972942052229463</v>
      </c>
      <c r="J212" s="113">
        <f>J211/(1+WACC)^J$203</f>
        <v>0.82148595174260231</v>
      </c>
      <c r="K212" s="95"/>
      <c r="L212" s="50" t="s">
        <v>165</v>
      </c>
    </row>
    <row r="213" spans="1:13">
      <c r="A213" s="50"/>
      <c r="B213" s="50"/>
      <c r="C213" s="50" t="s">
        <v>91</v>
      </c>
      <c r="D213" s="113">
        <f>SUM(H212:J212)</f>
        <v>2.6105865223982061</v>
      </c>
      <c r="E213" s="50"/>
      <c r="F213" s="171"/>
      <c r="G213" s="113"/>
      <c r="H213" s="113"/>
      <c r="I213" s="113"/>
      <c r="J213" s="113"/>
      <c r="K213" s="95"/>
      <c r="L213" s="50" t="s">
        <v>279</v>
      </c>
    </row>
    <row r="214" spans="1:13">
      <c r="A214" s="50"/>
      <c r="B214" s="50"/>
      <c r="C214" s="50" t="s">
        <v>142</v>
      </c>
      <c r="D214" s="32">
        <f>D210/D213</f>
        <v>250419.86458207967</v>
      </c>
      <c r="E214" s="50"/>
      <c r="F214" s="171"/>
      <c r="G214" s="113"/>
      <c r="H214" s="31"/>
      <c r="I214" s="31"/>
      <c r="J214" s="31"/>
      <c r="K214" s="95"/>
      <c r="L214" s="31"/>
    </row>
    <row r="215" spans="1:13">
      <c r="A215" s="50"/>
      <c r="B215" s="50"/>
      <c r="C215" s="50" t="s">
        <v>138</v>
      </c>
      <c r="D215" s="32"/>
      <c r="E215" s="50"/>
      <c r="F215" s="171"/>
      <c r="G215" s="113"/>
      <c r="H215" s="31">
        <f>$D214*H211</f>
        <v>250419.86458207967</v>
      </c>
      <c r="I215" s="31">
        <f>$D214*I211</f>
        <v>257674.35328515765</v>
      </c>
      <c r="J215" s="31">
        <f>$D214*J211</f>
        <v>264725.82041674783</v>
      </c>
      <c r="K215" s="95"/>
      <c r="L215" s="50" t="s">
        <v>131</v>
      </c>
    </row>
    <row r="216" spans="1:13">
      <c r="A216" s="50"/>
      <c r="B216" s="50"/>
      <c r="C216" s="50" t="s">
        <v>139</v>
      </c>
      <c r="D216" s="32"/>
      <c r="E216" s="50"/>
      <c r="F216" s="171"/>
      <c r="G216" s="113"/>
      <c r="H216" s="54">
        <f>H215/$D$50</f>
        <v>242027.70068293621</v>
      </c>
      <c r="I216" s="54">
        <f>I215/$D$50</f>
        <v>249039.07425494294</v>
      </c>
      <c r="J216" s="54">
        <f>J215/$D$50</f>
        <v>255854.22999008506</v>
      </c>
      <c r="K216" s="95"/>
      <c r="L216" s="50" t="s">
        <v>133</v>
      </c>
    </row>
    <row r="217" spans="1:13">
      <c r="A217" s="50"/>
      <c r="B217" s="50"/>
      <c r="C217" s="50" t="s">
        <v>140</v>
      </c>
      <c r="D217" s="50"/>
      <c r="E217" s="50"/>
      <c r="F217" s="171"/>
      <c r="G217" s="113"/>
      <c r="H217" s="31">
        <f>H215/(1+WACC)^H$203</f>
        <v>230228.79891705405</v>
      </c>
      <c r="I217" s="31">
        <f>I215/(1+WACC)^I$203</f>
        <v>217797.52371024364</v>
      </c>
      <c r="J217" s="31">
        <f>J215/(1+WACC)^J$203</f>
        <v>205716.40079146327</v>
      </c>
      <c r="K217" s="95"/>
      <c r="L217" s="50" t="s">
        <v>181</v>
      </c>
    </row>
    <row r="218" spans="1:13">
      <c r="A218" s="50"/>
      <c r="B218" s="50"/>
      <c r="C218" s="50" t="s">
        <v>141</v>
      </c>
      <c r="D218" s="32">
        <f>SUM(H217:J217)</f>
        <v>653742.72341876104</v>
      </c>
      <c r="E218" s="50"/>
      <c r="F218" s="171"/>
      <c r="G218" s="113"/>
      <c r="H218" s="31"/>
      <c r="I218" s="31"/>
      <c r="J218" s="31"/>
      <c r="K218" s="95"/>
      <c r="L218" s="50" t="s">
        <v>134</v>
      </c>
      <c r="M218" s="15"/>
    </row>
    <row r="219" spans="1:13">
      <c r="A219" s="50"/>
      <c r="B219" s="50"/>
      <c r="C219" s="50" t="s">
        <v>132</v>
      </c>
      <c r="D219" s="172">
        <f>D210-D218</f>
        <v>0</v>
      </c>
      <c r="E219" s="50"/>
      <c r="F219" s="171"/>
      <c r="G219" s="113"/>
      <c r="H219" s="31"/>
      <c r="I219" s="31"/>
      <c r="J219" s="31"/>
      <c r="K219" s="95"/>
      <c r="L219" s="50"/>
      <c r="M219" s="15"/>
    </row>
    <row r="220" spans="1:13">
      <c r="A220" s="50"/>
      <c r="B220" s="50"/>
      <c r="C220" s="50" t="s">
        <v>202</v>
      </c>
      <c r="D220" s="32">
        <f>SUM(I217:J217)</f>
        <v>423513.9245017069</v>
      </c>
      <c r="E220" s="50"/>
      <c r="F220" s="171"/>
      <c r="G220" s="113"/>
      <c r="H220" s="31"/>
      <c r="I220" s="31"/>
      <c r="J220" s="31"/>
      <c r="K220" s="95"/>
      <c r="L220" s="27"/>
      <c r="M220" s="15"/>
    </row>
    <row r="221" spans="1:13">
      <c r="A221" s="50"/>
      <c r="B221" s="50"/>
      <c r="C221" s="50"/>
      <c r="D221" s="31"/>
      <c r="E221" s="50"/>
      <c r="F221" s="123"/>
      <c r="G221" s="50"/>
      <c r="H221" s="50"/>
      <c r="I221" s="50"/>
      <c r="J221" s="50"/>
      <c r="K221" s="95"/>
      <c r="L221" s="50"/>
      <c r="M221" s="15"/>
    </row>
    <row r="222" spans="1:13" ht="21">
      <c r="A222" s="50"/>
      <c r="B222" s="50"/>
      <c r="C222" s="155" t="s">
        <v>113</v>
      </c>
      <c r="D222" s="155"/>
      <c r="E222" s="155"/>
      <c r="F222" s="155"/>
      <c r="G222" s="155"/>
      <c r="H222" s="50"/>
      <c r="I222" s="50"/>
      <c r="J222" s="50"/>
      <c r="K222" s="173"/>
      <c r="L222" s="174"/>
      <c r="M222" s="53"/>
    </row>
    <row r="223" spans="1:13" ht="15.75">
      <c r="A223" s="50"/>
      <c r="B223" s="50"/>
      <c r="C223" s="50"/>
      <c r="D223" s="50"/>
      <c r="E223" s="162" t="str">
        <f>Inputs!D$11</f>
        <v>2009/10</v>
      </c>
      <c r="F223" s="168" t="str">
        <f>Inputs!E$11</f>
        <v>2010/11</v>
      </c>
      <c r="G223" s="162" t="str">
        <f>Inputs!F$11</f>
        <v>2011/12</v>
      </c>
      <c r="H223" s="162" t="str">
        <f>Inputs!G$11</f>
        <v>2012/13</v>
      </c>
      <c r="I223" s="162" t="str">
        <f>Inputs!H$11</f>
        <v>2013/14</v>
      </c>
      <c r="J223" s="162" t="str">
        <f>Inputs!I$11</f>
        <v>2014/15</v>
      </c>
      <c r="K223" s="95"/>
      <c r="L223" s="50"/>
      <c r="M223" s="15"/>
    </row>
    <row r="224" spans="1:13" ht="15.75">
      <c r="A224" s="50"/>
      <c r="B224" s="50"/>
      <c r="C224" s="175" t="s">
        <v>318</v>
      </c>
      <c r="D224" s="50"/>
      <c r="E224" s="162"/>
      <c r="F224" s="95"/>
      <c r="G224" s="95"/>
      <c r="H224" s="95"/>
      <c r="I224" s="95"/>
      <c r="J224" s="95"/>
      <c r="K224" s="95"/>
      <c r="L224" s="50"/>
      <c r="M224" s="15"/>
    </row>
    <row r="225" spans="1:13" ht="15.75">
      <c r="A225" s="50"/>
      <c r="B225" s="50"/>
      <c r="C225" s="175" t="s">
        <v>204</v>
      </c>
      <c r="D225" s="50"/>
      <c r="E225" s="162"/>
      <c r="F225" s="95"/>
      <c r="G225" s="95"/>
      <c r="H225" s="95"/>
      <c r="I225" s="95"/>
      <c r="J225" s="95"/>
      <c r="K225" s="95"/>
      <c r="L225" s="50"/>
      <c r="M225" s="15"/>
    </row>
    <row r="226" spans="1:13">
      <c r="A226" s="50"/>
      <c r="B226" s="50" t="s">
        <v>150</v>
      </c>
      <c r="C226" s="50" t="s">
        <v>203</v>
      </c>
      <c r="D226" s="32">
        <f>D220</f>
        <v>423513.9245017069</v>
      </c>
      <c r="E226" s="50"/>
      <c r="F226" s="169"/>
      <c r="G226" s="32"/>
      <c r="H226" s="32"/>
      <c r="I226" s="32"/>
      <c r="J226" s="32"/>
      <c r="K226" s="95"/>
      <c r="L226" s="50"/>
      <c r="M226" s="15"/>
    </row>
    <row r="227" spans="1:13">
      <c r="A227" s="32"/>
      <c r="B227" s="50" t="s">
        <v>150</v>
      </c>
      <c r="C227" s="50" t="s">
        <v>319</v>
      </c>
      <c r="D227" s="49">
        <f>IF(E26="IWX",X_industry_wide,E26)</f>
        <v>0</v>
      </c>
      <c r="E227" s="32"/>
      <c r="F227" s="49"/>
      <c r="G227" s="49"/>
      <c r="H227" s="49"/>
      <c r="I227" s="49"/>
      <c r="J227" s="49"/>
      <c r="K227" s="95"/>
      <c r="L227" s="50"/>
      <c r="M227" s="15"/>
    </row>
    <row r="228" spans="1:13">
      <c r="A228" s="50"/>
      <c r="B228" s="50" t="s">
        <v>150</v>
      </c>
      <c r="C228" s="50" t="s">
        <v>143</v>
      </c>
      <c r="D228" s="50"/>
      <c r="E228" s="50"/>
      <c r="F228" s="171"/>
      <c r="G228" s="113"/>
      <c r="H228" s="113"/>
      <c r="I228" s="113">
        <v>1</v>
      </c>
      <c r="J228" s="113">
        <f>I228*(1+J$35)*(1+J$30)*(1-D227)</f>
        <v>1.0273658089821094</v>
      </c>
      <c r="K228" s="95"/>
      <c r="L228" s="50" t="s">
        <v>278</v>
      </c>
    </row>
    <row r="229" spans="1:13">
      <c r="A229" s="50"/>
      <c r="B229" s="50" t="s">
        <v>150</v>
      </c>
      <c r="C229" s="50" t="s">
        <v>102</v>
      </c>
      <c r="D229" s="50"/>
      <c r="E229" s="50"/>
      <c r="F229" s="171"/>
      <c r="G229" s="113"/>
      <c r="H229" s="113"/>
      <c r="I229" s="113">
        <f>I228/(1+WACC)^I$203</f>
        <v>0.84524331169744327</v>
      </c>
      <c r="J229" s="113">
        <f>J228/(1+WACC)^J$203</f>
        <v>0.79835807548842619</v>
      </c>
      <c r="K229" s="95"/>
      <c r="L229" s="50" t="s">
        <v>165</v>
      </c>
    </row>
    <row r="230" spans="1:13">
      <c r="A230" s="50"/>
      <c r="B230" s="50" t="s">
        <v>150</v>
      </c>
      <c r="C230" s="50" t="s">
        <v>91</v>
      </c>
      <c r="D230" s="113">
        <f>SUM(I229:J229)</f>
        <v>1.6436013871858695</v>
      </c>
      <c r="E230" s="50"/>
      <c r="F230" s="171"/>
      <c r="G230" s="113"/>
      <c r="H230" s="113"/>
      <c r="I230" s="113"/>
      <c r="J230" s="113"/>
      <c r="K230" s="95"/>
      <c r="L230" s="50" t="s">
        <v>279</v>
      </c>
    </row>
    <row r="231" spans="1:13">
      <c r="A231" s="50"/>
      <c r="B231" s="50" t="s">
        <v>150</v>
      </c>
      <c r="C231" s="50" t="s">
        <v>142</v>
      </c>
      <c r="D231" s="32">
        <f>D226/D230</f>
        <v>257674.35328515765</v>
      </c>
      <c r="E231" s="50"/>
      <c r="F231" s="171"/>
      <c r="G231" s="113"/>
      <c r="H231" s="31"/>
      <c r="I231" s="31"/>
      <c r="J231" s="31"/>
      <c r="K231" s="95"/>
      <c r="L231" s="50"/>
    </row>
    <row r="232" spans="1:13">
      <c r="A232" s="50"/>
      <c r="B232" s="50" t="s">
        <v>150</v>
      </c>
      <c r="C232" s="50" t="s">
        <v>138</v>
      </c>
      <c r="D232" s="32"/>
      <c r="E232" s="50"/>
      <c r="F232" s="171"/>
      <c r="G232" s="113"/>
      <c r="H232" s="31">
        <f>H215</f>
        <v>250419.86458207967</v>
      </c>
      <c r="I232" s="31">
        <f>$D231*I228</f>
        <v>257674.35328515765</v>
      </c>
      <c r="J232" s="31">
        <f>$D231*J228</f>
        <v>264725.82041674783</v>
      </c>
      <c r="K232" s="95"/>
      <c r="L232" s="50" t="s">
        <v>131</v>
      </c>
    </row>
    <row r="233" spans="1:13">
      <c r="A233" s="50"/>
      <c r="B233" s="50" t="s">
        <v>150</v>
      </c>
      <c r="C233" s="50" t="s">
        <v>139</v>
      </c>
      <c r="D233" s="32"/>
      <c r="E233" s="50"/>
      <c r="F233" s="171"/>
      <c r="G233" s="113"/>
      <c r="H233" s="54">
        <f>H232/$D$50</f>
        <v>242027.70068293621</v>
      </c>
      <c r="I233" s="54">
        <f>I232/$D$50</f>
        <v>249039.07425494294</v>
      </c>
      <c r="J233" s="54">
        <f>J232/$D$50</f>
        <v>255854.22999008506</v>
      </c>
      <c r="K233" s="95"/>
      <c r="L233" s="50" t="s">
        <v>133</v>
      </c>
    </row>
    <row r="234" spans="1:13">
      <c r="A234" s="50"/>
      <c r="B234" s="50" t="s">
        <v>150</v>
      </c>
      <c r="C234" s="50" t="s">
        <v>209</v>
      </c>
      <c r="D234" s="50"/>
      <c r="E234" s="50"/>
      <c r="F234" s="171"/>
      <c r="G234" s="113"/>
      <c r="H234" s="31"/>
      <c r="I234" s="31">
        <f>I232/(1+WACC)^I$203</f>
        <v>217797.52371024364</v>
      </c>
      <c r="J234" s="31">
        <f>J232/(1+WACC)^J$203</f>
        <v>205716.40079146327</v>
      </c>
      <c r="K234" s="95"/>
      <c r="L234" s="50" t="s">
        <v>181</v>
      </c>
    </row>
    <row r="235" spans="1:13">
      <c r="A235" s="50"/>
      <c r="B235" s="50" t="s">
        <v>150</v>
      </c>
      <c r="C235" s="50" t="s">
        <v>390</v>
      </c>
      <c r="D235" s="32">
        <f>SUM(I234:J234)</f>
        <v>423513.9245017069</v>
      </c>
      <c r="E235" s="50"/>
      <c r="F235" s="50"/>
      <c r="G235" s="113"/>
      <c r="H235" s="31"/>
      <c r="I235" s="31"/>
      <c r="J235" s="31"/>
      <c r="K235" s="95"/>
      <c r="L235" s="50" t="s">
        <v>134</v>
      </c>
    </row>
    <row r="236" spans="1:13">
      <c r="A236" s="50"/>
      <c r="B236" s="50" t="s">
        <v>150</v>
      </c>
      <c r="C236" s="50" t="s">
        <v>132</v>
      </c>
      <c r="D236" s="172">
        <f>D226-D235</f>
        <v>0</v>
      </c>
      <c r="E236" s="50"/>
      <c r="F236" s="171"/>
      <c r="G236" s="113"/>
      <c r="H236" s="31"/>
      <c r="I236" s="31"/>
      <c r="J236" s="31"/>
      <c r="K236" s="95"/>
      <c r="L236" s="50"/>
      <c r="M236" s="15"/>
    </row>
    <row r="237" spans="1:13">
      <c r="A237" s="50"/>
      <c r="B237" s="119" t="s">
        <v>150</v>
      </c>
      <c r="C237" s="119" t="s">
        <v>190</v>
      </c>
      <c r="D237" s="119"/>
      <c r="E237" s="50"/>
      <c r="F237" s="176"/>
      <c r="G237" s="177"/>
      <c r="H237" s="178">
        <f>(H233+H187-H$189-H$183-H152+H$180)*H$53</f>
        <v>22699.560469552427</v>
      </c>
      <c r="I237" s="178">
        <f>(I233+I187-I$189-I$183-I152+I$180)*I$53</f>
        <v>23445.011979141997</v>
      </c>
      <c r="J237" s="178">
        <f>(J233+J187-J$189-J$183-J152+J$180)*J$53</f>
        <v>24023.617081824279</v>
      </c>
      <c r="K237" s="54"/>
      <c r="L237" s="50"/>
      <c r="M237" s="15"/>
    </row>
    <row r="238" spans="1:13">
      <c r="A238" s="50"/>
      <c r="B238" s="119"/>
      <c r="C238" s="119"/>
      <c r="D238" s="119"/>
      <c r="E238" s="178"/>
      <c r="F238" s="176"/>
      <c r="G238" s="177"/>
      <c r="H238" s="178"/>
      <c r="I238" s="178"/>
      <c r="J238" s="178"/>
      <c r="K238" s="95"/>
      <c r="L238" s="50"/>
      <c r="M238" s="15"/>
    </row>
    <row r="239" spans="1:13" ht="21">
      <c r="A239" s="50"/>
      <c r="B239" s="50"/>
      <c r="C239" s="155" t="s">
        <v>199</v>
      </c>
      <c r="D239" s="155"/>
      <c r="E239" s="155"/>
      <c r="F239" s="155"/>
      <c r="G239" s="155"/>
      <c r="H239" s="155"/>
      <c r="I239" s="155"/>
      <c r="J239" s="50"/>
      <c r="K239" s="50"/>
      <c r="L239" s="50"/>
      <c r="M239" s="15"/>
    </row>
    <row r="240" spans="1:13">
      <c r="A240" s="50"/>
      <c r="B240" s="50"/>
      <c r="C240" s="50" t="s">
        <v>197</v>
      </c>
      <c r="D240" s="179"/>
      <c r="E240" s="50"/>
      <c r="F240" s="31">
        <f>G240/((1+G35)*(1+G30)*(1-X_industry_wide))</f>
        <v>230793.2778334427</v>
      </c>
      <c r="G240" s="31">
        <f>H240/((1+H35)*(1+H30)*(1-X_industry_wide))</f>
        <v>235909.24380495207</v>
      </c>
      <c r="H240" s="31">
        <f>H233</f>
        <v>242027.70068293621</v>
      </c>
      <c r="I240" s="50"/>
      <c r="J240" s="50"/>
      <c r="K240" s="50"/>
      <c r="L240" s="50"/>
      <c r="M240" s="15"/>
    </row>
    <row r="241" spans="1:13">
      <c r="A241" s="50"/>
      <c r="B241" s="50"/>
      <c r="C241" s="50"/>
      <c r="D241" s="179"/>
      <c r="E241" s="50"/>
      <c r="F241" s="31"/>
      <c r="G241" s="31"/>
      <c r="H241" s="31"/>
      <c r="I241" s="50"/>
      <c r="J241" s="50"/>
      <c r="K241" s="50"/>
      <c r="L241" s="50"/>
      <c r="M241" s="15"/>
    </row>
    <row r="242" spans="1:13" ht="21">
      <c r="A242" s="50"/>
      <c r="B242" s="50"/>
      <c r="C242" s="155" t="s">
        <v>198</v>
      </c>
      <c r="D242" s="179"/>
      <c r="E242" s="50"/>
      <c r="F242" s="123"/>
      <c r="G242" s="50"/>
      <c r="H242" s="50"/>
      <c r="I242" s="50"/>
      <c r="J242" s="50"/>
      <c r="K242" s="50"/>
      <c r="L242" s="27"/>
      <c r="M242" s="15"/>
    </row>
    <row r="243" spans="1:13">
      <c r="A243" s="50"/>
      <c r="B243" s="50"/>
      <c r="C243" s="180" t="s">
        <v>212</v>
      </c>
      <c r="D243" s="179"/>
      <c r="E243" s="181">
        <f>(1+H30)*(1+I30)</f>
        <v>1.0102030527148624</v>
      </c>
      <c r="F243" s="123"/>
      <c r="G243" s="50"/>
      <c r="H243" s="50"/>
      <c r="I243" s="50"/>
      <c r="J243" s="50"/>
      <c r="K243" s="50"/>
      <c r="L243" s="27"/>
      <c r="M243" s="15"/>
    </row>
    <row r="244" spans="1:13">
      <c r="A244" s="50"/>
      <c r="B244" s="50"/>
      <c r="C244" s="50"/>
      <c r="D244" s="127"/>
      <c r="E244" s="50"/>
      <c r="F244" s="123"/>
      <c r="G244" s="50"/>
      <c r="H244" s="50"/>
      <c r="I244" s="50"/>
      <c r="J244" s="50"/>
      <c r="K244" s="50"/>
      <c r="L244" s="27"/>
    </row>
    <row r="245" spans="1:13" ht="21">
      <c r="A245" s="50"/>
      <c r="B245" s="50"/>
      <c r="C245" s="155" t="s">
        <v>315</v>
      </c>
      <c r="D245" s="162" t="s">
        <v>342</v>
      </c>
      <c r="E245" s="50"/>
      <c r="F245" s="123"/>
      <c r="G245" s="50"/>
      <c r="H245" s="50"/>
      <c r="I245" s="50"/>
      <c r="J245" s="50"/>
      <c r="K245" s="50"/>
      <c r="L245" s="27"/>
    </row>
    <row r="246" spans="1:13">
      <c r="A246" s="50"/>
      <c r="B246" s="50"/>
      <c r="C246" s="50"/>
      <c r="D246" s="50"/>
      <c r="E246" s="99" t="str">
        <f>Inputs!D$11</f>
        <v>2009/10</v>
      </c>
      <c r="F246" s="99" t="str">
        <f>Inputs!E$11</f>
        <v>2010/11</v>
      </c>
      <c r="G246" s="99" t="str">
        <f>Inputs!F$11</f>
        <v>2011/12</v>
      </c>
      <c r="H246" s="99" t="str">
        <f>Inputs!G$11</f>
        <v>2012/13</v>
      </c>
      <c r="I246" s="99" t="str">
        <f>Inputs!H$11</f>
        <v>2013/14</v>
      </c>
      <c r="J246" s="99" t="str">
        <f>Inputs!I$11</f>
        <v>2014/15</v>
      </c>
      <c r="K246" s="50"/>
      <c r="L246" s="27"/>
    </row>
    <row r="247" spans="1:13">
      <c r="A247" s="50"/>
      <c r="B247" s="50"/>
      <c r="C247" s="122" t="str">
        <f>C35</f>
        <v>2009 ΔCPI, 8 index, lagged, no GST adjustment</v>
      </c>
      <c r="D247" s="50"/>
      <c r="E247" s="50"/>
      <c r="F247" s="50"/>
      <c r="G247" s="50"/>
      <c r="H247" s="50"/>
      <c r="I247" s="100">
        <f>I35</f>
        <v>2.3759818812291389E-2</v>
      </c>
      <c r="J247" s="100">
        <f>J35</f>
        <v>2.2164443909808984E-2</v>
      </c>
      <c r="K247" s="50"/>
      <c r="L247" s="27"/>
    </row>
    <row r="248" spans="1:13">
      <c r="A248" s="50"/>
      <c r="B248" s="50"/>
      <c r="C248" s="122" t="str">
        <f>C37</f>
        <v>2012 ΔCPI, 8 index, lagged, with GST adjustment</v>
      </c>
      <c r="D248" s="50"/>
      <c r="E248" s="99"/>
      <c r="F248" s="100"/>
      <c r="G248" s="100"/>
      <c r="H248" s="100"/>
      <c r="I248" s="100">
        <f>I$37</f>
        <v>1.2820512820512775E-2</v>
      </c>
      <c r="J248" s="101">
        <f>J$37</f>
        <v>1.9725095732576747E-2</v>
      </c>
      <c r="K248" s="50"/>
      <c r="L248" s="27"/>
    </row>
    <row r="249" spans="1:13">
      <c r="A249" s="50"/>
      <c r="B249" s="50"/>
      <c r="C249" s="50" t="s">
        <v>200</v>
      </c>
      <c r="D249" s="50"/>
      <c r="E249" s="99"/>
      <c r="F249" s="100"/>
      <c r="G249" s="100">
        <f>G$30</f>
        <v>5.0885795365812458E-3</v>
      </c>
      <c r="H249" s="100">
        <f>H$30</f>
        <v>5.0885795365812458E-3</v>
      </c>
      <c r="I249" s="100">
        <f>I$30</f>
        <v>5.0885795365812458E-3</v>
      </c>
      <c r="J249" s="100">
        <f>J$30</f>
        <v>5.0885795365812458E-3</v>
      </c>
      <c r="K249" s="50"/>
      <c r="L249" s="27"/>
    </row>
    <row r="250" spans="1:13">
      <c r="A250" s="50"/>
      <c r="B250" s="50"/>
      <c r="C250" s="50" t="s">
        <v>309</v>
      </c>
      <c r="D250" s="54">
        <f>E25</f>
        <v>94874.477709999992</v>
      </c>
      <c r="E250" s="50"/>
      <c r="F250" s="123"/>
      <c r="G250" s="50"/>
      <c r="H250" s="50"/>
      <c r="I250" s="50"/>
      <c r="J250" s="50"/>
      <c r="K250" s="50"/>
      <c r="L250" s="27"/>
    </row>
    <row r="251" spans="1:13">
      <c r="A251" s="50"/>
      <c r="B251" s="50"/>
      <c r="C251" s="119" t="s">
        <v>335</v>
      </c>
      <c r="D251" s="32">
        <f>E24</f>
        <v>238846.31015940016</v>
      </c>
      <c r="E251" s="50"/>
      <c r="F251" s="123"/>
      <c r="G251" s="50"/>
      <c r="H251" s="50"/>
      <c r="I251" s="50"/>
      <c r="J251" s="50"/>
      <c r="K251" s="50"/>
      <c r="L251" s="27"/>
    </row>
    <row r="252" spans="1:13">
      <c r="A252" s="50"/>
      <c r="B252" s="50"/>
      <c r="C252" s="50" t="s">
        <v>383</v>
      </c>
      <c r="D252" s="50"/>
      <c r="E252" s="50"/>
      <c r="F252" s="123"/>
      <c r="G252" s="50"/>
      <c r="H252" s="124">
        <f>(D251+D250)*(1+G$249)*(1+H$249)-D250</f>
        <v>242251.28095007711</v>
      </c>
      <c r="I252" s="124">
        <f>H252*(1+I249)*(1+I248)</f>
        <v>246605.58555155626</v>
      </c>
      <c r="J252" s="124">
        <f>I252*(1+J249)*(1+J248)</f>
        <v>252749.52894401268</v>
      </c>
      <c r="K252" s="50"/>
      <c r="L252" s="27"/>
    </row>
    <row r="253" spans="1:13">
      <c r="A253" s="50"/>
      <c r="B253" s="50"/>
      <c r="C253" s="50" t="s">
        <v>314</v>
      </c>
      <c r="D253" s="50"/>
      <c r="E253" s="50"/>
      <c r="F253" s="123"/>
      <c r="G253" s="50"/>
      <c r="H253" s="124">
        <f>$D$250</f>
        <v>94874.477709999992</v>
      </c>
      <c r="I253" s="124">
        <f>H253*(1+I34)</f>
        <v>96555.797568151902</v>
      </c>
      <c r="J253" s="124"/>
      <c r="K253" s="50"/>
      <c r="L253" s="27"/>
    </row>
    <row r="254" spans="1:13">
      <c r="A254" s="50"/>
      <c r="B254" s="50"/>
      <c r="C254" s="119" t="s">
        <v>336</v>
      </c>
      <c r="D254" s="50"/>
      <c r="E254" s="50"/>
      <c r="F254" s="123"/>
      <c r="G254" s="50"/>
      <c r="H254" s="124">
        <f>D251</f>
        <v>238846.31015940016</v>
      </c>
      <c r="I254" s="124">
        <f>((H254+H253)*(1+G249)-H253)*(1+I248)*(1-X_industry_wide)</f>
        <v>243628.37845624675</v>
      </c>
      <c r="J254" s="97"/>
      <c r="K254" s="50"/>
      <c r="L254" s="27"/>
    </row>
    <row r="255" spans="1:13">
      <c r="A255" s="50"/>
      <c r="B255" s="50"/>
      <c r="C255" s="50" t="s">
        <v>337</v>
      </c>
      <c r="D255" s="50"/>
      <c r="E255" s="50"/>
      <c r="F255" s="123"/>
      <c r="G255" s="50"/>
      <c r="H255" s="124">
        <f>H216</f>
        <v>242027.70068293621</v>
      </c>
      <c r="I255" s="124">
        <f>I216</f>
        <v>249039.07425494294</v>
      </c>
      <c r="J255" s="124">
        <f>J216</f>
        <v>255854.22999008506</v>
      </c>
      <c r="K255" s="50"/>
      <c r="L255" s="27"/>
    </row>
    <row r="256" spans="1:13">
      <c r="A256" s="50"/>
      <c r="B256" s="50"/>
      <c r="C256" s="119" t="s">
        <v>371</v>
      </c>
      <c r="D256" s="50"/>
      <c r="E256" s="50"/>
      <c r="F256" s="123"/>
      <c r="G256" s="50"/>
      <c r="H256" s="124"/>
      <c r="I256" s="124">
        <f>(I255+I253)/((1+H249)*(1+I249))-I253</f>
        <v>245548.56540553796</v>
      </c>
      <c r="J256" s="124"/>
      <c r="K256" s="50"/>
      <c r="L256" s="27"/>
    </row>
    <row r="257" spans="1:12">
      <c r="A257" s="50"/>
      <c r="B257" s="50"/>
      <c r="C257" s="50" t="s">
        <v>344</v>
      </c>
      <c r="D257" s="50"/>
      <c r="E257" s="50"/>
      <c r="F257" s="123"/>
      <c r="G257" s="50"/>
      <c r="H257" s="124">
        <f>H255</f>
        <v>242027.70068293621</v>
      </c>
      <c r="I257" s="124">
        <f>I255*(1+I248)/(1+I247)</f>
        <v>246377.98657878791</v>
      </c>
      <c r="J257" s="124">
        <f>I257*(1+J$248)*(1+J$249)*(1-X_industry_wide)</f>
        <v>252516.25955951485</v>
      </c>
      <c r="K257" s="50"/>
      <c r="L257" s="27"/>
    </row>
    <row r="258" spans="1:12">
      <c r="A258" s="50"/>
      <c r="B258" s="50"/>
      <c r="C258" s="119" t="s">
        <v>346</v>
      </c>
      <c r="D258" s="50"/>
      <c r="E258" s="50"/>
      <c r="F258" s="123"/>
      <c r="G258" s="50"/>
      <c r="H258" s="124"/>
      <c r="I258" s="124">
        <f>(I257+I253)/((1+H249)*(1+I249))-I253</f>
        <v>242914.35471987084</v>
      </c>
      <c r="J258" s="97"/>
      <c r="K258" s="50"/>
      <c r="L258" s="27"/>
    </row>
    <row r="259" spans="1:12">
      <c r="A259" s="50"/>
      <c r="B259" s="50"/>
      <c r="C259" s="50" t="s">
        <v>338</v>
      </c>
      <c r="D259" s="50"/>
      <c r="E259" s="50"/>
      <c r="F259" s="123"/>
      <c r="G259" s="50"/>
      <c r="H259" s="124">
        <f>H233</f>
        <v>242027.70068293621</v>
      </c>
      <c r="I259" s="124">
        <f>I233</f>
        <v>249039.07425494294</v>
      </c>
      <c r="J259" s="124">
        <f>J233</f>
        <v>255854.22999008506</v>
      </c>
      <c r="K259" s="50"/>
      <c r="L259" s="27"/>
    </row>
    <row r="260" spans="1:12">
      <c r="A260" s="50"/>
      <c r="B260" s="50"/>
      <c r="C260" s="50" t="s">
        <v>345</v>
      </c>
      <c r="D260" s="50"/>
      <c r="E260" s="50"/>
      <c r="F260" s="123"/>
      <c r="G260" s="50"/>
      <c r="H260" s="124">
        <f>H259</f>
        <v>242027.70068293621</v>
      </c>
      <c r="I260" s="124">
        <f>I259*(1+I248)/(1+I247)</f>
        <v>246377.98657878791</v>
      </c>
      <c r="J260" s="124">
        <f>I260*(1+J$248)*(1+J$249)*(1-D227)</f>
        <v>252516.25955951485</v>
      </c>
      <c r="K260" s="50"/>
      <c r="L260" s="27"/>
    </row>
    <row r="261" spans="1:12">
      <c r="A261" s="50"/>
      <c r="B261" s="50"/>
      <c r="C261" s="119" t="s">
        <v>347</v>
      </c>
      <c r="D261" s="50"/>
      <c r="E261" s="50"/>
      <c r="F261" s="123"/>
      <c r="G261" s="50"/>
      <c r="H261" s="97"/>
      <c r="I261" s="124">
        <f>(I260+I253)/((1+H249)*(1+I249))-I253</f>
        <v>242914.35471987084</v>
      </c>
      <c r="J261" s="97"/>
      <c r="K261" s="50"/>
      <c r="L261" s="27"/>
    </row>
    <row r="262" spans="1:12">
      <c r="A262" s="50"/>
      <c r="B262" s="50"/>
      <c r="C262" s="50" t="s">
        <v>317</v>
      </c>
      <c r="D262" s="126">
        <f>E27</f>
        <v>0.2</v>
      </c>
      <c r="E262" s="50"/>
      <c r="F262" s="123"/>
      <c r="G262" s="50"/>
      <c r="H262" s="125"/>
      <c r="I262" s="125"/>
      <c r="J262" s="125"/>
      <c r="K262" s="50"/>
      <c r="L262" s="27"/>
    </row>
    <row r="263" spans="1:12" ht="18">
      <c r="A263" s="50"/>
      <c r="B263" s="50"/>
      <c r="C263" s="50" t="s">
        <v>339</v>
      </c>
      <c r="D263" s="127"/>
      <c r="E263" s="50"/>
      <c r="F263" s="123"/>
      <c r="G263" s="50"/>
      <c r="H263" s="124">
        <f>(D251+H253)*(1+G$249)*(1+H$249)-H253</f>
        <v>242251.28095007711</v>
      </c>
      <c r="I263" s="124">
        <f>H263*(1+$D262)*(1+I$247)*(1+I$249)</f>
        <v>299122.95778365718</v>
      </c>
      <c r="J263" s="124">
        <f>I264*(1+$D262)*(1+J247)*(1+J249)</f>
        <v>303744.38339627965</v>
      </c>
      <c r="K263" s="50"/>
      <c r="L263" s="27"/>
    </row>
    <row r="264" spans="1:12">
      <c r="A264" s="50"/>
      <c r="B264" s="50"/>
      <c r="C264" s="50" t="s">
        <v>367</v>
      </c>
      <c r="D264" s="127"/>
      <c r="E264" s="50"/>
      <c r="F264" s="123"/>
      <c r="G264" s="50"/>
      <c r="H264" s="124">
        <f>H260</f>
        <v>242027.70068293621</v>
      </c>
      <c r="I264" s="124">
        <f>MIN(I260,I263)</f>
        <v>246377.98657878791</v>
      </c>
      <c r="J264" s="124">
        <f>MIN(J260,J263)</f>
        <v>252516.25955951485</v>
      </c>
      <c r="K264" s="50"/>
      <c r="L264" s="27"/>
    </row>
    <row r="265" spans="1:12">
      <c r="A265" s="50"/>
      <c r="B265" s="50"/>
      <c r="C265" s="50" t="s">
        <v>373</v>
      </c>
      <c r="D265" s="31">
        <f>NPV(WACC,H255:J255)*D50</f>
        <v>653742.72341876104</v>
      </c>
      <c r="E265" s="50"/>
      <c r="F265" s="123"/>
      <c r="G265" s="50"/>
      <c r="H265" s="50"/>
      <c r="I265" s="50"/>
      <c r="J265" s="50"/>
      <c r="K265" s="50"/>
      <c r="L265" s="27"/>
    </row>
    <row r="266" spans="1:12">
      <c r="A266" s="50"/>
      <c r="B266" s="50"/>
      <c r="C266" s="50" t="s">
        <v>372</v>
      </c>
      <c r="D266" s="31">
        <f>NPV(WACC,H252:J252)*D50</f>
        <v>649330.89650117839</v>
      </c>
      <c r="E266" s="50"/>
      <c r="F266" s="123"/>
      <c r="G266" s="50"/>
      <c r="H266" s="50"/>
      <c r="I266" s="50"/>
      <c r="J266" s="50"/>
      <c r="K266" s="50"/>
      <c r="L266" s="27"/>
    </row>
    <row r="267" spans="1:12">
      <c r="A267" s="50"/>
      <c r="B267" s="50"/>
      <c r="C267" s="50" t="s">
        <v>340</v>
      </c>
      <c r="D267" s="31">
        <f>NPV(WACC,H259:J259)*D50</f>
        <v>653742.72341876104</v>
      </c>
      <c r="E267" s="50"/>
      <c r="F267" s="123"/>
      <c r="G267" s="50"/>
      <c r="H267" s="50"/>
      <c r="I267" s="50"/>
      <c r="J267" s="50"/>
      <c r="K267" s="50"/>
      <c r="L267" s="27"/>
    </row>
    <row r="268" spans="1:12">
      <c r="A268" s="50"/>
      <c r="B268" s="50"/>
      <c r="C268" s="50" t="s">
        <v>351</v>
      </c>
      <c r="D268" s="31">
        <f>NPV(WACC,H264:J264)*D50</f>
        <v>648731.61143348657</v>
      </c>
      <c r="E268" s="50"/>
      <c r="F268" s="123"/>
      <c r="G268" s="50"/>
      <c r="H268" s="50"/>
      <c r="I268" s="50"/>
      <c r="J268" s="50"/>
      <c r="K268" s="50"/>
      <c r="L268" s="27"/>
    </row>
    <row r="269" spans="1:12">
      <c r="A269" s="50"/>
      <c r="B269" s="50"/>
      <c r="C269" s="50" t="s">
        <v>348</v>
      </c>
      <c r="D269" s="31">
        <f>NPV(WACC,H257:J257)*D50</f>
        <v>648731.61143348657</v>
      </c>
      <c r="E269" s="50"/>
      <c r="F269" s="123"/>
      <c r="G269" s="50"/>
      <c r="H269" s="50"/>
      <c r="I269" s="50"/>
      <c r="J269" s="50"/>
      <c r="K269" s="50"/>
      <c r="L269" s="27"/>
    </row>
    <row r="270" spans="1:12">
      <c r="A270" s="50"/>
      <c r="B270" s="50"/>
      <c r="C270" s="50" t="s">
        <v>349</v>
      </c>
      <c r="D270" s="31">
        <f>NPV(WACC,H260:J260)*D50</f>
        <v>648731.61143348657</v>
      </c>
      <c r="E270" s="50"/>
      <c r="F270" s="123"/>
      <c r="G270" s="50"/>
      <c r="H270" s="50"/>
      <c r="I270" s="50"/>
      <c r="J270" s="50"/>
      <c r="K270" s="50"/>
      <c r="L270" s="27"/>
    </row>
    <row r="271" spans="1:12">
      <c r="A271" s="50"/>
      <c r="B271" s="50"/>
      <c r="C271" s="50" t="s">
        <v>368</v>
      </c>
      <c r="D271" s="31" t="b">
        <f>OR(I260&gt;I263,J260&gt;J263)</f>
        <v>0</v>
      </c>
      <c r="E271" s="50"/>
      <c r="F271" s="123"/>
      <c r="G271" s="50"/>
      <c r="H271" s="50"/>
      <c r="I271" s="50"/>
      <c r="J271" s="50"/>
      <c r="K271" s="50"/>
      <c r="L271" s="27"/>
    </row>
    <row r="272" spans="1:12">
      <c r="A272" s="50"/>
      <c r="B272" s="50"/>
      <c r="C272" s="50"/>
      <c r="D272" s="31"/>
      <c r="E272" s="50"/>
      <c r="F272" s="123"/>
      <c r="G272" s="50"/>
      <c r="H272" s="50"/>
      <c r="I272" s="50"/>
      <c r="J272" s="50"/>
      <c r="K272" s="50"/>
      <c r="L272" s="27"/>
    </row>
    <row r="273" spans="1:12" ht="21">
      <c r="A273" s="50"/>
      <c r="B273" s="50"/>
      <c r="C273" s="155" t="s">
        <v>343</v>
      </c>
      <c r="D273" s="127"/>
      <c r="E273" s="50"/>
      <c r="F273" s="123"/>
      <c r="G273" s="50"/>
      <c r="H273" s="50"/>
      <c r="I273" s="50"/>
      <c r="J273" s="50"/>
      <c r="K273" s="50"/>
      <c r="L273" s="27"/>
    </row>
    <row r="274" spans="1:12" ht="30">
      <c r="A274" s="50"/>
      <c r="B274" s="50"/>
      <c r="C274" s="123" t="s">
        <v>370</v>
      </c>
      <c r="D274" s="126">
        <f>I$261/(D$251*(1+I$249)*(1+I$248))-1</f>
        <v>-9.2563343800200482E-4</v>
      </c>
      <c r="E274" s="50"/>
      <c r="F274" s="123"/>
      <c r="G274" s="50"/>
      <c r="H274" s="50"/>
      <c r="I274" s="50"/>
      <c r="J274" s="50"/>
      <c r="K274" s="50"/>
      <c r="L274" s="27"/>
    </row>
    <row r="275" spans="1:12" ht="30">
      <c r="A275" s="50"/>
      <c r="B275" s="50"/>
      <c r="C275" s="123" t="s">
        <v>350</v>
      </c>
      <c r="D275" s="31">
        <f>D265-D268</f>
        <v>5011.1119852744741</v>
      </c>
      <c r="E275" s="50"/>
      <c r="F275" s="123"/>
      <c r="G275" s="50"/>
      <c r="H275" s="50"/>
      <c r="I275" s="50"/>
      <c r="J275" s="50"/>
      <c r="K275" s="50"/>
      <c r="L275" s="27"/>
    </row>
    <row r="276" spans="1:12">
      <c r="A276" s="50"/>
      <c r="B276" s="50"/>
      <c r="C276" s="123" t="s">
        <v>366</v>
      </c>
      <c r="D276" s="31">
        <f>ROUNDUP(I264,0)</f>
        <v>246378</v>
      </c>
      <c r="E276" s="50"/>
      <c r="F276" s="123"/>
      <c r="G276" s="50"/>
      <c r="H276" s="50"/>
      <c r="I276" s="50"/>
      <c r="J276" s="50"/>
      <c r="K276" s="50"/>
      <c r="L276" s="27"/>
    </row>
    <row r="277" spans="1:12">
      <c r="A277" s="50"/>
      <c r="B277" s="50"/>
      <c r="C277" s="123" t="s">
        <v>378</v>
      </c>
      <c r="D277" s="31">
        <f>ROUNDUP(H233,0)</f>
        <v>242028</v>
      </c>
      <c r="E277" s="50"/>
      <c r="F277" s="123"/>
      <c r="G277" s="50"/>
      <c r="H277" s="50"/>
      <c r="I277" s="50"/>
      <c r="J277" s="50"/>
      <c r="K277" s="50"/>
      <c r="L277" s="27"/>
    </row>
    <row r="278" spans="1:12">
      <c r="A278" s="50"/>
      <c r="B278" s="50"/>
      <c r="C278" s="114" t="s">
        <v>382</v>
      </c>
      <c r="D278" s="31">
        <f>D269-D266</f>
        <v>-599.28506769181695</v>
      </c>
      <c r="E278" s="50"/>
      <c r="F278" s="123"/>
      <c r="G278" s="50"/>
      <c r="H278" s="50"/>
      <c r="I278" s="50"/>
      <c r="J278" s="50"/>
      <c r="K278" s="50"/>
      <c r="L278" s="27"/>
    </row>
    <row r="279" spans="1:12">
      <c r="A279" s="15"/>
      <c r="B279" s="15"/>
      <c r="C279" s="15"/>
      <c r="D279" s="15"/>
      <c r="E279" s="120"/>
      <c r="F279" s="15"/>
      <c r="G279" s="15"/>
      <c r="H279" s="15"/>
      <c r="I279" s="15"/>
      <c r="J279" s="15"/>
      <c r="K279" s="15"/>
    </row>
    <row r="280" spans="1:12">
      <c r="A280" s="15"/>
      <c r="B280" s="15"/>
      <c r="C280" s="15"/>
      <c r="D280" s="15"/>
      <c r="E280" s="120"/>
      <c r="F280" s="15"/>
      <c r="G280" s="15"/>
      <c r="H280" s="15"/>
      <c r="I280" s="15"/>
      <c r="J280" s="15"/>
      <c r="K280" s="15"/>
    </row>
    <row r="281" spans="1:12">
      <c r="A281" s="15"/>
      <c r="B281" s="15"/>
      <c r="C281" s="15"/>
      <c r="D281" s="15"/>
      <c r="E281" s="120"/>
      <c r="F281" s="15"/>
      <c r="G281" s="15"/>
      <c r="H281" s="15"/>
      <c r="I281" s="15"/>
      <c r="J281" s="15"/>
      <c r="K281" s="15"/>
    </row>
    <row r="282" spans="1:12">
      <c r="A282" s="15"/>
      <c r="B282" s="15"/>
      <c r="C282" s="15"/>
      <c r="D282" s="15"/>
      <c r="E282" s="120"/>
      <c r="F282" s="15"/>
      <c r="G282" s="15"/>
      <c r="H282" s="15"/>
      <c r="I282" s="15"/>
      <c r="J282" s="15"/>
      <c r="K282" s="15"/>
    </row>
    <row r="283" spans="1:12">
      <c r="A283" s="15"/>
      <c r="B283" s="15"/>
      <c r="C283" s="15"/>
      <c r="D283" s="15"/>
      <c r="E283" s="120"/>
      <c r="F283" s="15"/>
      <c r="G283" s="15"/>
      <c r="H283" s="15"/>
      <c r="I283" s="15"/>
      <c r="J283" s="15"/>
      <c r="K283" s="15"/>
    </row>
    <row r="284" spans="1:12">
      <c r="A284" s="15"/>
      <c r="B284" s="15"/>
      <c r="C284" s="15"/>
      <c r="D284" s="15"/>
      <c r="E284" s="120"/>
      <c r="F284" s="15"/>
      <c r="G284" s="15"/>
      <c r="H284" s="15"/>
      <c r="I284" s="15"/>
      <c r="J284" s="15"/>
      <c r="K284" s="15"/>
    </row>
    <row r="285" spans="1:12">
      <c r="A285" s="15"/>
      <c r="B285" s="15"/>
      <c r="C285" s="15"/>
      <c r="D285" s="15"/>
      <c r="E285" s="120"/>
      <c r="F285" s="15"/>
      <c r="G285" s="15"/>
      <c r="H285" s="15"/>
      <c r="I285" s="15"/>
      <c r="J285" s="15"/>
      <c r="K285" s="15"/>
    </row>
    <row r="286" spans="1:12">
      <c r="A286" s="15"/>
      <c r="B286" s="15"/>
      <c r="C286" s="15"/>
      <c r="D286" s="15"/>
      <c r="E286" s="120"/>
      <c r="F286" s="15"/>
      <c r="G286" s="15"/>
      <c r="H286" s="15"/>
      <c r="I286" s="15"/>
      <c r="J286" s="15"/>
      <c r="K286" s="15"/>
    </row>
    <row r="287" spans="1:12">
      <c r="A287" s="15"/>
      <c r="B287" s="15"/>
      <c r="C287" s="15"/>
      <c r="D287" s="15"/>
      <c r="E287" s="120"/>
      <c r="F287" s="15"/>
      <c r="G287" s="15"/>
      <c r="H287" s="15"/>
      <c r="I287" s="15"/>
      <c r="J287" s="15"/>
      <c r="K287" s="15"/>
    </row>
    <row r="288" spans="1:12">
      <c r="A288" s="15"/>
      <c r="B288" s="15"/>
      <c r="C288" s="15"/>
      <c r="D288" s="15"/>
      <c r="E288" s="120"/>
      <c r="F288" s="15"/>
      <c r="G288" s="15"/>
      <c r="H288" s="15"/>
      <c r="I288" s="15"/>
      <c r="J288" s="15"/>
      <c r="K288" s="15"/>
    </row>
    <row r="289" spans="1:11">
      <c r="A289" s="15"/>
      <c r="B289" s="15"/>
      <c r="C289" s="15"/>
      <c r="D289" s="15"/>
      <c r="E289" s="120"/>
      <c r="F289" s="15"/>
      <c r="G289" s="15"/>
      <c r="H289" s="15"/>
      <c r="I289" s="15"/>
      <c r="J289" s="15"/>
      <c r="K289" s="15"/>
    </row>
    <row r="290" spans="1:11">
      <c r="A290" s="15"/>
      <c r="B290" s="15"/>
      <c r="C290" s="15"/>
      <c r="D290" s="15"/>
      <c r="E290" s="120"/>
      <c r="F290" s="15"/>
      <c r="G290" s="15"/>
      <c r="H290" s="15"/>
      <c r="I290" s="15"/>
      <c r="J290" s="15"/>
      <c r="K290" s="15"/>
    </row>
    <row r="291" spans="1:11">
      <c r="A291" s="15"/>
      <c r="B291" s="15"/>
      <c r="C291" s="15"/>
      <c r="D291" s="15"/>
      <c r="E291" s="120"/>
      <c r="F291" s="15"/>
      <c r="G291" s="15"/>
      <c r="H291" s="15"/>
      <c r="I291" s="15"/>
      <c r="J291" s="15"/>
      <c r="K291" s="15"/>
    </row>
    <row r="292" spans="1:11">
      <c r="A292" s="15"/>
      <c r="B292" s="15"/>
      <c r="C292" s="15"/>
      <c r="D292" s="15"/>
      <c r="E292" s="120"/>
      <c r="F292" s="15"/>
      <c r="G292" s="15"/>
      <c r="H292" s="15"/>
      <c r="I292" s="15"/>
      <c r="J292" s="15"/>
      <c r="K292" s="15"/>
    </row>
    <row r="293" spans="1:11">
      <c r="A293" s="15"/>
      <c r="B293" s="15"/>
      <c r="C293" s="15"/>
      <c r="D293" s="15"/>
      <c r="E293" s="120"/>
      <c r="F293" s="15"/>
      <c r="G293" s="15"/>
      <c r="H293" s="15"/>
      <c r="I293" s="15"/>
      <c r="J293" s="15"/>
      <c r="K293" s="15"/>
    </row>
    <row r="294" spans="1:11">
      <c r="A294" s="15"/>
      <c r="B294" s="15"/>
      <c r="C294" s="15"/>
      <c r="D294" s="15"/>
      <c r="E294" s="120"/>
      <c r="F294" s="15"/>
      <c r="G294" s="15"/>
      <c r="H294" s="15"/>
      <c r="I294" s="15"/>
      <c r="J294" s="15"/>
      <c r="K294" s="15"/>
    </row>
    <row r="295" spans="1:11">
      <c r="A295" s="15"/>
      <c r="B295" s="15"/>
      <c r="C295" s="15"/>
      <c r="D295" s="15"/>
      <c r="E295" s="120"/>
      <c r="F295" s="15"/>
      <c r="G295" s="15"/>
      <c r="H295" s="15"/>
      <c r="I295" s="15"/>
      <c r="J295" s="15"/>
      <c r="K295" s="15"/>
    </row>
    <row r="296" spans="1:11">
      <c r="A296" s="15"/>
      <c r="B296" s="15"/>
      <c r="C296" s="15"/>
      <c r="D296" s="15"/>
      <c r="E296" s="120"/>
      <c r="F296" s="15"/>
      <c r="G296" s="15"/>
      <c r="H296" s="15"/>
      <c r="I296" s="15"/>
      <c r="J296" s="15"/>
      <c r="K296" s="15"/>
    </row>
    <row r="297" spans="1:11">
      <c r="A297" s="15"/>
      <c r="B297" s="15"/>
      <c r="C297" s="15"/>
      <c r="D297" s="15"/>
      <c r="E297" s="120"/>
      <c r="F297" s="15"/>
      <c r="G297" s="15"/>
      <c r="H297" s="15"/>
      <c r="I297" s="15"/>
      <c r="J297" s="15"/>
      <c r="K297" s="15"/>
    </row>
    <row r="298" spans="1:11">
      <c r="A298" s="15"/>
      <c r="B298" s="15"/>
      <c r="C298" s="15"/>
      <c r="D298" s="15"/>
      <c r="E298" s="120"/>
      <c r="F298" s="15"/>
      <c r="G298" s="15"/>
      <c r="H298" s="15"/>
      <c r="I298" s="15"/>
      <c r="J298" s="15"/>
      <c r="K298" s="15"/>
    </row>
    <row r="299" spans="1:11">
      <c r="A299" s="15"/>
      <c r="B299" s="15"/>
      <c r="C299" s="15"/>
      <c r="D299" s="15"/>
      <c r="E299" s="120"/>
      <c r="F299" s="15"/>
      <c r="G299" s="15"/>
      <c r="H299" s="15"/>
      <c r="I299" s="15"/>
      <c r="J299" s="15"/>
    </row>
    <row r="300" spans="1:11">
      <c r="A300" s="15"/>
      <c r="B300" s="15"/>
      <c r="C300" s="15"/>
      <c r="D300" s="15"/>
      <c r="E300" s="120"/>
      <c r="F300" s="15"/>
      <c r="G300" s="15"/>
      <c r="H300" s="15"/>
      <c r="I300" s="15"/>
      <c r="J300" s="15"/>
    </row>
    <row r="301" spans="1:11">
      <c r="A301" s="15"/>
      <c r="B301" s="15"/>
      <c r="C301" s="15"/>
      <c r="D301" s="15"/>
      <c r="E301" s="120"/>
      <c r="F301" s="15"/>
      <c r="G301" s="15"/>
      <c r="H301" s="15"/>
      <c r="I301" s="15"/>
      <c r="J301" s="15"/>
    </row>
    <row r="302" spans="1:11">
      <c r="A302" s="15"/>
      <c r="B302" s="15"/>
      <c r="C302" s="15"/>
      <c r="D302" s="15"/>
      <c r="E302" s="120"/>
      <c r="F302" s="15"/>
      <c r="G302" s="15"/>
      <c r="H302" s="15"/>
      <c r="I302" s="15"/>
      <c r="J302" s="15"/>
    </row>
    <row r="303" spans="1:11">
      <c r="A303" s="15"/>
      <c r="B303" s="15"/>
      <c r="C303" s="15"/>
      <c r="D303" s="15"/>
      <c r="E303" s="120"/>
      <c r="F303" s="15"/>
      <c r="G303" s="15"/>
      <c r="H303" s="15"/>
      <c r="I303" s="15"/>
      <c r="J303" s="15"/>
    </row>
    <row r="304" spans="1:11">
      <c r="A304" s="15"/>
      <c r="B304" s="15"/>
      <c r="C304" s="15"/>
      <c r="D304" s="15"/>
      <c r="E304" s="120"/>
      <c r="F304" s="15"/>
      <c r="G304" s="15"/>
      <c r="H304" s="15"/>
      <c r="I304" s="15"/>
      <c r="J304" s="15"/>
    </row>
    <row r="305" spans="1:10">
      <c r="A305" s="15"/>
      <c r="B305" s="15"/>
      <c r="C305" s="15"/>
      <c r="D305" s="15"/>
      <c r="E305" s="120"/>
      <c r="F305" s="15"/>
      <c r="G305" s="15"/>
      <c r="H305" s="15"/>
      <c r="I305" s="15"/>
      <c r="J305" s="15"/>
    </row>
    <row r="306" spans="1:10">
      <c r="A306" s="15"/>
      <c r="B306" s="15"/>
      <c r="C306" s="15"/>
      <c r="D306" s="15"/>
      <c r="E306" s="120"/>
      <c r="F306" s="15"/>
      <c r="G306" s="15"/>
      <c r="H306" s="15"/>
      <c r="I306" s="15"/>
      <c r="J306" s="15"/>
    </row>
    <row r="307" spans="1:10">
      <c r="A307" s="15"/>
      <c r="B307" s="15"/>
      <c r="C307" s="15"/>
      <c r="D307" s="15"/>
      <c r="E307" s="120"/>
      <c r="F307" s="15"/>
      <c r="G307" s="15"/>
      <c r="H307" s="15"/>
      <c r="I307" s="15"/>
      <c r="J307" s="15"/>
    </row>
    <row r="308" spans="1:10">
      <c r="A308" s="15"/>
      <c r="B308" s="15"/>
      <c r="C308" s="15"/>
      <c r="D308" s="15"/>
      <c r="E308" s="120"/>
      <c r="F308" s="15"/>
      <c r="G308" s="15"/>
      <c r="H308" s="15"/>
      <c r="I308" s="15"/>
      <c r="J308" s="15"/>
    </row>
    <row r="309" spans="1:10">
      <c r="A309" s="15"/>
      <c r="B309" s="15"/>
      <c r="C309" s="15"/>
      <c r="D309" s="15"/>
      <c r="E309" s="120"/>
      <c r="F309" s="15"/>
      <c r="G309" s="15"/>
      <c r="H309" s="15"/>
      <c r="I309" s="15"/>
      <c r="J309" s="15"/>
    </row>
    <row r="310" spans="1:10">
      <c r="A310" s="15"/>
      <c r="B310" s="15"/>
      <c r="C310" s="15"/>
      <c r="D310" s="15"/>
      <c r="E310" s="120"/>
      <c r="F310" s="15"/>
      <c r="G310" s="15"/>
      <c r="H310" s="15"/>
      <c r="I310" s="15"/>
      <c r="J310" s="15"/>
    </row>
    <row r="311" spans="1:10">
      <c r="A311" s="15"/>
      <c r="B311" s="15"/>
      <c r="C311" s="15"/>
      <c r="D311" s="15"/>
      <c r="E311" s="120"/>
      <c r="F311" s="15"/>
      <c r="G311" s="15"/>
      <c r="H311" s="15"/>
      <c r="I311" s="15"/>
      <c r="J311" s="15"/>
    </row>
    <row r="312" spans="1:10">
      <c r="A312" s="15"/>
      <c r="B312" s="15"/>
      <c r="C312" s="15"/>
      <c r="D312" s="15"/>
      <c r="E312" s="120"/>
      <c r="F312" s="15"/>
      <c r="G312" s="15"/>
      <c r="H312" s="15"/>
      <c r="I312" s="15"/>
      <c r="J312" s="15"/>
    </row>
    <row r="313" spans="1:10">
      <c r="E313" s="19"/>
    </row>
    <row r="314" spans="1:10">
      <c r="E314" s="19"/>
    </row>
    <row r="315" spans="1:10">
      <c r="E315" s="19"/>
    </row>
    <row r="316" spans="1:10">
      <c r="E316" s="19"/>
    </row>
    <row r="317" spans="1:10">
      <c r="E317" s="19"/>
    </row>
    <row r="318" spans="1:10">
      <c r="E318" s="19"/>
    </row>
    <row r="319" spans="1:10">
      <c r="E319" s="19"/>
    </row>
    <row r="320" spans="1:10">
      <c r="E320" s="19"/>
    </row>
    <row r="321" spans="5:5">
      <c r="E321" s="19"/>
    </row>
    <row r="322" spans="5:5">
      <c r="E322" s="19"/>
    </row>
    <row r="323" spans="5:5">
      <c r="E323" s="19"/>
    </row>
    <row r="324" spans="5:5">
      <c r="E324" s="19"/>
    </row>
    <row r="325" spans="5:5">
      <c r="E325" s="19"/>
    </row>
    <row r="326" spans="5:5">
      <c r="E326" s="19"/>
    </row>
    <row r="327" spans="5:5">
      <c r="E327" s="19"/>
    </row>
    <row r="328" spans="5:5">
      <c r="E328" s="19"/>
    </row>
    <row r="329" spans="5:5">
      <c r="E329" s="19"/>
    </row>
    <row r="330" spans="5:5">
      <c r="E330" s="19"/>
    </row>
    <row r="331" spans="5:5">
      <c r="E331" s="19"/>
    </row>
    <row r="332" spans="5:5">
      <c r="E332" s="19"/>
    </row>
    <row r="333" spans="5:5">
      <c r="E333" s="19"/>
    </row>
    <row r="334" spans="5:5">
      <c r="E334" s="19"/>
    </row>
    <row r="335" spans="5:5">
      <c r="E335" s="19"/>
    </row>
    <row r="336" spans="5:5">
      <c r="E336" s="19"/>
    </row>
    <row r="337" spans="5:5">
      <c r="E337" s="19"/>
    </row>
    <row r="338" spans="5:5">
      <c r="E338" s="19"/>
    </row>
    <row r="339" spans="5:5">
      <c r="E339" s="19"/>
    </row>
    <row r="340" spans="5:5">
      <c r="E340" s="19"/>
    </row>
    <row r="341" spans="5:5">
      <c r="E341" s="19"/>
    </row>
    <row r="342" spans="5:5">
      <c r="E342" s="19"/>
    </row>
    <row r="343" spans="5:5">
      <c r="E343" s="19"/>
    </row>
    <row r="344" spans="5:5">
      <c r="E344" s="19"/>
    </row>
    <row r="345" spans="5:5">
      <c r="E345" s="19"/>
    </row>
    <row r="346" spans="5:5">
      <c r="E346" s="19"/>
    </row>
    <row r="347" spans="5:5">
      <c r="E347" s="19"/>
    </row>
    <row r="348" spans="5:5">
      <c r="E348" s="19"/>
    </row>
    <row r="349" spans="5:5">
      <c r="E349" s="19"/>
    </row>
    <row r="350" spans="5:5">
      <c r="E350" s="19"/>
    </row>
    <row r="351" spans="5:5">
      <c r="E351" s="19"/>
    </row>
    <row r="352" spans="5:5">
      <c r="E352" s="19"/>
    </row>
    <row r="353" spans="5:5">
      <c r="E353" s="19"/>
    </row>
    <row r="354" spans="5:5">
      <c r="E354" s="19"/>
    </row>
    <row r="355" spans="5:5">
      <c r="E355" s="19"/>
    </row>
    <row r="356" spans="5:5">
      <c r="E356" s="19"/>
    </row>
    <row r="357" spans="5:5">
      <c r="E357" s="19"/>
    </row>
    <row r="358" spans="5:5">
      <c r="E358" s="19"/>
    </row>
    <row r="359" spans="5:5">
      <c r="E359" s="19"/>
    </row>
    <row r="360" spans="5:5">
      <c r="E360" s="19"/>
    </row>
    <row r="361" spans="5:5">
      <c r="E361" s="19"/>
    </row>
    <row r="362" spans="5:5">
      <c r="E362" s="19"/>
    </row>
    <row r="363" spans="5:5">
      <c r="E363" s="19"/>
    </row>
    <row r="364" spans="5:5">
      <c r="E364" s="19"/>
    </row>
    <row r="365" spans="5:5">
      <c r="E365" s="19"/>
    </row>
    <row r="366" spans="5:5">
      <c r="E366" s="19"/>
    </row>
    <row r="367" spans="5:5">
      <c r="E367" s="19"/>
    </row>
    <row r="368" spans="5:5">
      <c r="E368" s="19"/>
    </row>
    <row r="369" spans="5:5">
      <c r="E369" s="19"/>
    </row>
    <row r="370" spans="5:5">
      <c r="E370" s="19"/>
    </row>
    <row r="371" spans="5:5">
      <c r="E371" s="19"/>
    </row>
    <row r="372" spans="5:5">
      <c r="E372" s="19"/>
    </row>
    <row r="373" spans="5:5">
      <c r="E373" s="19"/>
    </row>
    <row r="374" spans="5:5">
      <c r="E374" s="19"/>
    </row>
    <row r="375" spans="5:5">
      <c r="E375" s="19"/>
    </row>
    <row r="376" spans="5:5">
      <c r="E376" s="19"/>
    </row>
    <row r="377" spans="5:5">
      <c r="E377" s="19"/>
    </row>
    <row r="378" spans="5:5">
      <c r="E378" s="19"/>
    </row>
    <row r="379" spans="5:5">
      <c r="E379" s="19"/>
    </row>
    <row r="380" spans="5:5">
      <c r="E380" s="19"/>
    </row>
    <row r="381" spans="5:5">
      <c r="E381" s="19"/>
    </row>
    <row r="382" spans="5:5">
      <c r="E382" s="19"/>
    </row>
    <row r="383" spans="5:5">
      <c r="E383" s="19"/>
    </row>
    <row r="384" spans="5:5">
      <c r="E384" s="19"/>
    </row>
    <row r="385" spans="5:5">
      <c r="E385" s="19"/>
    </row>
    <row r="386" spans="5:5">
      <c r="E386" s="19"/>
    </row>
    <row r="387" spans="5:5">
      <c r="E387" s="19"/>
    </row>
    <row r="388" spans="5:5">
      <c r="E388" s="19"/>
    </row>
    <row r="389" spans="5:5">
      <c r="E389" s="19"/>
    </row>
    <row r="390" spans="5:5">
      <c r="E390" s="19"/>
    </row>
    <row r="391" spans="5:5">
      <c r="E391" s="19"/>
    </row>
    <row r="392" spans="5:5">
      <c r="E392" s="19"/>
    </row>
    <row r="393" spans="5:5">
      <c r="E393" s="19"/>
    </row>
    <row r="394" spans="5:5">
      <c r="E394" s="19"/>
    </row>
    <row r="395" spans="5:5">
      <c r="E395" s="19"/>
    </row>
    <row r="396" spans="5:5">
      <c r="E396" s="19"/>
    </row>
    <row r="397" spans="5:5">
      <c r="E397" s="19"/>
    </row>
    <row r="398" spans="5:5">
      <c r="E398" s="19"/>
    </row>
    <row r="399" spans="5:5">
      <c r="E399" s="19"/>
    </row>
    <row r="400" spans="5:5">
      <c r="E400" s="19"/>
    </row>
    <row r="401" spans="5:5">
      <c r="E401" s="19"/>
    </row>
    <row r="402" spans="5:5">
      <c r="E402" s="19"/>
    </row>
    <row r="403" spans="5:5">
      <c r="E403" s="19"/>
    </row>
    <row r="404" spans="5:5">
      <c r="E404" s="19"/>
    </row>
    <row r="405" spans="5:5">
      <c r="E405" s="19"/>
    </row>
    <row r="406" spans="5:5">
      <c r="E406" s="19"/>
    </row>
    <row r="407" spans="5:5">
      <c r="E407" s="19"/>
    </row>
    <row r="408" spans="5:5">
      <c r="E408" s="19"/>
    </row>
    <row r="409" spans="5:5">
      <c r="E409" s="19"/>
    </row>
    <row r="410" spans="5:5">
      <c r="E410" s="19"/>
    </row>
    <row r="411" spans="5:5">
      <c r="E411" s="19"/>
    </row>
    <row r="412" spans="5:5">
      <c r="E412" s="19"/>
    </row>
    <row r="413" spans="5:5">
      <c r="E413" s="19"/>
    </row>
    <row r="414" spans="5:5">
      <c r="E414" s="19"/>
    </row>
    <row r="415" spans="5:5">
      <c r="E415" s="19"/>
    </row>
    <row r="416" spans="5:5">
      <c r="E416" s="19"/>
    </row>
    <row r="417" spans="5:5">
      <c r="E417" s="19"/>
    </row>
    <row r="418" spans="5:5">
      <c r="E418" s="19"/>
    </row>
    <row r="419" spans="5:5">
      <c r="E419" s="19"/>
    </row>
    <row r="420" spans="5:5">
      <c r="E420" s="19"/>
    </row>
    <row r="421" spans="5:5">
      <c r="E421" s="19"/>
    </row>
    <row r="422" spans="5:5">
      <c r="E422" s="19"/>
    </row>
    <row r="423" spans="5:5">
      <c r="E423" s="19"/>
    </row>
    <row r="424" spans="5:5">
      <c r="E424" s="19"/>
    </row>
    <row r="425" spans="5:5">
      <c r="E425" s="19"/>
    </row>
    <row r="426" spans="5:5">
      <c r="E426" s="19"/>
    </row>
    <row r="427" spans="5:5">
      <c r="E427" s="19"/>
    </row>
    <row r="428" spans="5:5">
      <c r="E428" s="19"/>
    </row>
    <row r="429" spans="5:5">
      <c r="E429" s="19"/>
    </row>
    <row r="430" spans="5:5">
      <c r="E430" s="19"/>
    </row>
    <row r="431" spans="5:5">
      <c r="E431" s="19"/>
    </row>
    <row r="432" spans="5:5">
      <c r="E432" s="19"/>
    </row>
    <row r="433" spans="5:5">
      <c r="E433" s="19"/>
    </row>
    <row r="434" spans="5:5">
      <c r="E434" s="19"/>
    </row>
    <row r="435" spans="5:5">
      <c r="E435" s="19"/>
    </row>
    <row r="436" spans="5:5">
      <c r="E436" s="19"/>
    </row>
    <row r="437" spans="5:5">
      <c r="E437" s="19"/>
    </row>
    <row r="438" spans="5:5">
      <c r="E438" s="19"/>
    </row>
    <row r="439" spans="5:5">
      <c r="E439" s="19"/>
    </row>
    <row r="440" spans="5:5">
      <c r="E440" s="19"/>
    </row>
    <row r="441" spans="5:5">
      <c r="E441" s="19"/>
    </row>
    <row r="442" spans="5:5">
      <c r="E442" s="19"/>
    </row>
    <row r="443" spans="5:5">
      <c r="E443" s="19"/>
    </row>
    <row r="444" spans="5:5">
      <c r="E444" s="19"/>
    </row>
    <row r="445" spans="5:5">
      <c r="E445" s="19"/>
    </row>
    <row r="446" spans="5:5">
      <c r="E446" s="19"/>
    </row>
    <row r="447" spans="5:5">
      <c r="E447" s="19"/>
    </row>
    <row r="448" spans="5:5">
      <c r="E448" s="19"/>
    </row>
    <row r="449" spans="5:5">
      <c r="E449" s="19"/>
    </row>
    <row r="450" spans="5:5">
      <c r="E450" s="19"/>
    </row>
    <row r="451" spans="5:5">
      <c r="E451" s="19"/>
    </row>
    <row r="452" spans="5:5">
      <c r="E452" s="19"/>
    </row>
    <row r="453" spans="5:5">
      <c r="E453" s="19"/>
    </row>
    <row r="454" spans="5:5">
      <c r="E454" s="19"/>
    </row>
    <row r="455" spans="5:5">
      <c r="E455" s="19"/>
    </row>
    <row r="456" spans="5:5">
      <c r="E456" s="19"/>
    </row>
    <row r="457" spans="5:5">
      <c r="E457" s="19"/>
    </row>
    <row r="458" spans="5:5">
      <c r="E458" s="19"/>
    </row>
    <row r="459" spans="5:5">
      <c r="E459" s="19"/>
    </row>
    <row r="460" spans="5:5">
      <c r="E460" s="19"/>
    </row>
    <row r="461" spans="5:5">
      <c r="E461" s="19"/>
    </row>
    <row r="462" spans="5:5">
      <c r="E462" s="19"/>
    </row>
    <row r="463" spans="5:5">
      <c r="E463" s="19"/>
    </row>
    <row r="464" spans="5:5">
      <c r="E464" s="19"/>
    </row>
    <row r="465" spans="5:5">
      <c r="E465" s="19"/>
    </row>
    <row r="466" spans="5:5">
      <c r="E466" s="19"/>
    </row>
    <row r="467" spans="5:5">
      <c r="E467" s="19"/>
    </row>
    <row r="468" spans="5:5">
      <c r="E468" s="19"/>
    </row>
    <row r="469" spans="5:5">
      <c r="E469" s="19"/>
    </row>
    <row r="470" spans="5:5">
      <c r="E470" s="19"/>
    </row>
    <row r="471" spans="5:5">
      <c r="E471" s="19"/>
    </row>
    <row r="472" spans="5:5">
      <c r="E472" s="19"/>
    </row>
    <row r="473" spans="5:5">
      <c r="E473" s="19"/>
    </row>
    <row r="474" spans="5:5">
      <c r="E474" s="19"/>
    </row>
    <row r="475" spans="5:5">
      <c r="E475" s="19"/>
    </row>
    <row r="476" spans="5:5">
      <c r="E476" s="19"/>
    </row>
    <row r="477" spans="5:5">
      <c r="E477" s="19"/>
    </row>
    <row r="478" spans="5:5">
      <c r="E478" s="19"/>
    </row>
    <row r="479" spans="5:5">
      <c r="E479" s="19"/>
    </row>
    <row r="480" spans="5:5">
      <c r="E480" s="19"/>
    </row>
    <row r="481" spans="5:5">
      <c r="E481" s="19"/>
    </row>
    <row r="482" spans="5:5">
      <c r="E482" s="19"/>
    </row>
    <row r="483" spans="5:5">
      <c r="E483" s="19"/>
    </row>
    <row r="484" spans="5:5">
      <c r="E484" s="19"/>
    </row>
    <row r="485" spans="5:5">
      <c r="E485" s="19"/>
    </row>
    <row r="486" spans="5:5">
      <c r="E486" s="19"/>
    </row>
    <row r="487" spans="5:5">
      <c r="E487" s="19"/>
    </row>
    <row r="488" spans="5:5">
      <c r="E488" s="19"/>
    </row>
    <row r="489" spans="5:5">
      <c r="E489" s="19"/>
    </row>
    <row r="490" spans="5:5">
      <c r="E490" s="19"/>
    </row>
    <row r="491" spans="5:5">
      <c r="E491" s="19"/>
    </row>
    <row r="492" spans="5:5">
      <c r="E492" s="19"/>
    </row>
    <row r="493" spans="5:5">
      <c r="E493" s="19"/>
    </row>
    <row r="494" spans="5:5">
      <c r="E494" s="19"/>
    </row>
    <row r="495" spans="5:5">
      <c r="E495" s="19"/>
    </row>
    <row r="496" spans="5:5">
      <c r="E496" s="19"/>
    </row>
    <row r="497" spans="5:5">
      <c r="E497" s="19"/>
    </row>
    <row r="498" spans="5:5">
      <c r="E498" s="19"/>
    </row>
    <row r="499" spans="5:5">
      <c r="E499" s="19"/>
    </row>
    <row r="500" spans="5:5">
      <c r="E500" s="19"/>
    </row>
    <row r="501" spans="5:5">
      <c r="E501" s="19"/>
    </row>
    <row r="502" spans="5:5">
      <c r="E502" s="19"/>
    </row>
    <row r="503" spans="5:5">
      <c r="E503" s="19"/>
    </row>
    <row r="504" spans="5:5">
      <c r="E504" s="19"/>
    </row>
    <row r="505" spans="5:5">
      <c r="E505" s="19"/>
    </row>
    <row r="506" spans="5:5">
      <c r="E506" s="19"/>
    </row>
    <row r="507" spans="5:5">
      <c r="E507" s="19"/>
    </row>
    <row r="508" spans="5:5">
      <c r="E508" s="19"/>
    </row>
    <row r="509" spans="5:5">
      <c r="E509" s="19"/>
    </row>
    <row r="510" spans="5:5">
      <c r="E510" s="19"/>
    </row>
    <row r="511" spans="5:5">
      <c r="E511" s="19"/>
    </row>
    <row r="512" spans="5:5">
      <c r="E512" s="19"/>
    </row>
    <row r="513" spans="5:5">
      <c r="E513" s="19"/>
    </row>
    <row r="514" spans="5:5">
      <c r="E514" s="19"/>
    </row>
    <row r="515" spans="5:5">
      <c r="E515" s="19"/>
    </row>
    <row r="516" spans="5:5">
      <c r="E516" s="19"/>
    </row>
    <row r="517" spans="5:5">
      <c r="E517" s="19"/>
    </row>
    <row r="518" spans="5:5">
      <c r="E518" s="19"/>
    </row>
    <row r="519" spans="5:5">
      <c r="E519" s="19"/>
    </row>
    <row r="520" spans="5:5">
      <c r="E520" s="19"/>
    </row>
    <row r="521" spans="5:5">
      <c r="E521" s="19"/>
    </row>
    <row r="522" spans="5:5">
      <c r="E522" s="19"/>
    </row>
    <row r="523" spans="5:5">
      <c r="E523" s="19"/>
    </row>
    <row r="524" spans="5:5">
      <c r="E524" s="19"/>
    </row>
    <row r="525" spans="5:5">
      <c r="E525" s="19"/>
    </row>
    <row r="526" spans="5:5">
      <c r="E526" s="19"/>
    </row>
    <row r="527" spans="5:5">
      <c r="E527" s="19"/>
    </row>
    <row r="528" spans="5:5">
      <c r="E528" s="19"/>
    </row>
    <row r="529" spans="5:5">
      <c r="E529" s="19"/>
    </row>
    <row r="530" spans="5:5">
      <c r="E530" s="19"/>
    </row>
    <row r="531" spans="5:5">
      <c r="E531" s="19"/>
    </row>
    <row r="532" spans="5:5">
      <c r="E532" s="19"/>
    </row>
    <row r="533" spans="5:5">
      <c r="E533" s="19"/>
    </row>
    <row r="534" spans="5:5">
      <c r="E534" s="19"/>
    </row>
    <row r="535" spans="5:5">
      <c r="E535" s="19"/>
    </row>
    <row r="536" spans="5:5">
      <c r="E536" s="19"/>
    </row>
    <row r="537" spans="5:5">
      <c r="E537" s="19"/>
    </row>
    <row r="538" spans="5:5">
      <c r="E538" s="19"/>
    </row>
    <row r="539" spans="5:5">
      <c r="E539" s="19"/>
    </row>
    <row r="540" spans="5:5">
      <c r="E540" s="19"/>
    </row>
    <row r="541" spans="5:5">
      <c r="E541" s="19"/>
    </row>
    <row r="542" spans="5:5">
      <c r="E542" s="19"/>
    </row>
    <row r="543" spans="5:5">
      <c r="E543" s="19"/>
    </row>
    <row r="544" spans="5:5">
      <c r="E544" s="19"/>
    </row>
    <row r="545" spans="5:5">
      <c r="E545" s="19"/>
    </row>
    <row r="546" spans="5:5">
      <c r="E546" s="19"/>
    </row>
    <row r="547" spans="5:5">
      <c r="E547" s="19"/>
    </row>
    <row r="548" spans="5:5">
      <c r="E548" s="19"/>
    </row>
    <row r="549" spans="5:5">
      <c r="E549" s="19"/>
    </row>
    <row r="550" spans="5:5">
      <c r="E550" s="19"/>
    </row>
    <row r="551" spans="5:5">
      <c r="E551" s="19"/>
    </row>
    <row r="552" spans="5:5">
      <c r="E552" s="19"/>
    </row>
    <row r="553" spans="5:5">
      <c r="E553" s="19"/>
    </row>
    <row r="554" spans="5:5">
      <c r="E554" s="19"/>
    </row>
    <row r="555" spans="5:5">
      <c r="E555" s="19"/>
    </row>
    <row r="556" spans="5:5">
      <c r="E556" s="19"/>
    </row>
    <row r="557" spans="5:5">
      <c r="E557" s="19"/>
    </row>
    <row r="558" spans="5:5">
      <c r="E558" s="19"/>
    </row>
    <row r="559" spans="5:5">
      <c r="E559" s="19"/>
    </row>
    <row r="560" spans="5:5">
      <c r="E560" s="19"/>
    </row>
    <row r="561" spans="5:5">
      <c r="E561" s="19"/>
    </row>
    <row r="562" spans="5:5">
      <c r="E562" s="19"/>
    </row>
    <row r="563" spans="5:5">
      <c r="E563" s="19"/>
    </row>
    <row r="564" spans="5:5">
      <c r="E564" s="19"/>
    </row>
    <row r="565" spans="5:5">
      <c r="E565" s="19"/>
    </row>
    <row r="566" spans="5:5">
      <c r="E566" s="19"/>
    </row>
    <row r="567" spans="5:5">
      <c r="E567" s="19"/>
    </row>
    <row r="568" spans="5:5">
      <c r="E568" s="19"/>
    </row>
    <row r="569" spans="5:5">
      <c r="E569" s="19"/>
    </row>
    <row r="570" spans="5:5">
      <c r="E570" s="19"/>
    </row>
    <row r="571" spans="5:5">
      <c r="E571" s="19"/>
    </row>
    <row r="572" spans="5:5">
      <c r="E572" s="19"/>
    </row>
    <row r="573" spans="5:5">
      <c r="E573" s="19"/>
    </row>
    <row r="574" spans="5:5">
      <c r="E574" s="19"/>
    </row>
    <row r="575" spans="5:5">
      <c r="E575" s="19"/>
    </row>
    <row r="576" spans="5:5">
      <c r="E576" s="19"/>
    </row>
    <row r="577" spans="5:5">
      <c r="E577" s="19"/>
    </row>
    <row r="578" spans="5:5">
      <c r="E578" s="19"/>
    </row>
    <row r="579" spans="5:5">
      <c r="E579" s="19"/>
    </row>
    <row r="580" spans="5:5">
      <c r="E580" s="19"/>
    </row>
    <row r="581" spans="5:5">
      <c r="E581" s="19"/>
    </row>
    <row r="582" spans="5:5">
      <c r="E582" s="19"/>
    </row>
    <row r="583" spans="5:5">
      <c r="E583" s="19"/>
    </row>
    <row r="584" spans="5:5">
      <c r="E584" s="19"/>
    </row>
    <row r="585" spans="5:5">
      <c r="E585" s="19"/>
    </row>
    <row r="586" spans="5:5">
      <c r="E586" s="19"/>
    </row>
    <row r="587" spans="5:5">
      <c r="E587" s="19"/>
    </row>
    <row r="588" spans="5:5">
      <c r="E588" s="19"/>
    </row>
    <row r="589" spans="5:5">
      <c r="E589" s="19"/>
    </row>
    <row r="590" spans="5:5">
      <c r="E590" s="19"/>
    </row>
    <row r="591" spans="5:5">
      <c r="E591" s="19"/>
    </row>
    <row r="592" spans="5:5">
      <c r="E592" s="19"/>
    </row>
    <row r="593" spans="5:5">
      <c r="E593" s="19"/>
    </row>
    <row r="594" spans="5:5">
      <c r="E594" s="19"/>
    </row>
    <row r="595" spans="5:5">
      <c r="E595" s="19"/>
    </row>
    <row r="596" spans="5:5">
      <c r="E596" s="19"/>
    </row>
    <row r="597" spans="5:5">
      <c r="E597" s="19"/>
    </row>
    <row r="598" spans="5:5">
      <c r="E598" s="19"/>
    </row>
    <row r="599" spans="5:5">
      <c r="E599" s="19"/>
    </row>
    <row r="600" spans="5:5">
      <c r="E600" s="19"/>
    </row>
    <row r="601" spans="5:5">
      <c r="E601" s="19"/>
    </row>
    <row r="602" spans="5:5">
      <c r="E602" s="19"/>
    </row>
    <row r="603" spans="5:5">
      <c r="E603" s="19"/>
    </row>
    <row r="604" spans="5:5">
      <c r="E604" s="19"/>
    </row>
    <row r="605" spans="5:5">
      <c r="E605" s="19"/>
    </row>
    <row r="606" spans="5:5">
      <c r="E606" s="19"/>
    </row>
    <row r="607" spans="5:5">
      <c r="E607" s="19"/>
    </row>
    <row r="608" spans="5:5">
      <c r="E608" s="19"/>
    </row>
    <row r="609" spans="5:5">
      <c r="E609" s="19"/>
    </row>
    <row r="610" spans="5:5">
      <c r="E610" s="19"/>
    </row>
    <row r="611" spans="5:5">
      <c r="E611" s="19"/>
    </row>
    <row r="612" spans="5:5">
      <c r="E612" s="19"/>
    </row>
    <row r="613" spans="5:5">
      <c r="E613" s="19"/>
    </row>
    <row r="614" spans="5:5">
      <c r="E614" s="19"/>
    </row>
    <row r="615" spans="5:5">
      <c r="E615" s="19"/>
    </row>
    <row r="616" spans="5:5">
      <c r="E616" s="19"/>
    </row>
    <row r="617" spans="5:5">
      <c r="E617" s="19"/>
    </row>
    <row r="618" spans="5:5">
      <c r="E618" s="19"/>
    </row>
    <row r="619" spans="5:5">
      <c r="E619" s="19"/>
    </row>
    <row r="620" spans="5:5">
      <c r="E620" s="19"/>
    </row>
    <row r="621" spans="5:5">
      <c r="E621" s="19"/>
    </row>
    <row r="622" spans="5:5">
      <c r="E622" s="19"/>
    </row>
    <row r="623" spans="5:5">
      <c r="E623" s="19"/>
    </row>
    <row r="624" spans="5:5">
      <c r="E624" s="19"/>
    </row>
    <row r="625" spans="5:5">
      <c r="E625" s="19"/>
    </row>
    <row r="626" spans="5:5">
      <c r="E626" s="19"/>
    </row>
    <row r="627" spans="5:5">
      <c r="E627" s="19"/>
    </row>
    <row r="628" spans="5:5">
      <c r="E628" s="19"/>
    </row>
    <row r="629" spans="5:5">
      <c r="E629" s="19"/>
    </row>
    <row r="630" spans="5:5">
      <c r="E630" s="19"/>
    </row>
    <row r="631" spans="5:5">
      <c r="E631" s="19"/>
    </row>
    <row r="632" spans="5:5">
      <c r="E632" s="19"/>
    </row>
    <row r="633" spans="5:5">
      <c r="E633" s="19"/>
    </row>
    <row r="634" spans="5:5">
      <c r="E634" s="19"/>
    </row>
    <row r="635" spans="5:5">
      <c r="E635" s="19"/>
    </row>
    <row r="636" spans="5:5">
      <c r="E636" s="19"/>
    </row>
    <row r="637" spans="5:5">
      <c r="E637" s="19"/>
    </row>
    <row r="638" spans="5:5">
      <c r="E638" s="19"/>
    </row>
    <row r="639" spans="5:5">
      <c r="E639" s="19"/>
    </row>
    <row r="640" spans="5:5">
      <c r="E640" s="19"/>
    </row>
    <row r="641" spans="5:5">
      <c r="E641" s="19"/>
    </row>
    <row r="642" spans="5:5">
      <c r="E642" s="19"/>
    </row>
    <row r="643" spans="5:5">
      <c r="E643" s="19"/>
    </row>
    <row r="644" spans="5:5">
      <c r="E644" s="19"/>
    </row>
    <row r="645" spans="5:5">
      <c r="E645" s="19"/>
    </row>
    <row r="646" spans="5:5">
      <c r="E646" s="19"/>
    </row>
    <row r="647" spans="5:5">
      <c r="E647" s="19"/>
    </row>
    <row r="648" spans="5:5">
      <c r="E648" s="19"/>
    </row>
    <row r="649" spans="5:5">
      <c r="E649" s="19"/>
    </row>
    <row r="650" spans="5:5">
      <c r="E650" s="19"/>
    </row>
    <row r="651" spans="5:5">
      <c r="E651" s="19"/>
    </row>
    <row r="652" spans="5:5">
      <c r="E652" s="19"/>
    </row>
    <row r="653" spans="5:5">
      <c r="E653" s="19"/>
    </row>
    <row r="654" spans="5:5">
      <c r="E654" s="19"/>
    </row>
    <row r="655" spans="5:5">
      <c r="E655" s="19"/>
    </row>
    <row r="656" spans="5:5">
      <c r="E656" s="19"/>
    </row>
    <row r="657" spans="5:5">
      <c r="E657" s="19"/>
    </row>
    <row r="658" spans="5:5">
      <c r="E658" s="19"/>
    </row>
    <row r="659" spans="5:5">
      <c r="E659" s="19"/>
    </row>
    <row r="660" spans="5:5">
      <c r="E660" s="19"/>
    </row>
    <row r="661" spans="5:5">
      <c r="E661" s="19"/>
    </row>
    <row r="662" spans="5:5">
      <c r="E662" s="19"/>
    </row>
    <row r="663" spans="5:5">
      <c r="E663" s="19"/>
    </row>
    <row r="664" spans="5:5">
      <c r="E664" s="19"/>
    </row>
    <row r="665" spans="5:5">
      <c r="E665" s="19"/>
    </row>
    <row r="666" spans="5:5">
      <c r="E666" s="19"/>
    </row>
    <row r="667" spans="5:5">
      <c r="E667" s="19"/>
    </row>
    <row r="668" spans="5:5">
      <c r="E668" s="19"/>
    </row>
    <row r="669" spans="5:5">
      <c r="E669" s="19"/>
    </row>
    <row r="670" spans="5:5">
      <c r="E670" s="19"/>
    </row>
    <row r="671" spans="5:5">
      <c r="E671" s="19"/>
    </row>
    <row r="672" spans="5:5">
      <c r="E672" s="19"/>
    </row>
    <row r="673" spans="5:5">
      <c r="E673" s="19"/>
    </row>
    <row r="674" spans="5:5">
      <c r="E674" s="19"/>
    </row>
    <row r="675" spans="5:5">
      <c r="E675" s="19"/>
    </row>
    <row r="676" spans="5:5">
      <c r="E676" s="19"/>
    </row>
    <row r="677" spans="5:5">
      <c r="E677" s="19"/>
    </row>
    <row r="678" spans="5:5">
      <c r="E678" s="19"/>
    </row>
    <row r="679" spans="5:5">
      <c r="E679" s="19"/>
    </row>
    <row r="680" spans="5:5">
      <c r="E680" s="19"/>
    </row>
    <row r="681" spans="5:5">
      <c r="E681" s="19"/>
    </row>
    <row r="682" spans="5:5">
      <c r="E682" s="19"/>
    </row>
    <row r="683" spans="5:5">
      <c r="E683" s="19"/>
    </row>
    <row r="684" spans="5:5">
      <c r="E684" s="19"/>
    </row>
    <row r="685" spans="5:5">
      <c r="E685" s="19"/>
    </row>
    <row r="686" spans="5:5">
      <c r="E686" s="19"/>
    </row>
    <row r="687" spans="5:5">
      <c r="E687" s="19"/>
    </row>
    <row r="688" spans="5:5">
      <c r="E688" s="19"/>
    </row>
    <row r="689" spans="5:5">
      <c r="E689" s="19"/>
    </row>
    <row r="690" spans="5:5">
      <c r="E690" s="19"/>
    </row>
    <row r="691" spans="5:5">
      <c r="E691" s="19"/>
    </row>
    <row r="692" spans="5:5">
      <c r="E692" s="19"/>
    </row>
    <row r="693" spans="5:5">
      <c r="E693" s="19"/>
    </row>
    <row r="694" spans="5:5">
      <c r="E694" s="19"/>
    </row>
    <row r="695" spans="5:5">
      <c r="E695" s="19"/>
    </row>
    <row r="696" spans="5:5">
      <c r="E696" s="19"/>
    </row>
    <row r="697" spans="5:5">
      <c r="E697" s="19"/>
    </row>
    <row r="698" spans="5:5">
      <c r="E698" s="19"/>
    </row>
    <row r="699" spans="5:5">
      <c r="E699" s="19"/>
    </row>
    <row r="700" spans="5:5">
      <c r="E700" s="19"/>
    </row>
    <row r="701" spans="5:5">
      <c r="E701" s="19"/>
    </row>
    <row r="702" spans="5:5">
      <c r="E702" s="19"/>
    </row>
    <row r="703" spans="5:5">
      <c r="E703" s="19"/>
    </row>
    <row r="704" spans="5:5">
      <c r="E704" s="19"/>
    </row>
    <row r="705" spans="5:5">
      <c r="E705" s="19"/>
    </row>
    <row r="706" spans="5:5">
      <c r="E706" s="19"/>
    </row>
    <row r="707" spans="5:5">
      <c r="E707" s="19"/>
    </row>
    <row r="708" spans="5:5">
      <c r="E708" s="19"/>
    </row>
    <row r="709" spans="5:5">
      <c r="E709" s="19"/>
    </row>
    <row r="710" spans="5:5">
      <c r="E710" s="19"/>
    </row>
    <row r="711" spans="5:5">
      <c r="E711" s="19"/>
    </row>
    <row r="712" spans="5:5">
      <c r="E712" s="19"/>
    </row>
    <row r="713" spans="5:5">
      <c r="E713" s="19"/>
    </row>
    <row r="714" spans="5:5">
      <c r="E714" s="19"/>
    </row>
    <row r="715" spans="5:5">
      <c r="E715" s="19"/>
    </row>
    <row r="716" spans="5:5">
      <c r="E716" s="19"/>
    </row>
    <row r="717" spans="5:5">
      <c r="E717" s="19"/>
    </row>
    <row r="718" spans="5:5">
      <c r="E718" s="19"/>
    </row>
    <row r="719" spans="5:5">
      <c r="E719" s="19"/>
    </row>
    <row r="720" spans="5:5">
      <c r="E720" s="19"/>
    </row>
    <row r="721" spans="5:5">
      <c r="E721" s="19"/>
    </row>
    <row r="722" spans="5:5">
      <c r="E722" s="19"/>
    </row>
    <row r="723" spans="5:5">
      <c r="E723" s="19"/>
    </row>
    <row r="724" spans="5:5">
      <c r="E724" s="19"/>
    </row>
    <row r="725" spans="5:5">
      <c r="E725" s="19"/>
    </row>
    <row r="726" spans="5:5">
      <c r="E726" s="19"/>
    </row>
    <row r="727" spans="5:5">
      <c r="E727" s="19"/>
    </row>
    <row r="728" spans="5:5">
      <c r="E728" s="19"/>
    </row>
    <row r="729" spans="5:5">
      <c r="E729" s="19"/>
    </row>
    <row r="730" spans="5:5">
      <c r="E730" s="19"/>
    </row>
    <row r="731" spans="5:5">
      <c r="E731" s="19"/>
    </row>
    <row r="732" spans="5:5">
      <c r="E732" s="19"/>
    </row>
    <row r="733" spans="5:5">
      <c r="E733" s="19"/>
    </row>
    <row r="734" spans="5:5">
      <c r="E734" s="19"/>
    </row>
    <row r="735" spans="5:5">
      <c r="E735" s="19"/>
    </row>
    <row r="736" spans="5:5">
      <c r="E736" s="19"/>
    </row>
    <row r="737" spans="5:5">
      <c r="E737" s="19"/>
    </row>
    <row r="738" spans="5:5">
      <c r="E738" s="19"/>
    </row>
    <row r="739" spans="5:5">
      <c r="E739" s="19"/>
    </row>
    <row r="740" spans="5:5">
      <c r="E740" s="19"/>
    </row>
    <row r="741" spans="5:5">
      <c r="E741" s="19"/>
    </row>
    <row r="742" spans="5:5">
      <c r="E742" s="19"/>
    </row>
    <row r="743" spans="5:5">
      <c r="E743" s="19"/>
    </row>
    <row r="744" spans="5:5">
      <c r="E744" s="19"/>
    </row>
    <row r="745" spans="5:5">
      <c r="E745" s="19"/>
    </row>
    <row r="746" spans="5:5">
      <c r="E746" s="19"/>
    </row>
    <row r="747" spans="5:5">
      <c r="E747" s="19"/>
    </row>
    <row r="748" spans="5:5">
      <c r="E748" s="19"/>
    </row>
    <row r="749" spans="5:5">
      <c r="E749" s="19"/>
    </row>
    <row r="750" spans="5:5">
      <c r="E750" s="19"/>
    </row>
    <row r="751" spans="5:5">
      <c r="E751" s="19"/>
    </row>
    <row r="752" spans="5:5">
      <c r="E752" s="19"/>
    </row>
    <row r="753" spans="5:5">
      <c r="E753" s="19"/>
    </row>
    <row r="754" spans="5:5">
      <c r="E754" s="19"/>
    </row>
    <row r="755" spans="5:5">
      <c r="E755" s="19"/>
    </row>
    <row r="756" spans="5:5">
      <c r="E756" s="19"/>
    </row>
    <row r="757" spans="5:5">
      <c r="E757" s="19"/>
    </row>
    <row r="758" spans="5:5">
      <c r="E758" s="19"/>
    </row>
    <row r="759" spans="5:5">
      <c r="E759" s="19"/>
    </row>
    <row r="760" spans="5:5">
      <c r="E760" s="19"/>
    </row>
    <row r="761" spans="5:5">
      <c r="E761" s="19"/>
    </row>
    <row r="762" spans="5:5">
      <c r="E762" s="19"/>
    </row>
    <row r="763" spans="5:5">
      <c r="E763" s="19"/>
    </row>
    <row r="764" spans="5:5">
      <c r="E764" s="19"/>
    </row>
    <row r="765" spans="5:5">
      <c r="E765" s="19"/>
    </row>
    <row r="766" spans="5:5">
      <c r="E766" s="19"/>
    </row>
    <row r="767" spans="5:5">
      <c r="E767" s="19"/>
    </row>
    <row r="768" spans="5:5">
      <c r="E768" s="19"/>
    </row>
    <row r="769" spans="5:5">
      <c r="E769" s="19"/>
    </row>
    <row r="770" spans="5:5">
      <c r="E770" s="19"/>
    </row>
    <row r="771" spans="5:5">
      <c r="E771" s="19"/>
    </row>
    <row r="772" spans="5:5">
      <c r="E772" s="19"/>
    </row>
    <row r="773" spans="5:5">
      <c r="E773" s="19"/>
    </row>
    <row r="774" spans="5:5">
      <c r="E774" s="19"/>
    </row>
    <row r="775" spans="5:5">
      <c r="E775" s="19"/>
    </row>
    <row r="776" spans="5:5">
      <c r="E776" s="19"/>
    </row>
    <row r="777" spans="5:5">
      <c r="E777" s="19"/>
    </row>
    <row r="778" spans="5:5">
      <c r="E778" s="19"/>
    </row>
    <row r="779" spans="5:5">
      <c r="E779" s="19"/>
    </row>
    <row r="780" spans="5:5">
      <c r="E780" s="19"/>
    </row>
    <row r="781" spans="5:5">
      <c r="E781" s="19"/>
    </row>
    <row r="782" spans="5:5">
      <c r="E782" s="19"/>
    </row>
    <row r="783" spans="5:5">
      <c r="E783" s="19"/>
    </row>
    <row r="784" spans="5:5">
      <c r="E784" s="19"/>
    </row>
    <row r="785" spans="5:5">
      <c r="E785" s="19"/>
    </row>
    <row r="786" spans="5:5">
      <c r="E786" s="19"/>
    </row>
    <row r="787" spans="5:5">
      <c r="E787" s="19"/>
    </row>
    <row r="788" spans="5:5">
      <c r="E788" s="19"/>
    </row>
    <row r="789" spans="5:5">
      <c r="E789" s="19"/>
    </row>
    <row r="790" spans="5:5">
      <c r="E790" s="19"/>
    </row>
    <row r="791" spans="5:5">
      <c r="E791" s="19"/>
    </row>
    <row r="792" spans="5:5">
      <c r="E792" s="19"/>
    </row>
    <row r="793" spans="5:5">
      <c r="E793" s="19"/>
    </row>
    <row r="794" spans="5:5">
      <c r="E794" s="19"/>
    </row>
    <row r="795" spans="5:5">
      <c r="E795" s="19"/>
    </row>
    <row r="796" spans="5:5">
      <c r="E796" s="19"/>
    </row>
    <row r="797" spans="5:5">
      <c r="E797" s="19"/>
    </row>
    <row r="798" spans="5:5">
      <c r="E798" s="19"/>
    </row>
    <row r="799" spans="5:5">
      <c r="E799" s="19"/>
    </row>
    <row r="800" spans="5:5">
      <c r="E800" s="19"/>
    </row>
    <row r="801" spans="5:5">
      <c r="E801" s="19"/>
    </row>
    <row r="802" spans="5:5">
      <c r="E802" s="19"/>
    </row>
    <row r="803" spans="5:5">
      <c r="E803" s="19"/>
    </row>
    <row r="804" spans="5:5">
      <c r="E804" s="19"/>
    </row>
    <row r="805" spans="5:5">
      <c r="E805" s="19"/>
    </row>
    <row r="806" spans="5:5">
      <c r="E806" s="19"/>
    </row>
    <row r="807" spans="5:5">
      <c r="E807" s="19"/>
    </row>
    <row r="808" spans="5:5">
      <c r="E808" s="19"/>
    </row>
    <row r="809" spans="5:5">
      <c r="E809" s="19"/>
    </row>
    <row r="810" spans="5:5">
      <c r="E810" s="19"/>
    </row>
    <row r="811" spans="5:5">
      <c r="E811" s="19"/>
    </row>
    <row r="812" spans="5:5">
      <c r="E812" s="19"/>
    </row>
    <row r="813" spans="5:5">
      <c r="E813" s="19"/>
    </row>
    <row r="814" spans="5:5">
      <c r="E814" s="19"/>
    </row>
    <row r="815" spans="5:5">
      <c r="E815" s="19"/>
    </row>
    <row r="816" spans="5:5">
      <c r="E816" s="19"/>
    </row>
    <row r="817" spans="5:5">
      <c r="E817" s="19"/>
    </row>
    <row r="818" spans="5:5">
      <c r="E818" s="19"/>
    </row>
    <row r="819" spans="5:5">
      <c r="E819" s="19"/>
    </row>
    <row r="820" spans="5:5">
      <c r="E820" s="19"/>
    </row>
    <row r="821" spans="5:5">
      <c r="E821" s="19"/>
    </row>
    <row r="822" spans="5:5">
      <c r="E822" s="19"/>
    </row>
    <row r="823" spans="5:5">
      <c r="E823" s="19"/>
    </row>
    <row r="824" spans="5:5">
      <c r="E824" s="19"/>
    </row>
    <row r="825" spans="5:5">
      <c r="E825" s="19"/>
    </row>
    <row r="826" spans="5:5">
      <c r="E826" s="19"/>
    </row>
    <row r="827" spans="5:5">
      <c r="E827" s="19"/>
    </row>
    <row r="828" spans="5:5">
      <c r="E828" s="19"/>
    </row>
    <row r="829" spans="5:5">
      <c r="E829" s="19"/>
    </row>
    <row r="830" spans="5:5">
      <c r="E830" s="19"/>
    </row>
    <row r="831" spans="5:5">
      <c r="E831" s="19"/>
    </row>
    <row r="832" spans="5:5">
      <c r="E832" s="19"/>
    </row>
    <row r="833" spans="5:5">
      <c r="E833" s="19"/>
    </row>
    <row r="834" spans="5:5">
      <c r="E834" s="19"/>
    </row>
    <row r="835" spans="5:5">
      <c r="E835" s="19"/>
    </row>
    <row r="836" spans="5:5">
      <c r="E836" s="19"/>
    </row>
    <row r="837" spans="5:5">
      <c r="E837" s="19"/>
    </row>
    <row r="838" spans="5:5">
      <c r="E838" s="19"/>
    </row>
    <row r="839" spans="5:5">
      <c r="E839" s="19"/>
    </row>
    <row r="840" spans="5:5">
      <c r="E840" s="19"/>
    </row>
    <row r="841" spans="5:5">
      <c r="E841" s="19"/>
    </row>
    <row r="842" spans="5:5">
      <c r="E842" s="19"/>
    </row>
    <row r="843" spans="5:5">
      <c r="E843" s="19"/>
    </row>
    <row r="844" spans="5:5">
      <c r="E844" s="19"/>
    </row>
    <row r="845" spans="5:5">
      <c r="E845" s="19"/>
    </row>
    <row r="846" spans="5:5">
      <c r="E846" s="19"/>
    </row>
    <row r="847" spans="5:5">
      <c r="E847" s="19"/>
    </row>
    <row r="848" spans="5:5">
      <c r="E848" s="19"/>
    </row>
    <row r="849" spans="5:5">
      <c r="E849" s="19"/>
    </row>
    <row r="850" spans="5:5">
      <c r="E850" s="19"/>
    </row>
    <row r="851" spans="5:5">
      <c r="E851" s="19"/>
    </row>
    <row r="852" spans="5:5">
      <c r="E852" s="19"/>
    </row>
    <row r="853" spans="5:5">
      <c r="E853" s="19"/>
    </row>
    <row r="854" spans="5:5">
      <c r="E854" s="19"/>
    </row>
    <row r="855" spans="5:5">
      <c r="E855" s="19"/>
    </row>
    <row r="856" spans="5:5">
      <c r="E856" s="19"/>
    </row>
    <row r="857" spans="5:5">
      <c r="E857" s="19"/>
    </row>
    <row r="858" spans="5:5">
      <c r="E858" s="19"/>
    </row>
  </sheetData>
  <conditionalFormatting sqref="G229:G237 F229:F234 F236:F237 F227:J227 H237:K237 H229:H231 E238:J238 H233:H236 I229:J236 F212:J220">
    <cfRule type="expression" dxfId="5" priority="1">
      <formula>#REF!=0</formula>
    </cfRule>
  </conditionalFormatting>
  <printOptions headings="1"/>
  <pageMargins left="0.23622047244094491" right="0.27559055118110237" top="0.74803149606299213" bottom="0.74803149606299213" header="0.31496062992125984" footer="0.31496062992125984"/>
  <pageSetup paperSize="8" scale="53" fitToHeight="0" orientation="portrait" r:id="rId1"/>
  <drawing r:id="rId2"/>
  <legacyDrawing r:id="rId3"/>
</worksheet>
</file>

<file path=xl/worksheets/sheet16.xml><?xml version="1.0" encoding="utf-8"?>
<worksheet xmlns="http://schemas.openxmlformats.org/spreadsheetml/2006/main" xmlns:r="http://schemas.openxmlformats.org/officeDocument/2006/relationships">
  <sheetPr codeName="Sheet34">
    <tabColor theme="9" tint="0.79998168889431442"/>
    <pageSetUpPr fitToPage="1"/>
  </sheetPr>
  <dimension ref="A1:Z858"/>
  <sheetViews>
    <sheetView zoomScaleNormal="100" workbookViewId="0"/>
  </sheetViews>
  <sheetFormatPr defaultRowHeight="15"/>
  <cols>
    <col min="1" max="2" width="4.140625" style="22" customWidth="1"/>
    <col min="3" max="3" width="47.5703125" style="22" customWidth="1"/>
    <col min="4" max="4" width="13.5703125" style="22" customWidth="1"/>
    <col min="5" max="5" width="10.5703125" style="22" customWidth="1"/>
    <col min="6" max="6" width="13.42578125" style="22" customWidth="1"/>
    <col min="7" max="7" width="10.42578125" style="22" customWidth="1"/>
    <col min="8" max="8" width="11.5703125" style="22" customWidth="1"/>
    <col min="9" max="9" width="10.28515625" style="22" customWidth="1"/>
    <col min="10" max="10" width="13.7109375" style="22" customWidth="1"/>
    <col min="11" max="11" width="11.28515625" style="22" customWidth="1"/>
    <col min="12" max="12" width="19.5703125" style="22" bestFit="1" customWidth="1"/>
    <col min="13" max="13" width="11.5703125" style="22" bestFit="1" customWidth="1"/>
    <col min="14" max="16384" width="9.140625" style="22"/>
  </cols>
  <sheetData>
    <row r="1" spans="1:16" ht="23.25">
      <c r="A1" s="27"/>
      <c r="C1" s="1" t="str">
        <f ca="1">OFFSET(Inputs_Anchor,0,G1+1)</f>
        <v>The Lines Company</v>
      </c>
      <c r="D1" s="1"/>
      <c r="E1" s="1"/>
      <c r="F1" s="4" t="s">
        <v>109</v>
      </c>
      <c r="G1" s="5">
        <v>12</v>
      </c>
      <c r="H1" s="1"/>
      <c r="I1" s="1"/>
      <c r="J1" s="1"/>
      <c r="K1" s="1"/>
      <c r="L1" s="1"/>
      <c r="M1" s="1"/>
      <c r="N1" s="1"/>
      <c r="O1" s="1"/>
      <c r="P1" s="1"/>
    </row>
    <row r="2" spans="1:16">
      <c r="A2" s="27"/>
      <c r="L2" s="26"/>
    </row>
    <row r="3" spans="1:16" ht="23.25">
      <c r="C3" s="1" t="s">
        <v>3</v>
      </c>
      <c r="D3" s="1"/>
      <c r="E3" s="1"/>
      <c r="F3" s="1"/>
      <c r="G3" s="1"/>
      <c r="H3" s="1"/>
      <c r="I3" s="1"/>
      <c r="J3" s="1"/>
      <c r="K3" s="1"/>
      <c r="L3" s="1"/>
      <c r="M3" s="1"/>
      <c r="N3" s="1"/>
      <c r="O3" s="1"/>
      <c r="P3" s="1"/>
    </row>
    <row r="4" spans="1:16">
      <c r="A4" s="27"/>
      <c r="B4" s="27"/>
      <c r="C4" s="27"/>
      <c r="D4" s="147" t="s">
        <v>57</v>
      </c>
      <c r="E4" s="147" t="s">
        <v>58</v>
      </c>
      <c r="F4" s="27"/>
      <c r="G4" s="27"/>
      <c r="H4" s="148" t="s">
        <v>5</v>
      </c>
      <c r="I4" s="27"/>
      <c r="J4" s="27"/>
      <c r="K4" s="27"/>
      <c r="L4" s="27"/>
    </row>
    <row r="5" spans="1:16">
      <c r="A5" s="30"/>
      <c r="B5" s="27"/>
      <c r="C5" s="27"/>
      <c r="D5" s="147" t="s">
        <v>56</v>
      </c>
      <c r="E5" s="147"/>
      <c r="F5" s="27"/>
      <c r="G5" s="27"/>
      <c r="H5" s="27"/>
      <c r="I5" s="27"/>
      <c r="J5" s="27"/>
      <c r="K5" s="27"/>
      <c r="L5" s="27"/>
    </row>
    <row r="6" spans="1:16">
      <c r="A6" s="119"/>
      <c r="B6" s="50"/>
      <c r="C6" s="99" t="s">
        <v>1</v>
      </c>
      <c r="D6" s="50"/>
      <c r="E6" s="99" t="str">
        <f>Inputs!D11</f>
        <v>2009/10</v>
      </c>
      <c r="F6" s="99" t="str">
        <f>Inputs!E11</f>
        <v>2010/11</v>
      </c>
      <c r="G6" s="99" t="str">
        <f>Inputs!F11</f>
        <v>2011/12</v>
      </c>
      <c r="H6" s="99" t="str">
        <f>Inputs!G11</f>
        <v>2012/13</v>
      </c>
      <c r="I6" s="99" t="str">
        <f>Inputs!H11</f>
        <v>2013/14</v>
      </c>
      <c r="J6" s="99" t="str">
        <f>Inputs!I11</f>
        <v>2014/15</v>
      </c>
      <c r="K6" s="99"/>
      <c r="L6" s="67"/>
    </row>
    <row r="7" spans="1:16">
      <c r="A7" s="119"/>
      <c r="B7" s="50"/>
      <c r="C7" s="50" t="s">
        <v>59</v>
      </c>
      <c r="D7" s="50"/>
      <c r="E7" s="125">
        <v>1</v>
      </c>
      <c r="F7" s="125">
        <v>2</v>
      </c>
      <c r="G7" s="125">
        <v>3</v>
      </c>
      <c r="H7" s="125">
        <v>4</v>
      </c>
      <c r="I7" s="125">
        <v>5</v>
      </c>
      <c r="J7" s="125">
        <v>6</v>
      </c>
      <c r="K7" s="125"/>
      <c r="L7" s="67"/>
    </row>
    <row r="8" spans="1:16">
      <c r="A8" s="119">
        <v>1</v>
      </c>
      <c r="B8" s="149"/>
      <c r="C8" s="50" t="str">
        <f>Inputs!B20</f>
        <v>Line Revenue through Prices</v>
      </c>
      <c r="D8" s="50"/>
      <c r="E8" s="47">
        <f t="shared" ref="E8:E27" si="0">INDEX(InputsBlock,A8+1,$G$1+2)</f>
        <v>29064.045499999997</v>
      </c>
      <c r="F8" s="50"/>
      <c r="G8" s="50"/>
      <c r="H8" s="50"/>
      <c r="I8" s="50"/>
      <c r="J8" s="50"/>
      <c r="K8" s="50"/>
      <c r="L8" s="27"/>
    </row>
    <row r="9" spans="1:16">
      <c r="A9" s="119">
        <f t="shared" ref="A9:A27" si="1">A8+1</f>
        <v>2</v>
      </c>
      <c r="B9" s="149"/>
      <c r="C9" s="50" t="str">
        <f>Inputs!B21</f>
        <v>Pass-through costs</v>
      </c>
      <c r="D9" s="50"/>
      <c r="E9" s="47">
        <f t="shared" si="0"/>
        <v>5359.9546</v>
      </c>
      <c r="F9" s="50"/>
      <c r="G9" s="50"/>
      <c r="H9" s="50"/>
      <c r="I9" s="50"/>
      <c r="J9" s="50"/>
      <c r="K9" s="50"/>
      <c r="L9" s="27"/>
    </row>
    <row r="10" spans="1:16">
      <c r="A10" s="119">
        <f t="shared" si="1"/>
        <v>3</v>
      </c>
      <c r="B10" s="149"/>
      <c r="C10" s="50" t="str">
        <f>Inputs!B22</f>
        <v>Recoverable costs</v>
      </c>
      <c r="D10" s="50"/>
      <c r="E10" s="47">
        <f t="shared" si="0"/>
        <v>0</v>
      </c>
      <c r="F10" s="50"/>
      <c r="G10" s="50"/>
      <c r="H10" s="50"/>
      <c r="I10" s="50"/>
      <c r="J10" s="50"/>
      <c r="K10" s="50"/>
      <c r="L10" s="27"/>
    </row>
    <row r="11" spans="1:16">
      <c r="A11" s="119">
        <f t="shared" si="1"/>
        <v>4</v>
      </c>
      <c r="B11" s="149"/>
      <c r="C11" s="50" t="str">
        <f>Inputs!B23</f>
        <v>Opening RAB</v>
      </c>
      <c r="D11" s="50"/>
      <c r="E11" s="47">
        <f t="shared" si="0"/>
        <v>168527.97435947764</v>
      </c>
      <c r="F11" s="50"/>
      <c r="G11" s="50"/>
      <c r="H11" s="50"/>
      <c r="I11" s="50"/>
      <c r="J11" s="50"/>
      <c r="K11" s="50"/>
      <c r="L11" s="150"/>
    </row>
    <row r="12" spans="1:16">
      <c r="A12" s="119">
        <f t="shared" si="1"/>
        <v>5</v>
      </c>
      <c r="B12" s="149"/>
      <c r="C12" s="50" t="str">
        <f>Inputs!B24</f>
        <v>Lost assets</v>
      </c>
      <c r="D12" s="50"/>
      <c r="E12" s="47">
        <f t="shared" si="0"/>
        <v>0</v>
      </c>
      <c r="F12" s="50"/>
      <c r="G12" s="50"/>
      <c r="H12" s="50"/>
      <c r="I12" s="50"/>
      <c r="J12" s="50"/>
      <c r="K12" s="50"/>
      <c r="L12" s="150"/>
    </row>
    <row r="13" spans="1:16">
      <c r="A13" s="119">
        <f t="shared" si="1"/>
        <v>6</v>
      </c>
      <c r="B13" s="149"/>
      <c r="C13" s="50" t="str">
        <f>Inputs!B25</f>
        <v>Found Assets</v>
      </c>
      <c r="D13" s="50"/>
      <c r="E13" s="47">
        <f t="shared" si="0"/>
        <v>5.0783199999999997</v>
      </c>
      <c r="F13" s="50"/>
      <c r="G13" s="50"/>
      <c r="H13" s="50"/>
      <c r="I13" s="50"/>
      <c r="J13" s="50"/>
      <c r="K13" s="50"/>
      <c r="L13" s="150"/>
    </row>
    <row r="14" spans="1:16">
      <c r="A14" s="119">
        <f t="shared" si="1"/>
        <v>7</v>
      </c>
      <c r="B14" s="149"/>
      <c r="C14" s="50" t="str">
        <f>Inputs!B26</f>
        <v>Total Depreciation</v>
      </c>
      <c r="D14" s="50"/>
      <c r="E14" s="47">
        <f t="shared" si="0"/>
        <v>5635.3221811466228</v>
      </c>
      <c r="F14" s="47"/>
      <c r="G14" s="191" t="s">
        <v>280</v>
      </c>
      <c r="H14" s="50"/>
      <c r="I14" s="50"/>
      <c r="J14" s="50"/>
      <c r="K14" s="50"/>
      <c r="L14" s="27"/>
    </row>
    <row r="15" spans="1:16">
      <c r="A15" s="119">
        <f t="shared" si="1"/>
        <v>8</v>
      </c>
      <c r="B15" s="149"/>
      <c r="C15" s="50" t="str">
        <f>Inputs!B27</f>
        <v>RAB of disposed assets</v>
      </c>
      <c r="D15" s="50"/>
      <c r="E15" s="47">
        <f t="shared" si="0"/>
        <v>168.12794537129605</v>
      </c>
      <c r="F15" s="50"/>
      <c r="G15" s="175" t="s">
        <v>281</v>
      </c>
      <c r="H15" s="50"/>
      <c r="I15" s="50"/>
      <c r="J15" s="50"/>
      <c r="K15" s="50"/>
      <c r="L15" s="27"/>
    </row>
    <row r="16" spans="1:16">
      <c r="A16" s="119">
        <f t="shared" si="1"/>
        <v>9</v>
      </c>
      <c r="B16" s="149"/>
      <c r="C16" s="50" t="str">
        <f>Inputs!B28</f>
        <v>Discretionary discounts &amp;  rebates</v>
      </c>
      <c r="D16" s="50"/>
      <c r="E16" s="47">
        <f t="shared" si="0"/>
        <v>0</v>
      </c>
      <c r="F16" s="50"/>
      <c r="G16" s="175" t="s">
        <v>282</v>
      </c>
      <c r="H16" s="50"/>
      <c r="I16" s="50"/>
      <c r="J16" s="50"/>
      <c r="K16" s="50"/>
      <c r="L16" s="27"/>
    </row>
    <row r="17" spans="1:22">
      <c r="A17" s="119">
        <f t="shared" si="1"/>
        <v>10</v>
      </c>
      <c r="B17" s="149"/>
      <c r="C17" s="50" t="str">
        <f>Inputs!B29</f>
        <v>Tax Depreciation</v>
      </c>
      <c r="D17" s="50"/>
      <c r="E17" s="47">
        <f t="shared" si="0"/>
        <v>4851.8784151308691</v>
      </c>
      <c r="F17" s="50"/>
      <c r="G17" s="175" t="s">
        <v>283</v>
      </c>
      <c r="H17" s="50"/>
      <c r="I17" s="50"/>
      <c r="J17" s="50"/>
      <c r="K17" s="50"/>
      <c r="L17" s="27"/>
    </row>
    <row r="18" spans="1:22">
      <c r="A18" s="119">
        <f t="shared" si="1"/>
        <v>11</v>
      </c>
      <c r="B18" s="149"/>
      <c r="C18" s="50" t="str">
        <f>Inputs!B30</f>
        <v>Opening regulatory tax asset value</v>
      </c>
      <c r="D18" s="50"/>
      <c r="E18" s="47">
        <f t="shared" si="0"/>
        <v>39460.43495739979</v>
      </c>
      <c r="F18" s="50"/>
      <c r="G18" s="50"/>
      <c r="H18" s="50"/>
      <c r="I18" s="50"/>
      <c r="J18" s="50"/>
      <c r="K18" s="50"/>
      <c r="L18" s="27"/>
    </row>
    <row r="19" spans="1:22">
      <c r="A19" s="119">
        <f t="shared" si="1"/>
        <v>12</v>
      </c>
      <c r="B19" s="149"/>
      <c r="C19" s="50" t="str">
        <f>Inputs!B31</f>
        <v>Weighted Average Remaining Life at year-end</v>
      </c>
      <c r="D19" s="50"/>
      <c r="E19" s="47">
        <f t="shared" si="0"/>
        <v>13.914429999999996</v>
      </c>
      <c r="F19" s="50"/>
      <c r="G19" s="50"/>
      <c r="H19" s="50"/>
      <c r="I19" s="50"/>
      <c r="J19" s="50"/>
      <c r="K19" s="50"/>
      <c r="L19" s="27"/>
    </row>
    <row r="20" spans="1:22">
      <c r="A20" s="119">
        <f t="shared" si="1"/>
        <v>13</v>
      </c>
      <c r="B20" s="149"/>
      <c r="C20" s="50" t="str">
        <f>Inputs!B32</f>
        <v>Term Credit Spread Differential Allowance</v>
      </c>
      <c r="D20" s="50"/>
      <c r="E20" s="47">
        <f t="shared" si="0"/>
        <v>-2</v>
      </c>
      <c r="F20" s="50"/>
      <c r="G20" s="50"/>
      <c r="H20" s="50"/>
      <c r="I20" s="50"/>
      <c r="J20" s="50"/>
      <c r="K20" s="50"/>
      <c r="L20" s="27"/>
    </row>
    <row r="21" spans="1:22">
      <c r="A21" s="119">
        <f t="shared" si="1"/>
        <v>14</v>
      </c>
      <c r="B21" s="149"/>
      <c r="C21" s="50" t="s">
        <v>98</v>
      </c>
      <c r="D21" s="50"/>
      <c r="E21" s="47">
        <f t="shared" si="0"/>
        <v>6682.0266626839202</v>
      </c>
      <c r="F21" s="50"/>
      <c r="G21" s="50"/>
      <c r="H21" s="50"/>
      <c r="I21" s="50"/>
      <c r="J21" s="50"/>
      <c r="K21" s="50"/>
      <c r="L21" s="27"/>
    </row>
    <row r="22" spans="1:22">
      <c r="A22" s="119">
        <f t="shared" si="1"/>
        <v>15</v>
      </c>
      <c r="B22" s="149"/>
      <c r="C22" s="50" t="str">
        <f>Inputs!B34</f>
        <v>Operating expenditure 2009/10</v>
      </c>
      <c r="D22" s="50"/>
      <c r="E22" s="47">
        <f t="shared" si="0"/>
        <v>8265.6569168820151</v>
      </c>
      <c r="F22" s="50"/>
      <c r="G22" s="50"/>
      <c r="H22" s="50"/>
      <c r="I22" s="50"/>
      <c r="J22" s="50"/>
      <c r="K22" s="50"/>
      <c r="L22" s="27"/>
    </row>
    <row r="23" spans="1:22">
      <c r="A23" s="119">
        <f t="shared" si="1"/>
        <v>16</v>
      </c>
      <c r="B23" s="149"/>
      <c r="C23" s="50" t="str">
        <f>Inputs!B35</f>
        <v>Other reg income (avg of 2008 to 11, in 2009/10 $)</v>
      </c>
      <c r="D23" s="50"/>
      <c r="E23" s="47">
        <f t="shared" si="0"/>
        <v>42.936383973436293</v>
      </c>
      <c r="F23" s="50"/>
      <c r="G23" s="50"/>
      <c r="H23" s="50"/>
      <c r="I23" s="50"/>
      <c r="J23" s="50"/>
      <c r="K23" s="49"/>
      <c r="L23" s="27"/>
    </row>
    <row r="24" spans="1:22">
      <c r="A24" s="119">
        <f t="shared" si="1"/>
        <v>17</v>
      </c>
      <c r="B24" s="149"/>
      <c r="C24" s="119" t="str">
        <f>Inputs!B36</f>
        <v>Allowable notional revenue 2012/13</v>
      </c>
      <c r="D24" s="50"/>
      <c r="E24" s="47">
        <f t="shared" si="0"/>
        <v>26992.420176551033</v>
      </c>
      <c r="F24" s="50"/>
      <c r="G24" s="50"/>
      <c r="H24" s="50"/>
      <c r="I24" s="50"/>
      <c r="J24" s="50"/>
      <c r="K24" s="49"/>
      <c r="L24" s="27"/>
    </row>
    <row r="25" spans="1:22">
      <c r="A25" s="119">
        <f t="shared" si="1"/>
        <v>18</v>
      </c>
      <c r="B25" s="149"/>
      <c r="C25" s="119" t="str">
        <f>Inputs!B37</f>
        <v>Pass-through costs 2012/13</v>
      </c>
      <c r="D25" s="50"/>
      <c r="E25" s="47">
        <f t="shared" si="0"/>
        <v>6001.5583025407714</v>
      </c>
      <c r="F25" s="50"/>
      <c r="G25" s="50"/>
      <c r="H25" s="50"/>
      <c r="I25" s="50"/>
      <c r="J25" s="50"/>
      <c r="K25" s="49"/>
      <c r="L25" s="27"/>
    </row>
    <row r="26" spans="1:22">
      <c r="A26" s="119">
        <f t="shared" si="1"/>
        <v>19</v>
      </c>
      <c r="B26" s="50"/>
      <c r="C26" s="50" t="str">
        <f>Inputs!B38</f>
        <v>Alternate X value to 2014/15</v>
      </c>
      <c r="D26" s="49"/>
      <c r="E26" s="151">
        <f t="shared" si="0"/>
        <v>-0.1</v>
      </c>
      <c r="F26" s="50"/>
      <c r="G26" s="50"/>
      <c r="H26" s="50"/>
      <c r="I26" s="50"/>
      <c r="J26" s="50"/>
      <c r="K26" s="49"/>
      <c r="L26" s="27"/>
    </row>
    <row r="27" spans="1:22">
      <c r="A27" s="119">
        <f t="shared" si="1"/>
        <v>20</v>
      </c>
      <c r="B27" s="50"/>
      <c r="C27" s="50" t="str">
        <f>Inputs!B39</f>
        <v>Cap on growth of maximum allowable revenue</v>
      </c>
      <c r="D27" s="50"/>
      <c r="E27" s="151">
        <f t="shared" si="0"/>
        <v>0.1</v>
      </c>
      <c r="F27" s="50"/>
      <c r="G27" s="50"/>
      <c r="H27" s="50"/>
      <c r="I27" s="50"/>
      <c r="J27" s="50"/>
      <c r="K27" s="49"/>
      <c r="L27" s="27"/>
    </row>
    <row r="28" spans="1:22">
      <c r="A28" s="119"/>
      <c r="B28" s="149"/>
      <c r="C28" s="50" t="s">
        <v>30</v>
      </c>
      <c r="D28" s="50"/>
      <c r="E28" s="130">
        <f>E22</f>
        <v>8265.6569168820151</v>
      </c>
      <c r="F28" s="47">
        <f>INDEX(OpexBlock,F7-1,$G$1)</f>
        <v>8470.9864010950932</v>
      </c>
      <c r="G28" s="47">
        <f>INDEX(OpexBlock,G7-1,$G$1)</f>
        <v>8698.8684246092034</v>
      </c>
      <c r="H28" s="47">
        <f>INDEX(OpexBlock,H7-1,$G$1)</f>
        <v>8858.622500469186</v>
      </c>
      <c r="I28" s="47">
        <f>INDEX(OpexBlock,I7-1,$G$1)</f>
        <v>9058.2880849563226</v>
      </c>
      <c r="J28" s="47">
        <f>INDEX(OpexBlock,J7-1,$G$1)</f>
        <v>9283.1382178078238</v>
      </c>
      <c r="K28" s="49"/>
      <c r="L28" s="50"/>
      <c r="M28" s="15"/>
    </row>
    <row r="29" spans="1:22">
      <c r="A29" s="119"/>
      <c r="B29" s="149"/>
      <c r="C29" s="50" t="s">
        <v>158</v>
      </c>
      <c r="D29" s="47"/>
      <c r="E29" s="130">
        <f>E21</f>
        <v>6682.0266626839202</v>
      </c>
      <c r="F29" s="47">
        <f>INDEX(CommAssetsBlock,F7-1,$G$1)</f>
        <v>8464.4550466451528</v>
      </c>
      <c r="G29" s="47">
        <f>INDEX(CommAssetsBlock,G7-1,$G$1)</f>
        <v>8018.6955095262529</v>
      </c>
      <c r="H29" s="47">
        <f>INDEX(CommAssetsBlock,H7-1,$G$1)</f>
        <v>8470.9218723328486</v>
      </c>
      <c r="I29" s="47">
        <f>INDEX(CommAssetsBlock,I7-1,$G$1)</f>
        <v>9056.877071977322</v>
      </c>
      <c r="J29" s="47">
        <f>INDEX(CommAssetsBlock,J7-1,$G$1)</f>
        <v>8497.6486143962611</v>
      </c>
      <c r="K29" s="49"/>
      <c r="L29" s="50"/>
      <c r="M29" s="15"/>
    </row>
    <row r="30" spans="1:22">
      <c r="A30" s="119"/>
      <c r="B30" s="149"/>
      <c r="C30" s="50" t="s">
        <v>200</v>
      </c>
      <c r="D30" s="47"/>
      <c r="E30" s="49"/>
      <c r="F30" s="110">
        <f>INDEX(ConstPriceRevGrwth,F$7-1,$G$1)</f>
        <v>-4.7755866874985356E-4</v>
      </c>
      <c r="G30" s="110">
        <f>INDEX(ConstPriceRevGrwth,G$7-1,$G$1)</f>
        <v>-4.7755866874985356E-4</v>
      </c>
      <c r="H30" s="110">
        <f>INDEX(ConstPriceRevGrwth,H$7-1,$G$1)</f>
        <v>-4.7755866874985356E-4</v>
      </c>
      <c r="I30" s="110">
        <f>INDEX(ConstPriceRevGrwth,I$7-1,$G$1)</f>
        <v>-4.7755866874985356E-4</v>
      </c>
      <c r="J30" s="110">
        <f>INDEX(ConstPriceRevGrwth,J$7-1,$G$1)</f>
        <v>-4.7755866874985356E-4</v>
      </c>
      <c r="K30" s="49"/>
      <c r="L30" s="50"/>
      <c r="M30" s="15"/>
      <c r="U30" s="15"/>
      <c r="V30" s="15"/>
    </row>
    <row r="31" spans="1:22" ht="15.75" thickBot="1">
      <c r="A31" s="119"/>
      <c r="B31" s="149"/>
      <c r="C31" s="50"/>
      <c r="D31" s="47"/>
      <c r="E31" s="49"/>
      <c r="F31" s="50"/>
      <c r="G31" s="49"/>
      <c r="H31" s="49"/>
      <c r="I31" s="49"/>
      <c r="J31" s="49"/>
      <c r="K31" s="49"/>
      <c r="L31" s="27"/>
      <c r="M31" s="15"/>
      <c r="U31" s="15"/>
      <c r="V31" s="15"/>
    </row>
    <row r="32" spans="1:22" ht="16.5" thickBot="1">
      <c r="A32" s="119"/>
      <c r="B32" s="149"/>
      <c r="C32" s="121" t="s">
        <v>182</v>
      </c>
      <c r="D32" s="47"/>
      <c r="E32" s="49"/>
      <c r="F32" s="50"/>
      <c r="G32" s="49"/>
      <c r="H32" s="49"/>
      <c r="I32" s="49"/>
      <c r="J32" s="49"/>
      <c r="K32" s="49"/>
      <c r="L32" s="195" t="s">
        <v>322</v>
      </c>
      <c r="M32" s="111"/>
      <c r="N32" s="34"/>
      <c r="O32" s="34"/>
      <c r="P32" s="34"/>
      <c r="Q32" s="34"/>
      <c r="R32" s="34"/>
      <c r="S32" s="34"/>
      <c r="T32" s="34"/>
      <c r="U32" s="34"/>
      <c r="V32" s="35"/>
    </row>
    <row r="33" spans="1:26">
      <c r="A33" s="119"/>
      <c r="B33" s="149"/>
      <c r="C33" s="122" t="str">
        <f>Inputs!B13</f>
        <v>2009 ΔCPI, 2 index, no lag, no GST adjustment</v>
      </c>
      <c r="D33" s="47"/>
      <c r="E33" s="49">
        <f>Inputs!D13</f>
        <v>1.7233850022212005E-2</v>
      </c>
      <c r="F33" s="49">
        <f>Inputs!E13</f>
        <v>1.9812209526758329E-2</v>
      </c>
      <c r="G33" s="49">
        <f>Inputs!F13</f>
        <v>2.4339880629970168E-2</v>
      </c>
      <c r="H33" s="49">
        <f>Inputs!G13</f>
        <v>2.2893253753313525E-2</v>
      </c>
      <c r="I33" s="49">
        <f>Inputs!H13</f>
        <v>2.144662687665666E-2</v>
      </c>
      <c r="J33" s="49">
        <f>Inputs!I13</f>
        <v>2.0000000000000018E-2</v>
      </c>
      <c r="K33" s="50"/>
      <c r="L33" s="196" t="s">
        <v>194</v>
      </c>
      <c r="M33" s="50"/>
      <c r="N33" s="15"/>
      <c r="O33" s="15"/>
      <c r="P33" s="15"/>
      <c r="Q33" s="15"/>
      <c r="R33" s="15"/>
      <c r="S33" s="15"/>
      <c r="T33" s="15"/>
      <c r="U33" s="15"/>
      <c r="V33" s="29"/>
    </row>
    <row r="34" spans="1:26">
      <c r="A34" s="119"/>
      <c r="B34" s="149"/>
      <c r="C34" s="122" t="str">
        <f>Inputs!B14</f>
        <v>2012 ΔCPI, 2 index, no lag, no GST adjustment</v>
      </c>
      <c r="D34" s="47"/>
      <c r="E34" s="49"/>
      <c r="F34" s="49">
        <f>Inputs!E14</f>
        <v>4.4667274384685429E-2</v>
      </c>
      <c r="G34" s="49">
        <f>Inputs!F14</f>
        <v>1.5706806282722585E-2</v>
      </c>
      <c r="H34" s="49">
        <f>Inputs!G14</f>
        <v>1.8041237113401998E-2</v>
      </c>
      <c r="I34" s="49">
        <f>Inputs!H14</f>
        <v>1.7721518987341867E-2</v>
      </c>
      <c r="J34" s="49">
        <f>Inputs!I14</f>
        <v>2.3217247097844007E-2</v>
      </c>
      <c r="K34" s="50"/>
      <c r="L34" s="196" t="s">
        <v>320</v>
      </c>
      <c r="M34" s="50"/>
      <c r="N34" s="15"/>
      <c r="O34" s="15"/>
      <c r="P34" s="15"/>
      <c r="Q34" s="15"/>
      <c r="R34" s="15"/>
      <c r="S34" s="15"/>
      <c r="T34" s="15"/>
      <c r="U34" s="15"/>
      <c r="V34" s="29"/>
    </row>
    <row r="35" spans="1:26">
      <c r="A35" s="119"/>
      <c r="B35" s="149"/>
      <c r="C35" s="122" t="str">
        <f>Inputs!B15</f>
        <v>2009 ΔCPI, 8 index, lagged, no GST adjustment</v>
      </c>
      <c r="D35" s="47"/>
      <c r="E35" s="49"/>
      <c r="F35" s="49"/>
      <c r="G35" s="49">
        <f>Inputs!F15</f>
        <v>1.6991832174541255E-2</v>
      </c>
      <c r="H35" s="49">
        <f>Inputs!G15</f>
        <v>2.0741514169093644E-2</v>
      </c>
      <c r="I35" s="49">
        <f>Inputs!H15</f>
        <v>2.3759818812291389E-2</v>
      </c>
      <c r="J35" s="49">
        <f>Inputs!I15</f>
        <v>2.2164443909808984E-2</v>
      </c>
      <c r="K35" s="50"/>
      <c r="L35" s="196" t="s">
        <v>321</v>
      </c>
      <c r="M35" s="50"/>
      <c r="N35" s="15"/>
      <c r="O35" s="15"/>
      <c r="P35" s="15"/>
      <c r="Q35" s="15"/>
      <c r="R35" s="15"/>
      <c r="S35" s="15"/>
      <c r="T35" s="15"/>
      <c r="U35" s="15"/>
      <c r="V35" s="29"/>
    </row>
    <row r="36" spans="1:26">
      <c r="A36" s="149"/>
      <c r="B36" s="149"/>
      <c r="C36" s="122" t="str">
        <f>Inputs!B16</f>
        <v>2012 ΔCPI, 8 index, lagged, no GST adjustment</v>
      </c>
      <c r="D36" s="50"/>
      <c r="E36" s="49"/>
      <c r="F36" s="49">
        <f>Inputs!E16</f>
        <v>2.465039108793543E-2</v>
      </c>
      <c r="G36" s="49">
        <f>Inputs!F16</f>
        <v>1.7811704834605591E-2</v>
      </c>
      <c r="H36" s="49">
        <f>Inputs!G16</f>
        <v>4.5909090909090899E-2</v>
      </c>
      <c r="I36" s="49">
        <f>Inputs!H16</f>
        <v>1.2820512820512775E-2</v>
      </c>
      <c r="J36" s="49">
        <f>Inputs!I16</f>
        <v>1.9725095732576747E-2</v>
      </c>
      <c r="K36" s="50"/>
      <c r="L36" s="196" t="s">
        <v>365</v>
      </c>
      <c r="M36" s="50"/>
      <c r="N36" s="15"/>
      <c r="O36" s="15"/>
      <c r="P36" s="15"/>
      <c r="Q36" s="15"/>
      <c r="R36" s="15"/>
      <c r="S36" s="15"/>
      <c r="T36" s="15"/>
      <c r="U36" s="15"/>
      <c r="V36" s="29"/>
    </row>
    <row r="37" spans="1:26" ht="15.75" thickBot="1">
      <c r="A37" s="149"/>
      <c r="B37" s="149"/>
      <c r="C37" s="122" t="str">
        <f>Inputs!B17</f>
        <v>2012 ΔCPI, 8 index, lagged, with GST adjustment</v>
      </c>
      <c r="D37" s="50"/>
      <c r="E37" s="49"/>
      <c r="F37" s="112">
        <f>Inputs!E17</f>
        <v>2.4650391087935652E-2</v>
      </c>
      <c r="G37" s="112">
        <f>Inputs!F17</f>
        <v>1.7811704834605369E-2</v>
      </c>
      <c r="H37" s="112">
        <f>Inputs!G17</f>
        <v>2.5401069518716568E-2</v>
      </c>
      <c r="I37" s="49">
        <f>Inputs!H17</f>
        <v>1.2820512820512775E-2</v>
      </c>
      <c r="J37" s="49">
        <f>Inputs!I17</f>
        <v>1.9725095732576747E-2</v>
      </c>
      <c r="K37" s="50"/>
      <c r="L37" s="219" t="s">
        <v>409</v>
      </c>
      <c r="M37" s="220"/>
      <c r="N37" s="220"/>
      <c r="O37" s="220"/>
      <c r="P37" s="220"/>
      <c r="Q37" s="220"/>
      <c r="R37" s="220"/>
      <c r="S37" s="220"/>
      <c r="T37" s="220"/>
      <c r="U37" s="220"/>
      <c r="V37" s="221"/>
    </row>
    <row r="38" spans="1:26">
      <c r="A38" s="149"/>
      <c r="B38" s="149"/>
      <c r="C38" s="122"/>
      <c r="D38" s="50"/>
      <c r="E38" s="49"/>
      <c r="F38" s="112"/>
      <c r="G38" s="112"/>
      <c r="H38" s="112"/>
      <c r="I38" s="49"/>
      <c r="J38" s="49"/>
      <c r="K38" s="49"/>
      <c r="L38" s="49"/>
      <c r="M38" s="49"/>
      <c r="N38" s="49"/>
      <c r="O38" s="49"/>
      <c r="P38" s="49"/>
      <c r="Q38" s="49"/>
      <c r="R38" s="49"/>
      <c r="S38" s="49"/>
      <c r="T38" s="49"/>
      <c r="U38" s="49"/>
      <c r="V38" s="49"/>
      <c r="W38" s="49"/>
      <c r="X38" s="49"/>
      <c r="Y38" s="49"/>
      <c r="Z38" s="49"/>
    </row>
    <row r="39" spans="1:26" ht="23.25">
      <c r="A39" s="50"/>
      <c r="B39" s="50"/>
      <c r="C39" s="1" t="s">
        <v>4</v>
      </c>
      <c r="D39" s="153" t="s">
        <v>36</v>
      </c>
      <c r="E39" s="153" t="s">
        <v>35</v>
      </c>
      <c r="F39" s="152"/>
      <c r="G39" s="152"/>
      <c r="H39" s="152"/>
      <c r="I39" s="152"/>
      <c r="J39" s="152"/>
      <c r="K39" s="152"/>
      <c r="L39" s="152"/>
      <c r="M39" s="152"/>
      <c r="N39" s="194"/>
      <c r="O39" s="194"/>
      <c r="P39" s="194"/>
    </row>
    <row r="40" spans="1:26">
      <c r="A40" s="50"/>
      <c r="B40" s="50"/>
      <c r="C40" s="50"/>
      <c r="D40" s="50"/>
      <c r="E40" s="154" t="s">
        <v>183</v>
      </c>
      <c r="F40" s="154" t="s">
        <v>184</v>
      </c>
      <c r="G40" s="154" t="s">
        <v>185</v>
      </c>
      <c r="H40" s="154" t="s">
        <v>186</v>
      </c>
      <c r="I40" s="154" t="s">
        <v>187</v>
      </c>
      <c r="J40" s="154" t="s">
        <v>188</v>
      </c>
      <c r="K40" s="154"/>
      <c r="L40" s="154"/>
      <c r="M40" s="48"/>
    </row>
    <row r="41" spans="1:26">
      <c r="A41" s="50"/>
      <c r="B41" s="50"/>
      <c r="C41" s="50" t="s">
        <v>129</v>
      </c>
      <c r="D41" s="50"/>
      <c r="E41" s="49">
        <f t="shared" ref="E41:J41" si="2">E33</f>
        <v>1.7233850022212005E-2</v>
      </c>
      <c r="F41" s="49">
        <f t="shared" si="2"/>
        <v>1.9812209526758329E-2</v>
      </c>
      <c r="G41" s="49">
        <f t="shared" si="2"/>
        <v>2.4339880629970168E-2</v>
      </c>
      <c r="H41" s="49">
        <f t="shared" si="2"/>
        <v>2.2893253753313525E-2</v>
      </c>
      <c r="I41" s="49">
        <f t="shared" si="2"/>
        <v>2.144662687665666E-2</v>
      </c>
      <c r="J41" s="49">
        <f t="shared" si="2"/>
        <v>2.0000000000000018E-2</v>
      </c>
      <c r="K41" s="51"/>
      <c r="L41" s="47"/>
      <c r="M41" s="15"/>
    </row>
    <row r="42" spans="1:26">
      <c r="A42" s="50"/>
      <c r="B42" s="50"/>
      <c r="C42" s="50" t="s">
        <v>163</v>
      </c>
      <c r="D42" s="50"/>
      <c r="E42" s="49"/>
      <c r="F42" s="49">
        <f>F34</f>
        <v>4.4667274384685429E-2</v>
      </c>
      <c r="G42" s="49">
        <f>G34</f>
        <v>1.5706806282722585E-2</v>
      </c>
      <c r="H42" s="49">
        <f>H34</f>
        <v>1.8041237113401998E-2</v>
      </c>
      <c r="I42" s="49">
        <f>I34</f>
        <v>1.7721518987341867E-2</v>
      </c>
      <c r="J42" s="49">
        <f>J34</f>
        <v>2.3217247097844007E-2</v>
      </c>
      <c r="K42" s="51"/>
      <c r="L42" s="47"/>
      <c r="M42" s="15"/>
    </row>
    <row r="43" spans="1:26">
      <c r="A43" s="50"/>
      <c r="B43" s="50"/>
      <c r="C43" s="50" t="s">
        <v>122</v>
      </c>
      <c r="D43" s="50"/>
      <c r="E43" s="130">
        <f>E23</f>
        <v>42.936383973436293</v>
      </c>
      <c r="F43" s="47">
        <f>E43*(1+F42)</f>
        <v>44.85423521746398</v>
      </c>
      <c r="G43" s="47">
        <f>F43*(1+G42)</f>
        <v>45.558752000984363</v>
      </c>
      <c r="H43" s="47">
        <f>G43*(1+H42)</f>
        <v>46.380688248424796</v>
      </c>
      <c r="I43" s="47">
        <f>H43*(1+I42)</f>
        <v>47.202624495865237</v>
      </c>
      <c r="J43" s="47">
        <f>I43*(1+J42)</f>
        <v>48.298539492452484</v>
      </c>
      <c r="K43" s="50"/>
      <c r="L43" s="47"/>
      <c r="M43" s="15"/>
    </row>
    <row r="44" spans="1:26">
      <c r="A44" s="50"/>
      <c r="B44" s="50"/>
      <c r="C44" s="50"/>
      <c r="D44" s="50"/>
      <c r="E44" s="51"/>
      <c r="F44" s="51"/>
      <c r="G44" s="51"/>
      <c r="H44" s="51"/>
      <c r="I44" s="51"/>
      <c r="J44" s="51"/>
      <c r="K44" s="51"/>
      <c r="L44" s="27"/>
      <c r="M44" s="15"/>
    </row>
    <row r="45" spans="1:26" ht="21">
      <c r="A45" s="50"/>
      <c r="B45" s="50"/>
      <c r="C45" s="155" t="s">
        <v>69</v>
      </c>
      <c r="D45" s="50"/>
      <c r="E45" s="50"/>
      <c r="F45" s="51"/>
      <c r="G45" s="51"/>
      <c r="H45" s="51"/>
      <c r="I45" s="51"/>
      <c r="J45" s="51"/>
      <c r="K45" s="51"/>
      <c r="L45" s="27"/>
      <c r="M45" s="15"/>
    </row>
    <row r="46" spans="1:26" ht="18">
      <c r="A46" s="50"/>
      <c r="B46" s="50"/>
      <c r="C46" s="50" t="s">
        <v>70</v>
      </c>
      <c r="D46" s="156">
        <f>'Timing Assumptions'!C23</f>
        <v>1.0428084742793051</v>
      </c>
      <c r="E46" s="50"/>
      <c r="F46" s="51"/>
      <c r="G46" s="51"/>
      <c r="H46" s="51"/>
      <c r="I46" s="51"/>
      <c r="J46" s="51"/>
      <c r="K46" s="51"/>
      <c r="L46" s="51"/>
      <c r="M46" s="15"/>
    </row>
    <row r="47" spans="1:26" ht="18">
      <c r="A47" s="50"/>
      <c r="B47" s="50"/>
      <c r="C47" s="50" t="s">
        <v>71</v>
      </c>
      <c r="D47" s="156">
        <f>'Timing Assumptions'!C24</f>
        <v>1.0428084742793051</v>
      </c>
      <c r="E47" s="50"/>
      <c r="F47" s="51"/>
      <c r="G47" s="51"/>
      <c r="H47" s="51"/>
      <c r="I47" s="51"/>
      <c r="J47" s="51"/>
      <c r="K47" s="51"/>
      <c r="L47" s="51"/>
      <c r="M47" s="15"/>
    </row>
    <row r="48" spans="1:26" ht="18">
      <c r="A48" s="50"/>
      <c r="B48" s="50"/>
      <c r="C48" s="50" t="s">
        <v>125</v>
      </c>
      <c r="D48" s="156">
        <f>'Timing Assumptions'!C25</f>
        <v>1.0428084742793051</v>
      </c>
      <c r="E48" s="50"/>
      <c r="F48" s="50"/>
      <c r="G48" s="51"/>
      <c r="H48" s="51"/>
      <c r="I48" s="51"/>
      <c r="J48" s="51"/>
      <c r="K48" s="95"/>
      <c r="L48" s="51"/>
      <c r="M48" s="15"/>
    </row>
    <row r="49" spans="1:16" ht="18">
      <c r="A49" s="50"/>
      <c r="B49" s="50"/>
      <c r="C49" s="50" t="s">
        <v>123</v>
      </c>
      <c r="D49" s="156">
        <f>'Timing Assumptions'!C26</f>
        <v>1.0428084742793051</v>
      </c>
      <c r="E49" s="50"/>
      <c r="F49" s="50"/>
      <c r="G49" s="51"/>
      <c r="H49" s="51"/>
      <c r="I49" s="51"/>
      <c r="J49" s="51"/>
      <c r="K49" s="95"/>
      <c r="L49" s="51"/>
      <c r="M49" s="15"/>
    </row>
    <row r="50" spans="1:16" ht="18">
      <c r="A50" s="50"/>
      <c r="B50" s="50"/>
      <c r="C50" s="50" t="s">
        <v>72</v>
      </c>
      <c r="D50" s="156">
        <f>'Timing Assumptions'!C27</f>
        <v>1.0346743941931567</v>
      </c>
      <c r="E50" s="51"/>
      <c r="F50" s="51"/>
      <c r="G50" s="51"/>
      <c r="H50" s="51"/>
      <c r="I50" s="50"/>
      <c r="J50" s="50"/>
      <c r="K50" s="95"/>
      <c r="L50" s="51"/>
      <c r="M50" s="15"/>
    </row>
    <row r="51" spans="1:16">
      <c r="A51" s="50"/>
      <c r="B51" s="50"/>
      <c r="C51" s="50"/>
      <c r="D51" s="50"/>
      <c r="E51" s="50"/>
      <c r="F51" s="50"/>
      <c r="G51" s="50"/>
      <c r="H51" s="50"/>
      <c r="I51" s="50"/>
      <c r="J51" s="50"/>
      <c r="K51" s="95"/>
      <c r="L51" s="27"/>
      <c r="M51" s="15"/>
    </row>
    <row r="52" spans="1:16" ht="21">
      <c r="A52" s="50"/>
      <c r="B52" s="50"/>
      <c r="C52" s="155" t="s">
        <v>105</v>
      </c>
      <c r="D52" s="155"/>
      <c r="E52" s="155"/>
      <c r="F52" s="155"/>
      <c r="G52" s="155"/>
      <c r="H52" s="155"/>
      <c r="I52" s="155"/>
      <c r="J52" s="155"/>
      <c r="K52" s="155"/>
      <c r="L52" s="157"/>
      <c r="M52" s="52"/>
      <c r="N52" s="2"/>
      <c r="O52" s="2"/>
      <c r="P52" s="2"/>
    </row>
    <row r="53" spans="1:16" ht="15.75">
      <c r="A53" s="50"/>
      <c r="B53" s="50"/>
      <c r="C53" s="158" t="s">
        <v>37</v>
      </c>
      <c r="D53" s="50"/>
      <c r="E53" s="159">
        <f>Inputs!D12</f>
        <v>0.3</v>
      </c>
      <c r="F53" s="159">
        <f>Inputs!E12</f>
        <v>0.3</v>
      </c>
      <c r="G53" s="159">
        <f>Inputs!F12</f>
        <v>0.28000000000000003</v>
      </c>
      <c r="H53" s="159">
        <f>Inputs!G12</f>
        <v>0.28000000000000003</v>
      </c>
      <c r="I53" s="159">
        <f>Inputs!H12</f>
        <v>0.28000000000000003</v>
      </c>
      <c r="J53" s="159">
        <f>Inputs!I12</f>
        <v>0.28000000000000003</v>
      </c>
      <c r="K53" s="95"/>
      <c r="L53" s="50"/>
      <c r="M53" s="15"/>
    </row>
    <row r="54" spans="1:16">
      <c r="A54" s="50"/>
      <c r="B54" s="50"/>
      <c r="C54" s="50" t="s">
        <v>38</v>
      </c>
      <c r="D54" s="50"/>
      <c r="E54" s="160">
        <f>E11/E14</f>
        <v>29.905650279109178</v>
      </c>
      <c r="F54" s="161">
        <f>E54-1</f>
        <v>28.905650279109178</v>
      </c>
      <c r="G54" s="161">
        <f>F54-1</f>
        <v>27.905650279109178</v>
      </c>
      <c r="H54" s="161">
        <f>G54-1</f>
        <v>26.905650279109178</v>
      </c>
      <c r="I54" s="161">
        <f>H54-1</f>
        <v>25.905650279109178</v>
      </c>
      <c r="J54" s="161">
        <f>I54-1</f>
        <v>24.905650279109178</v>
      </c>
      <c r="K54" s="95"/>
      <c r="L54" s="50"/>
      <c r="M54" s="15"/>
    </row>
    <row r="55" spans="1:16">
      <c r="A55" s="50"/>
      <c r="B55" s="50"/>
      <c r="C55" s="50" t="s">
        <v>159</v>
      </c>
      <c r="D55" s="50"/>
      <c r="E55" s="156"/>
      <c r="F55" s="49">
        <f>F34</f>
        <v>4.4667274384685429E-2</v>
      </c>
      <c r="G55" s="49">
        <f>G34</f>
        <v>1.5706806282722585E-2</v>
      </c>
      <c r="H55" s="49">
        <f>H34</f>
        <v>1.8041237113401998E-2</v>
      </c>
      <c r="I55" s="49">
        <f>I34</f>
        <v>1.7721518987341867E-2</v>
      </c>
      <c r="J55" s="49">
        <f>J34</f>
        <v>2.3217247097844007E-2</v>
      </c>
      <c r="K55" s="95"/>
      <c r="L55" s="50"/>
      <c r="M55" s="15"/>
    </row>
    <row r="56" spans="1:16">
      <c r="A56" s="50"/>
      <c r="B56" s="50"/>
      <c r="C56" s="50" t="s">
        <v>40</v>
      </c>
      <c r="D56" s="50"/>
      <c r="E56" s="129">
        <f>E15</f>
        <v>168.12794537129605</v>
      </c>
      <c r="F56" s="32">
        <f>E56*(1+F55)</f>
        <v>175.63776243892914</v>
      </c>
      <c r="G56" s="32">
        <f>F56*(1+G55)</f>
        <v>178.39647074948826</v>
      </c>
      <c r="H56" s="32">
        <f>G56*(1+H55)</f>
        <v>181.61496377847385</v>
      </c>
      <c r="I56" s="32">
        <f>H56*(1+I55)</f>
        <v>184.83345680745947</v>
      </c>
      <c r="J56" s="32">
        <f>I56*(1+J55)</f>
        <v>189.12478084610694</v>
      </c>
      <c r="K56" s="95"/>
      <c r="L56" s="50"/>
      <c r="M56" s="15"/>
    </row>
    <row r="57" spans="1:16">
      <c r="A57" s="50"/>
      <c r="B57" s="50"/>
      <c r="C57" s="50"/>
      <c r="D57" s="122"/>
      <c r="E57" s="50"/>
      <c r="F57" s="50"/>
      <c r="G57" s="50"/>
      <c r="H57" s="50"/>
      <c r="I57" s="50"/>
      <c r="J57" s="50"/>
      <c r="K57" s="95"/>
      <c r="L57" s="27"/>
      <c r="M57" s="15"/>
    </row>
    <row r="58" spans="1:16" ht="15.75">
      <c r="A58" s="50"/>
      <c r="B58" s="50"/>
      <c r="C58" s="162" t="s">
        <v>89</v>
      </c>
      <c r="D58" s="32"/>
      <c r="E58" s="163" t="str">
        <f>Inputs!D11</f>
        <v>2009/10</v>
      </c>
      <c r="F58" s="163" t="str">
        <f>Inputs!E11</f>
        <v>2010/11</v>
      </c>
      <c r="G58" s="163" t="str">
        <f>Inputs!F11</f>
        <v>2011/12</v>
      </c>
      <c r="H58" s="163" t="str">
        <f>Inputs!G11</f>
        <v>2012/13</v>
      </c>
      <c r="I58" s="163" t="str">
        <f>Inputs!H11</f>
        <v>2013/14</v>
      </c>
      <c r="J58" s="163" t="str">
        <f>Inputs!I11</f>
        <v>2014/15</v>
      </c>
      <c r="K58" s="95"/>
      <c r="L58" s="27"/>
      <c r="M58" s="15"/>
    </row>
    <row r="59" spans="1:16">
      <c r="A59" s="50"/>
      <c r="B59" s="50"/>
      <c r="C59" s="50" t="s">
        <v>110</v>
      </c>
      <c r="D59" s="50"/>
      <c r="E59" s="129">
        <f>E11</f>
        <v>168527.97435947764</v>
      </c>
      <c r="F59" s="32">
        <f>E65</f>
        <v>165628.18650998842</v>
      </c>
      <c r="G59" s="32">
        <f>F65</f>
        <v>162997.2890039511</v>
      </c>
      <c r="H59" s="32">
        <f>G65</f>
        <v>160936.90378478428</v>
      </c>
      <c r="I59" s="32">
        <f>H65</f>
        <v>158450.28794881073</v>
      </c>
      <c r="J59" s="32">
        <f>I65</f>
        <v>155539.87902893469</v>
      </c>
      <c r="K59" s="95"/>
      <c r="L59" s="50"/>
      <c r="M59" s="15"/>
    </row>
    <row r="60" spans="1:16">
      <c r="A60" s="50"/>
      <c r="B60" s="50"/>
      <c r="C60" s="50" t="s">
        <v>40</v>
      </c>
      <c r="D60" s="32"/>
      <c r="E60" s="32">
        <f t="shared" ref="E60:J60" si="3">E56</f>
        <v>168.12794537129605</v>
      </c>
      <c r="F60" s="32">
        <f t="shared" si="3"/>
        <v>175.63776243892914</v>
      </c>
      <c r="G60" s="32">
        <f t="shared" si="3"/>
        <v>178.39647074948826</v>
      </c>
      <c r="H60" s="32">
        <f t="shared" si="3"/>
        <v>181.61496377847385</v>
      </c>
      <c r="I60" s="32">
        <f t="shared" si="3"/>
        <v>184.83345680745947</v>
      </c>
      <c r="J60" s="32">
        <f t="shared" si="3"/>
        <v>189.12478084610694</v>
      </c>
      <c r="K60" s="95"/>
      <c r="L60" s="50"/>
      <c r="M60" s="15"/>
    </row>
    <row r="61" spans="1:16">
      <c r="A61" s="50"/>
      <c r="B61" s="50"/>
      <c r="C61" s="50" t="s">
        <v>312</v>
      </c>
      <c r="D61" s="32"/>
      <c r="E61" s="32">
        <f>TLC!E12</f>
        <v>0</v>
      </c>
      <c r="F61" s="95"/>
      <c r="G61" s="95"/>
      <c r="H61" s="95"/>
      <c r="I61" s="95"/>
      <c r="J61" s="95"/>
      <c r="K61" s="95"/>
      <c r="L61" s="50"/>
      <c r="M61" s="15"/>
    </row>
    <row r="62" spans="1:16">
      <c r="A62" s="50"/>
      <c r="B62" s="50"/>
      <c r="C62" s="50" t="s">
        <v>313</v>
      </c>
      <c r="D62" s="32"/>
      <c r="E62" s="32">
        <f>TLC!E13</f>
        <v>5.0783199999999997</v>
      </c>
      <c r="F62" s="95"/>
      <c r="G62" s="95"/>
      <c r="H62" s="95"/>
      <c r="I62" s="95"/>
      <c r="J62" s="95"/>
      <c r="K62" s="95"/>
      <c r="L62" s="50"/>
      <c r="M62" s="15"/>
    </row>
    <row r="63" spans="1:16">
      <c r="A63" s="50"/>
      <c r="B63" s="50"/>
      <c r="C63" s="50" t="s">
        <v>41</v>
      </c>
      <c r="D63" s="50"/>
      <c r="E63" s="32">
        <f t="shared" ref="E63:J63" si="4">(E59*0.999-E60)*E41</f>
        <v>2898.5839570286976</v>
      </c>
      <c r="F63" s="32">
        <f t="shared" si="4"/>
        <v>3274.6991021879735</v>
      </c>
      <c r="G63" s="32">
        <f t="shared" si="4"/>
        <v>3959.0250740047031</v>
      </c>
      <c r="H63" s="32">
        <f t="shared" si="4"/>
        <v>3676.5272497898736</v>
      </c>
      <c r="I63" s="32">
        <f t="shared" si="4"/>
        <v>3390.8619257503424</v>
      </c>
      <c r="J63" s="32">
        <f t="shared" si="4"/>
        <v>3103.9042873811954</v>
      </c>
      <c r="K63" s="95"/>
      <c r="L63" s="50"/>
      <c r="M63" s="15"/>
    </row>
    <row r="64" spans="1:16">
      <c r="A64" s="50"/>
      <c r="B64" s="50"/>
      <c r="C64" s="50" t="s">
        <v>42</v>
      </c>
      <c r="D64" s="50"/>
      <c r="E64" s="129">
        <f>E14</f>
        <v>5635.3221811466228</v>
      </c>
      <c r="F64" s="32">
        <f>F59/F54</f>
        <v>5729.9588457863538</v>
      </c>
      <c r="G64" s="32">
        <f>G59/G54</f>
        <v>5841.0138224220018</v>
      </c>
      <c r="H64" s="32">
        <f>H59/H54</f>
        <v>5981.5281219849694</v>
      </c>
      <c r="I64" s="32">
        <f>I59/I54</f>
        <v>6116.437388818922</v>
      </c>
      <c r="J64" s="32">
        <f>J59/J54</f>
        <v>6245.1643416595034</v>
      </c>
      <c r="K64" s="95"/>
      <c r="L64" s="50"/>
      <c r="M64" s="15"/>
    </row>
    <row r="65" spans="1:13">
      <c r="A65" s="50"/>
      <c r="B65" s="50"/>
      <c r="C65" s="50" t="s">
        <v>43</v>
      </c>
      <c r="D65" s="50"/>
      <c r="E65" s="129">
        <f>E59-E60-E61+E62+E63-E64</f>
        <v>165628.18650998842</v>
      </c>
      <c r="F65" s="32">
        <f>F59-F60+F63-F64</f>
        <v>162997.2890039511</v>
      </c>
      <c r="G65" s="32">
        <f>G59-G60+G63-G64</f>
        <v>160936.90378478428</v>
      </c>
      <c r="H65" s="32">
        <f>H59-H60+H63-H64</f>
        <v>158450.28794881073</v>
      </c>
      <c r="I65" s="32">
        <f>I59-I60+I63-I64</f>
        <v>155539.87902893469</v>
      </c>
      <c r="J65" s="32">
        <f>J59-J60+J63-J64</f>
        <v>152209.49419381027</v>
      </c>
      <c r="K65" s="95"/>
      <c r="L65" s="50"/>
      <c r="M65" s="15"/>
    </row>
    <row r="66" spans="1:13">
      <c r="A66" s="50"/>
      <c r="B66" s="50"/>
      <c r="C66" s="50"/>
      <c r="D66" s="50"/>
      <c r="E66" s="50"/>
      <c r="F66" s="50"/>
      <c r="G66" s="50"/>
      <c r="H66" s="50"/>
      <c r="I66" s="50"/>
      <c r="J66" s="50"/>
      <c r="K66" s="95"/>
      <c r="L66" s="27"/>
      <c r="M66" s="15"/>
    </row>
    <row r="67" spans="1:13" ht="15.75">
      <c r="A67" s="50"/>
      <c r="B67" s="50"/>
      <c r="C67" s="162" t="s">
        <v>67</v>
      </c>
      <c r="D67" s="50"/>
      <c r="E67" s="162" t="str">
        <f>Inputs!D$11</f>
        <v>2009/10</v>
      </c>
      <c r="F67" s="162" t="str">
        <f>Inputs!E$11</f>
        <v>2010/11</v>
      </c>
      <c r="G67" s="162" t="str">
        <f>Inputs!F$11</f>
        <v>2011/12</v>
      </c>
      <c r="H67" s="162" t="str">
        <f>Inputs!G$11</f>
        <v>2012/13</v>
      </c>
      <c r="I67" s="162" t="str">
        <f>Inputs!H$11</f>
        <v>2013/14</v>
      </c>
      <c r="J67" s="162" t="str">
        <f>Inputs!I$11</f>
        <v>2014/15</v>
      </c>
      <c r="K67" s="95"/>
      <c r="L67" s="27"/>
      <c r="M67" s="15"/>
    </row>
    <row r="68" spans="1:13">
      <c r="A68" s="50"/>
      <c r="B68" s="50"/>
      <c r="C68" s="164" t="s">
        <v>60</v>
      </c>
      <c r="D68" s="50"/>
      <c r="E68" s="192">
        <v>1</v>
      </c>
      <c r="F68" s="164">
        <f>E68+1</f>
        <v>2</v>
      </c>
      <c r="G68" s="164">
        <f>F68+1</f>
        <v>3</v>
      </c>
      <c r="H68" s="164">
        <f>G68+1</f>
        <v>4</v>
      </c>
      <c r="I68" s="164">
        <f>H68+1</f>
        <v>5</v>
      </c>
      <c r="J68" s="164">
        <f>I68+1</f>
        <v>6</v>
      </c>
      <c r="K68" s="95"/>
      <c r="L68" s="27"/>
      <c r="M68" s="15"/>
    </row>
    <row r="69" spans="1:13">
      <c r="A69" s="50"/>
      <c r="B69" s="50"/>
      <c r="C69" s="50" t="s">
        <v>39</v>
      </c>
      <c r="D69" s="32"/>
      <c r="E69" s="32">
        <f t="shared" ref="E69:J69" si="5">E$29</f>
        <v>6682.0266626839202</v>
      </c>
      <c r="F69" s="32">
        <f t="shared" si="5"/>
        <v>8464.4550466451528</v>
      </c>
      <c r="G69" s="32">
        <f t="shared" si="5"/>
        <v>8018.6955095262529</v>
      </c>
      <c r="H69" s="32">
        <f t="shared" si="5"/>
        <v>8470.9218723328486</v>
      </c>
      <c r="I69" s="32">
        <f t="shared" si="5"/>
        <v>9056.877071977322</v>
      </c>
      <c r="J69" s="32">
        <f t="shared" si="5"/>
        <v>8497.6486143962611</v>
      </c>
      <c r="K69" s="95"/>
      <c r="L69" s="50"/>
      <c r="M69" s="15"/>
    </row>
    <row r="70" spans="1:13">
      <c r="A70" s="50">
        <v>1</v>
      </c>
      <c r="B70" s="50"/>
      <c r="C70" s="50" t="s">
        <v>254</v>
      </c>
      <c r="D70" s="50"/>
      <c r="E70" s="129">
        <v>0</v>
      </c>
      <c r="F70" s="32">
        <f t="shared" ref="F70:J75" si="6">E94</f>
        <v>6682.0266626839202</v>
      </c>
      <c r="G70" s="32">
        <f t="shared" si="6"/>
        <v>6665.9228935954243</v>
      </c>
      <c r="H70" s="32">
        <f t="shared" si="6"/>
        <v>6676.6724135324084</v>
      </c>
      <c r="I70" s="32">
        <f t="shared" si="6"/>
        <v>6674.2517178456565</v>
      </c>
      <c r="J70" s="32">
        <f t="shared" si="6"/>
        <v>6658.4811489323756</v>
      </c>
      <c r="K70" s="95"/>
      <c r="L70" s="50"/>
      <c r="M70" s="15"/>
    </row>
    <row r="71" spans="1:13">
      <c r="A71" s="50">
        <v>2</v>
      </c>
      <c r="B71" s="50"/>
      <c r="C71" s="50" t="s">
        <v>255</v>
      </c>
      <c r="D71" s="50"/>
      <c r="E71" s="129">
        <v>0</v>
      </c>
      <c r="F71" s="32">
        <f t="shared" si="6"/>
        <v>0</v>
      </c>
      <c r="G71" s="32">
        <f t="shared" si="6"/>
        <v>8464.4550466451528</v>
      </c>
      <c r="H71" s="32">
        <f t="shared" si="6"/>
        <v>8482.3798710416868</v>
      </c>
      <c r="I71" s="32">
        <f t="shared" si="6"/>
        <v>8483.7877851559515</v>
      </c>
      <c r="J71" s="32">
        <f t="shared" si="6"/>
        <v>8468.4390259324646</v>
      </c>
      <c r="K71" s="95"/>
      <c r="L71" s="50"/>
      <c r="M71" s="15"/>
    </row>
    <row r="72" spans="1:13">
      <c r="A72" s="50">
        <v>3</v>
      </c>
      <c r="B72" s="50"/>
      <c r="C72" s="50" t="s">
        <v>256</v>
      </c>
      <c r="D72" s="50"/>
      <c r="E72" s="129">
        <v>0</v>
      </c>
      <c r="F72" s="32">
        <f t="shared" si="6"/>
        <v>0</v>
      </c>
      <c r="G72" s="32">
        <f t="shared" si="6"/>
        <v>0</v>
      </c>
      <c r="H72" s="32">
        <f t="shared" si="6"/>
        <v>8018.6955095262529</v>
      </c>
      <c r="I72" s="32">
        <f t="shared" si="6"/>
        <v>8024.0763070513658</v>
      </c>
      <c r="J72" s="32">
        <f t="shared" si="6"/>
        <v>8013.8003070237137</v>
      </c>
      <c r="K72" s="95"/>
      <c r="L72" s="50"/>
      <c r="M72" s="15"/>
    </row>
    <row r="73" spans="1:13">
      <c r="A73" s="50">
        <v>4</v>
      </c>
      <c r="B73" s="50"/>
      <c r="C73" s="50" t="s">
        <v>257</v>
      </c>
      <c r="D73" s="50"/>
      <c r="E73" s="129">
        <v>0</v>
      </c>
      <c r="F73" s="32">
        <f t="shared" si="6"/>
        <v>0</v>
      </c>
      <c r="G73" s="32">
        <f t="shared" si="6"/>
        <v>0</v>
      </c>
      <c r="H73" s="32">
        <f t="shared" si="6"/>
        <v>0</v>
      </c>
      <c r="I73" s="32">
        <f t="shared" si="6"/>
        <v>8470.9218723328486</v>
      </c>
      <c r="J73" s="32">
        <f t="shared" si="6"/>
        <v>8464.3518647560177</v>
      </c>
      <c r="K73" s="95"/>
      <c r="L73" s="50"/>
      <c r="M73" s="15"/>
    </row>
    <row r="74" spans="1:13">
      <c r="A74" s="50">
        <v>5</v>
      </c>
      <c r="B74" s="50"/>
      <c r="C74" s="50" t="s">
        <v>258</v>
      </c>
      <c r="D74" s="50"/>
      <c r="E74" s="129">
        <v>0</v>
      </c>
      <c r="F74" s="32">
        <f t="shared" si="6"/>
        <v>0</v>
      </c>
      <c r="G74" s="32">
        <f t="shared" si="6"/>
        <v>0</v>
      </c>
      <c r="H74" s="32">
        <f t="shared" si="6"/>
        <v>0</v>
      </c>
      <c r="I74" s="32">
        <f t="shared" si="6"/>
        <v>0</v>
      </c>
      <c r="J74" s="32">
        <f t="shared" si="6"/>
        <v>9056.877071977322</v>
      </c>
      <c r="K74" s="95"/>
      <c r="L74" s="50"/>
      <c r="M74" s="15"/>
    </row>
    <row r="75" spans="1:13">
      <c r="A75" s="50">
        <v>6</v>
      </c>
      <c r="B75" s="50"/>
      <c r="C75" s="50" t="s">
        <v>259</v>
      </c>
      <c r="D75" s="50"/>
      <c r="E75" s="129">
        <v>0</v>
      </c>
      <c r="F75" s="32">
        <f t="shared" si="6"/>
        <v>0</v>
      </c>
      <c r="G75" s="32">
        <f t="shared" si="6"/>
        <v>0</v>
      </c>
      <c r="H75" s="32">
        <f t="shared" si="6"/>
        <v>0</v>
      </c>
      <c r="I75" s="32">
        <f t="shared" si="6"/>
        <v>0</v>
      </c>
      <c r="J75" s="32">
        <f t="shared" si="6"/>
        <v>0</v>
      </c>
      <c r="K75" s="95"/>
      <c r="L75" s="50"/>
      <c r="M75" s="15"/>
    </row>
    <row r="76" spans="1:13">
      <c r="A76" s="50">
        <v>1</v>
      </c>
      <c r="B76" s="50"/>
      <c r="C76" s="50" t="s">
        <v>236</v>
      </c>
      <c r="D76" s="50"/>
      <c r="E76" s="129">
        <f>Inputs!$C$7+$A76</f>
        <v>46</v>
      </c>
      <c r="F76" s="32">
        <f t="shared" ref="F76:J81" si="7">E76-1</f>
        <v>45</v>
      </c>
      <c r="G76" s="32">
        <f t="shared" si="7"/>
        <v>44</v>
      </c>
      <c r="H76" s="32">
        <f t="shared" si="7"/>
        <v>43</v>
      </c>
      <c r="I76" s="32">
        <f t="shared" si="7"/>
        <v>42</v>
      </c>
      <c r="J76" s="32">
        <f t="shared" si="7"/>
        <v>41</v>
      </c>
      <c r="K76" s="95"/>
      <c r="L76" s="50"/>
      <c r="M76" s="15"/>
    </row>
    <row r="77" spans="1:13">
      <c r="A77" s="50">
        <v>2</v>
      </c>
      <c r="B77" s="50"/>
      <c r="C77" s="50" t="s">
        <v>237</v>
      </c>
      <c r="D77" s="50"/>
      <c r="E77" s="129">
        <f>Inputs!$C$7+$A77</f>
        <v>47</v>
      </c>
      <c r="F77" s="32">
        <f t="shared" si="7"/>
        <v>46</v>
      </c>
      <c r="G77" s="32">
        <f t="shared" si="7"/>
        <v>45</v>
      </c>
      <c r="H77" s="32">
        <f t="shared" si="7"/>
        <v>44</v>
      </c>
      <c r="I77" s="32">
        <f t="shared" si="7"/>
        <v>43</v>
      </c>
      <c r="J77" s="32">
        <f t="shared" si="7"/>
        <v>42</v>
      </c>
      <c r="K77" s="95"/>
      <c r="L77" s="50"/>
      <c r="M77" s="15"/>
    </row>
    <row r="78" spans="1:13">
      <c r="A78" s="50">
        <v>3</v>
      </c>
      <c r="B78" s="50"/>
      <c r="C78" s="50" t="s">
        <v>238</v>
      </c>
      <c r="D78" s="50"/>
      <c r="E78" s="129">
        <f>Inputs!$C$7+$A78</f>
        <v>48</v>
      </c>
      <c r="F78" s="32">
        <f t="shared" si="7"/>
        <v>47</v>
      </c>
      <c r="G78" s="32">
        <f t="shared" si="7"/>
        <v>46</v>
      </c>
      <c r="H78" s="32">
        <f t="shared" si="7"/>
        <v>45</v>
      </c>
      <c r="I78" s="32">
        <f t="shared" si="7"/>
        <v>44</v>
      </c>
      <c r="J78" s="32">
        <f t="shared" si="7"/>
        <v>43</v>
      </c>
      <c r="K78" s="95"/>
      <c r="L78" s="50"/>
      <c r="M78" s="15"/>
    </row>
    <row r="79" spans="1:13">
      <c r="A79" s="50">
        <v>4</v>
      </c>
      <c r="B79" s="50"/>
      <c r="C79" s="50" t="s">
        <v>239</v>
      </c>
      <c r="D79" s="50"/>
      <c r="E79" s="129">
        <f>Inputs!$C$7+$A79</f>
        <v>49</v>
      </c>
      <c r="F79" s="32">
        <f t="shared" si="7"/>
        <v>48</v>
      </c>
      <c r="G79" s="32">
        <f t="shared" si="7"/>
        <v>47</v>
      </c>
      <c r="H79" s="32">
        <f t="shared" si="7"/>
        <v>46</v>
      </c>
      <c r="I79" s="32">
        <f t="shared" si="7"/>
        <v>45</v>
      </c>
      <c r="J79" s="32">
        <f t="shared" si="7"/>
        <v>44</v>
      </c>
      <c r="K79" s="95"/>
      <c r="L79" s="50"/>
      <c r="M79" s="15"/>
    </row>
    <row r="80" spans="1:13">
      <c r="A80" s="50">
        <v>5</v>
      </c>
      <c r="B80" s="50"/>
      <c r="C80" s="50" t="s">
        <v>240</v>
      </c>
      <c r="D80" s="50"/>
      <c r="E80" s="129">
        <f>Inputs!$C$7+$A80</f>
        <v>50</v>
      </c>
      <c r="F80" s="32">
        <f t="shared" si="7"/>
        <v>49</v>
      </c>
      <c r="G80" s="32">
        <f t="shared" si="7"/>
        <v>48</v>
      </c>
      <c r="H80" s="32">
        <f t="shared" si="7"/>
        <v>47</v>
      </c>
      <c r="I80" s="32">
        <f t="shared" si="7"/>
        <v>46</v>
      </c>
      <c r="J80" s="32">
        <f t="shared" si="7"/>
        <v>45</v>
      </c>
      <c r="K80" s="95"/>
      <c r="L80" s="50"/>
      <c r="M80" s="15"/>
    </row>
    <row r="81" spans="1:13">
      <c r="A81" s="50">
        <v>6</v>
      </c>
      <c r="B81" s="50"/>
      <c r="C81" s="50" t="s">
        <v>241</v>
      </c>
      <c r="D81" s="50"/>
      <c r="E81" s="129">
        <f>Inputs!$C$7+$A81</f>
        <v>51</v>
      </c>
      <c r="F81" s="32">
        <f t="shared" si="7"/>
        <v>50</v>
      </c>
      <c r="G81" s="32">
        <f t="shared" si="7"/>
        <v>49</v>
      </c>
      <c r="H81" s="32">
        <f t="shared" si="7"/>
        <v>48</v>
      </c>
      <c r="I81" s="32">
        <f t="shared" si="7"/>
        <v>47</v>
      </c>
      <c r="J81" s="32">
        <f t="shared" si="7"/>
        <v>46</v>
      </c>
      <c r="K81" s="95"/>
      <c r="L81" s="50"/>
      <c r="M81" s="15"/>
    </row>
    <row r="82" spans="1:13">
      <c r="A82" s="50">
        <v>1</v>
      </c>
      <c r="B82" s="50"/>
      <c r="C82" s="50" t="s">
        <v>260</v>
      </c>
      <c r="D82" s="50"/>
      <c r="E82" s="32">
        <f t="shared" ref="E82:J87" si="8">E70*E$41</f>
        <v>0</v>
      </c>
      <c r="F82" s="32">
        <f t="shared" si="8"/>
        <v>132.38571230447951</v>
      </c>
      <c r="G82" s="32">
        <f t="shared" si="8"/>
        <v>162.24776751869797</v>
      </c>
      <c r="H82" s="32">
        <f t="shared" si="8"/>
        <v>152.85075579074569</v>
      </c>
      <c r="I82" s="32">
        <f t="shared" si="8"/>
        <v>143.14018627352053</v>
      </c>
      <c r="J82" s="32">
        <f t="shared" si="8"/>
        <v>133.16962297864762</v>
      </c>
      <c r="K82" s="95"/>
      <c r="L82" s="50"/>
      <c r="M82" s="15"/>
    </row>
    <row r="83" spans="1:13">
      <c r="A83" s="50">
        <v>2</v>
      </c>
      <c r="B83" s="50"/>
      <c r="C83" s="50" t="s">
        <v>261</v>
      </c>
      <c r="D83" s="50"/>
      <c r="E83" s="32">
        <f t="shared" si="8"/>
        <v>0</v>
      </c>
      <c r="F83" s="32">
        <f t="shared" si="8"/>
        <v>0</v>
      </c>
      <c r="G83" s="32">
        <f t="shared" si="8"/>
        <v>206.02382543309159</v>
      </c>
      <c r="H83" s="32">
        <f t="shared" si="8"/>
        <v>194.18927481975618</v>
      </c>
      <c r="I83" s="32">
        <f t="shared" si="8"/>
        <v>181.9486311289771</v>
      </c>
      <c r="J83" s="32">
        <f t="shared" si="8"/>
        <v>169.36878051864943</v>
      </c>
      <c r="K83" s="95"/>
      <c r="L83" s="50"/>
      <c r="M83" s="15"/>
    </row>
    <row r="84" spans="1:13">
      <c r="A84" s="50">
        <v>3</v>
      </c>
      <c r="B84" s="50"/>
      <c r="C84" s="50" t="s">
        <v>262</v>
      </c>
      <c r="D84" s="50"/>
      <c r="E84" s="32">
        <f t="shared" si="8"/>
        <v>0</v>
      </c>
      <c r="F84" s="32">
        <f t="shared" si="8"/>
        <v>0</v>
      </c>
      <c r="G84" s="32">
        <f t="shared" si="8"/>
        <v>0</v>
      </c>
      <c r="H84" s="32">
        <f t="shared" si="8"/>
        <v>183.57403107014019</v>
      </c>
      <c r="I84" s="32">
        <f t="shared" si="8"/>
        <v>172.08937058715173</v>
      </c>
      <c r="J84" s="32">
        <f t="shared" si="8"/>
        <v>160.27600614047441</v>
      </c>
      <c r="K84" s="95"/>
      <c r="L84" s="50"/>
      <c r="M84" s="15"/>
    </row>
    <row r="85" spans="1:13">
      <c r="A85" s="50">
        <v>4</v>
      </c>
      <c r="B85" s="50"/>
      <c r="C85" s="50" t="s">
        <v>263</v>
      </c>
      <c r="D85" s="50"/>
      <c r="E85" s="32">
        <f t="shared" si="8"/>
        <v>0</v>
      </c>
      <c r="F85" s="32">
        <f t="shared" si="8"/>
        <v>0</v>
      </c>
      <c r="G85" s="32">
        <f t="shared" si="8"/>
        <v>0</v>
      </c>
      <c r="H85" s="32">
        <f t="shared" si="8"/>
        <v>0</v>
      </c>
      <c r="I85" s="32">
        <f t="shared" si="8"/>
        <v>181.67270069723244</v>
      </c>
      <c r="J85" s="32">
        <f t="shared" si="8"/>
        <v>169.28703729512051</v>
      </c>
      <c r="K85" s="95"/>
      <c r="L85" s="50"/>
      <c r="M85" s="15"/>
    </row>
    <row r="86" spans="1:13">
      <c r="A86" s="50">
        <v>5</v>
      </c>
      <c r="B86" s="50"/>
      <c r="C86" s="50" t="s">
        <v>264</v>
      </c>
      <c r="D86" s="50"/>
      <c r="E86" s="32">
        <f t="shared" si="8"/>
        <v>0</v>
      </c>
      <c r="F86" s="32">
        <f t="shared" si="8"/>
        <v>0</v>
      </c>
      <c r="G86" s="32">
        <f t="shared" si="8"/>
        <v>0</v>
      </c>
      <c r="H86" s="32">
        <f t="shared" si="8"/>
        <v>0</v>
      </c>
      <c r="I86" s="32">
        <f t="shared" si="8"/>
        <v>0</v>
      </c>
      <c r="J86" s="32">
        <f t="shared" si="8"/>
        <v>181.1375414395466</v>
      </c>
      <c r="K86" s="95"/>
      <c r="L86" s="50"/>
      <c r="M86" s="15"/>
    </row>
    <row r="87" spans="1:13">
      <c r="A87" s="50">
        <v>6</v>
      </c>
      <c r="B87" s="50"/>
      <c r="C87" s="50" t="s">
        <v>265</v>
      </c>
      <c r="D87" s="50"/>
      <c r="E87" s="32">
        <f t="shared" si="8"/>
        <v>0</v>
      </c>
      <c r="F87" s="32">
        <f t="shared" si="8"/>
        <v>0</v>
      </c>
      <c r="G87" s="32">
        <f t="shared" si="8"/>
        <v>0</v>
      </c>
      <c r="H87" s="32">
        <f t="shared" si="8"/>
        <v>0</v>
      </c>
      <c r="I87" s="32">
        <f t="shared" si="8"/>
        <v>0</v>
      </c>
      <c r="J87" s="32">
        <f t="shared" si="8"/>
        <v>0</v>
      </c>
      <c r="K87" s="95"/>
      <c r="L87" s="50"/>
      <c r="M87" s="15"/>
    </row>
    <row r="88" spans="1:13">
      <c r="A88" s="50">
        <v>1</v>
      </c>
      <c r="B88" s="50"/>
      <c r="C88" s="50" t="s">
        <v>266</v>
      </c>
      <c r="D88" s="50"/>
      <c r="E88" s="32">
        <f t="shared" ref="E88:J93" si="9">E70/E76</f>
        <v>0</v>
      </c>
      <c r="F88" s="32">
        <f t="shared" si="9"/>
        <v>148.48948139297602</v>
      </c>
      <c r="G88" s="32">
        <f t="shared" si="9"/>
        <v>151.4982475817142</v>
      </c>
      <c r="H88" s="32">
        <f t="shared" si="9"/>
        <v>155.27145147749786</v>
      </c>
      <c r="I88" s="32">
        <f t="shared" si="9"/>
        <v>158.91075518680134</v>
      </c>
      <c r="J88" s="32">
        <f t="shared" si="9"/>
        <v>162.40197924225308</v>
      </c>
      <c r="K88" s="95"/>
      <c r="L88" s="50"/>
      <c r="M88" s="15"/>
    </row>
    <row r="89" spans="1:13">
      <c r="A89" s="50">
        <v>2</v>
      </c>
      <c r="B89" s="50"/>
      <c r="C89" s="50" t="s">
        <v>267</v>
      </c>
      <c r="D89" s="50"/>
      <c r="E89" s="32">
        <f t="shared" si="9"/>
        <v>0</v>
      </c>
      <c r="F89" s="32">
        <f t="shared" si="9"/>
        <v>0</v>
      </c>
      <c r="G89" s="32">
        <f t="shared" si="9"/>
        <v>188.09900103655895</v>
      </c>
      <c r="H89" s="32">
        <f t="shared" si="9"/>
        <v>192.78136070549289</v>
      </c>
      <c r="I89" s="32">
        <f t="shared" si="9"/>
        <v>197.29739035246399</v>
      </c>
      <c r="J89" s="32">
        <f t="shared" si="9"/>
        <v>201.62950061743965</v>
      </c>
      <c r="K89" s="95"/>
      <c r="L89" s="50"/>
      <c r="M89" s="15"/>
    </row>
    <row r="90" spans="1:13">
      <c r="A90" s="50">
        <v>3</v>
      </c>
      <c r="B90" s="50"/>
      <c r="C90" s="50" t="s">
        <v>268</v>
      </c>
      <c r="D90" s="50"/>
      <c r="E90" s="32">
        <f t="shared" si="9"/>
        <v>0</v>
      </c>
      <c r="F90" s="32">
        <f t="shared" si="9"/>
        <v>0</v>
      </c>
      <c r="G90" s="32">
        <f t="shared" si="9"/>
        <v>0</v>
      </c>
      <c r="H90" s="32">
        <f t="shared" si="9"/>
        <v>178.19323354502785</v>
      </c>
      <c r="I90" s="32">
        <f t="shared" si="9"/>
        <v>182.36537061480377</v>
      </c>
      <c r="J90" s="32">
        <f t="shared" si="9"/>
        <v>186.36744900055149</v>
      </c>
      <c r="K90" s="95"/>
      <c r="L90" s="50"/>
      <c r="M90" s="15"/>
    </row>
    <row r="91" spans="1:13">
      <c r="A91" s="50">
        <v>4</v>
      </c>
      <c r="B91" s="50"/>
      <c r="C91" s="50" t="s">
        <v>269</v>
      </c>
      <c r="D91" s="50"/>
      <c r="E91" s="32">
        <f t="shared" si="9"/>
        <v>0</v>
      </c>
      <c r="F91" s="32">
        <f t="shared" si="9"/>
        <v>0</v>
      </c>
      <c r="G91" s="32">
        <f t="shared" si="9"/>
        <v>0</v>
      </c>
      <c r="H91" s="32">
        <f t="shared" si="9"/>
        <v>0</v>
      </c>
      <c r="I91" s="32">
        <f t="shared" si="9"/>
        <v>188.24270827406329</v>
      </c>
      <c r="J91" s="32">
        <f t="shared" si="9"/>
        <v>192.37163328990948</v>
      </c>
      <c r="K91" s="95"/>
      <c r="L91" s="50"/>
      <c r="M91" s="15"/>
    </row>
    <row r="92" spans="1:13">
      <c r="A92" s="50">
        <v>5</v>
      </c>
      <c r="B92" s="50"/>
      <c r="C92" s="50" t="s">
        <v>270</v>
      </c>
      <c r="D92" s="50"/>
      <c r="E92" s="32">
        <f t="shared" si="9"/>
        <v>0</v>
      </c>
      <c r="F92" s="32">
        <f t="shared" si="9"/>
        <v>0</v>
      </c>
      <c r="G92" s="32">
        <f t="shared" si="9"/>
        <v>0</v>
      </c>
      <c r="H92" s="32">
        <f t="shared" si="9"/>
        <v>0</v>
      </c>
      <c r="I92" s="32">
        <f t="shared" si="9"/>
        <v>0</v>
      </c>
      <c r="J92" s="32">
        <f t="shared" si="9"/>
        <v>201.26393493282939</v>
      </c>
      <c r="K92" s="95"/>
      <c r="L92" s="50"/>
      <c r="M92" s="15"/>
    </row>
    <row r="93" spans="1:13">
      <c r="A93" s="50">
        <v>6</v>
      </c>
      <c r="B93" s="50"/>
      <c r="C93" s="50" t="s">
        <v>271</v>
      </c>
      <c r="D93" s="50"/>
      <c r="E93" s="32">
        <f t="shared" si="9"/>
        <v>0</v>
      </c>
      <c r="F93" s="32">
        <f t="shared" si="9"/>
        <v>0</v>
      </c>
      <c r="G93" s="32">
        <f t="shared" si="9"/>
        <v>0</v>
      </c>
      <c r="H93" s="32">
        <f t="shared" si="9"/>
        <v>0</v>
      </c>
      <c r="I93" s="32">
        <f t="shared" si="9"/>
        <v>0</v>
      </c>
      <c r="J93" s="32">
        <f t="shared" si="9"/>
        <v>0</v>
      </c>
      <c r="K93" s="95"/>
      <c r="L93" s="50"/>
      <c r="M93" s="15"/>
    </row>
    <row r="94" spans="1:13">
      <c r="A94" s="50">
        <v>1</v>
      </c>
      <c r="B94" s="50"/>
      <c r="C94" s="50" t="s">
        <v>272</v>
      </c>
      <c r="D94" s="50"/>
      <c r="E94" s="32">
        <f t="shared" ref="E94:J99" si="10">E70+E82-E88+IF($A94=E$68,E$69,0)</f>
        <v>6682.0266626839202</v>
      </c>
      <c r="F94" s="32">
        <f t="shared" si="10"/>
        <v>6665.9228935954243</v>
      </c>
      <c r="G94" s="32">
        <f t="shared" si="10"/>
        <v>6676.6724135324084</v>
      </c>
      <c r="H94" s="32">
        <f t="shared" si="10"/>
        <v>6674.2517178456565</v>
      </c>
      <c r="I94" s="32">
        <f t="shared" si="10"/>
        <v>6658.4811489323756</v>
      </c>
      <c r="J94" s="32">
        <f t="shared" si="10"/>
        <v>6629.24879266877</v>
      </c>
      <c r="K94" s="95"/>
      <c r="L94" s="50"/>
      <c r="M94" s="15"/>
    </row>
    <row r="95" spans="1:13">
      <c r="A95" s="50">
        <v>2</v>
      </c>
      <c r="B95" s="50"/>
      <c r="C95" s="50" t="s">
        <v>273</v>
      </c>
      <c r="D95" s="50"/>
      <c r="E95" s="32">
        <f t="shared" si="10"/>
        <v>0</v>
      </c>
      <c r="F95" s="32">
        <f t="shared" si="10"/>
        <v>8464.4550466451528</v>
      </c>
      <c r="G95" s="32">
        <f t="shared" si="10"/>
        <v>8482.3798710416868</v>
      </c>
      <c r="H95" s="32">
        <f t="shared" si="10"/>
        <v>8483.7877851559515</v>
      </c>
      <c r="I95" s="32">
        <f t="shared" si="10"/>
        <v>8468.4390259324646</v>
      </c>
      <c r="J95" s="32">
        <f t="shared" si="10"/>
        <v>8436.1783058336732</v>
      </c>
      <c r="K95" s="95"/>
      <c r="L95" s="50"/>
      <c r="M95" s="15"/>
    </row>
    <row r="96" spans="1:13">
      <c r="A96" s="50">
        <v>3</v>
      </c>
      <c r="B96" s="50"/>
      <c r="C96" s="50" t="s">
        <v>274</v>
      </c>
      <c r="D96" s="50"/>
      <c r="E96" s="32">
        <f t="shared" si="10"/>
        <v>0</v>
      </c>
      <c r="F96" s="32">
        <f t="shared" si="10"/>
        <v>0</v>
      </c>
      <c r="G96" s="32">
        <f t="shared" si="10"/>
        <v>8018.6955095262529</v>
      </c>
      <c r="H96" s="32">
        <f t="shared" si="10"/>
        <v>8024.0763070513658</v>
      </c>
      <c r="I96" s="32">
        <f t="shared" si="10"/>
        <v>8013.8003070237137</v>
      </c>
      <c r="J96" s="32">
        <f t="shared" si="10"/>
        <v>7987.7088641636365</v>
      </c>
      <c r="K96" s="95"/>
      <c r="L96" s="50"/>
      <c r="M96" s="15"/>
    </row>
    <row r="97" spans="1:13">
      <c r="A97" s="50">
        <v>4</v>
      </c>
      <c r="B97" s="50"/>
      <c r="C97" s="50" t="s">
        <v>275</v>
      </c>
      <c r="D97" s="50"/>
      <c r="E97" s="32">
        <f t="shared" si="10"/>
        <v>0</v>
      </c>
      <c r="F97" s="32">
        <f t="shared" si="10"/>
        <v>0</v>
      </c>
      <c r="G97" s="32">
        <f t="shared" si="10"/>
        <v>0</v>
      </c>
      <c r="H97" s="32">
        <f t="shared" si="10"/>
        <v>8470.9218723328486</v>
      </c>
      <c r="I97" s="32">
        <f t="shared" si="10"/>
        <v>8464.3518647560177</v>
      </c>
      <c r="J97" s="32">
        <f t="shared" si="10"/>
        <v>8441.2672687612285</v>
      </c>
      <c r="K97" s="95"/>
      <c r="L97" s="50"/>
      <c r="M97" s="15"/>
    </row>
    <row r="98" spans="1:13">
      <c r="A98" s="50">
        <v>5</v>
      </c>
      <c r="B98" s="50"/>
      <c r="C98" s="50" t="s">
        <v>276</v>
      </c>
      <c r="D98" s="50"/>
      <c r="E98" s="32">
        <f t="shared" si="10"/>
        <v>0</v>
      </c>
      <c r="F98" s="32">
        <f t="shared" si="10"/>
        <v>0</v>
      </c>
      <c r="G98" s="32">
        <f t="shared" si="10"/>
        <v>0</v>
      </c>
      <c r="H98" s="32">
        <f t="shared" si="10"/>
        <v>0</v>
      </c>
      <c r="I98" s="32">
        <f t="shared" si="10"/>
        <v>9056.877071977322</v>
      </c>
      <c r="J98" s="32">
        <f t="shared" si="10"/>
        <v>9036.7506784840389</v>
      </c>
      <c r="K98" s="95"/>
      <c r="L98" s="50"/>
      <c r="M98" s="15"/>
    </row>
    <row r="99" spans="1:13">
      <c r="A99" s="50">
        <v>6</v>
      </c>
      <c r="B99" s="50"/>
      <c r="C99" s="50" t="s">
        <v>277</v>
      </c>
      <c r="D99" s="50"/>
      <c r="E99" s="32">
        <f t="shared" si="10"/>
        <v>0</v>
      </c>
      <c r="F99" s="32">
        <f t="shared" si="10"/>
        <v>0</v>
      </c>
      <c r="G99" s="32">
        <f t="shared" si="10"/>
        <v>0</v>
      </c>
      <c r="H99" s="32">
        <f t="shared" si="10"/>
        <v>0</v>
      </c>
      <c r="I99" s="32">
        <f t="shared" si="10"/>
        <v>0</v>
      </c>
      <c r="J99" s="32">
        <f t="shared" si="10"/>
        <v>8497.6486143962611</v>
      </c>
      <c r="K99" s="95"/>
      <c r="L99" s="50"/>
      <c r="M99" s="15"/>
    </row>
    <row r="100" spans="1:13">
      <c r="A100" s="50"/>
      <c r="B100" s="50"/>
      <c r="C100" s="50" t="s">
        <v>146</v>
      </c>
      <c r="D100" s="50"/>
      <c r="E100" s="32">
        <f t="shared" ref="E100:J100" si="11">SUM(E70:E75)</f>
        <v>0</v>
      </c>
      <c r="F100" s="32">
        <f t="shared" si="11"/>
        <v>6682.0266626839202</v>
      </c>
      <c r="G100" s="32">
        <f t="shared" si="11"/>
        <v>15130.377940240578</v>
      </c>
      <c r="H100" s="32">
        <f t="shared" si="11"/>
        <v>23177.747794100349</v>
      </c>
      <c r="I100" s="32">
        <f t="shared" si="11"/>
        <v>31653.037682385821</v>
      </c>
      <c r="J100" s="32">
        <f t="shared" si="11"/>
        <v>40661.949418621894</v>
      </c>
      <c r="K100" s="95"/>
      <c r="L100" s="27"/>
      <c r="M100" s="15"/>
    </row>
    <row r="101" spans="1:13">
      <c r="A101" s="50"/>
      <c r="B101" s="50"/>
      <c r="C101" s="50" t="s">
        <v>147</v>
      </c>
      <c r="D101" s="50"/>
      <c r="E101" s="32">
        <f t="shared" ref="E101:J101" si="12">SUM(E82:E87)</f>
        <v>0</v>
      </c>
      <c r="F101" s="32">
        <f t="shared" si="12"/>
        <v>132.38571230447951</v>
      </c>
      <c r="G101" s="32">
        <f t="shared" si="12"/>
        <v>368.27159295178956</v>
      </c>
      <c r="H101" s="32">
        <f t="shared" si="12"/>
        <v>530.61406168064207</v>
      </c>
      <c r="I101" s="32">
        <f t="shared" si="12"/>
        <v>678.85088868688183</v>
      </c>
      <c r="J101" s="32">
        <f t="shared" si="12"/>
        <v>813.2389883724386</v>
      </c>
      <c r="K101" s="95"/>
      <c r="L101" s="27"/>
      <c r="M101" s="15"/>
    </row>
    <row r="102" spans="1:13">
      <c r="A102" s="50"/>
      <c r="B102" s="50"/>
      <c r="C102" s="50" t="s">
        <v>68</v>
      </c>
      <c r="D102" s="50"/>
      <c r="E102" s="32">
        <f t="shared" ref="E102:J102" si="13">SUM(E88:E93)</f>
        <v>0</v>
      </c>
      <c r="F102" s="32">
        <f t="shared" si="13"/>
        <v>148.48948139297602</v>
      </c>
      <c r="G102" s="32">
        <f t="shared" si="13"/>
        <v>339.59724861827317</v>
      </c>
      <c r="H102" s="32">
        <f t="shared" si="13"/>
        <v>526.24604572801854</v>
      </c>
      <c r="I102" s="32">
        <f t="shared" si="13"/>
        <v>726.81622442813239</v>
      </c>
      <c r="J102" s="32">
        <f t="shared" si="13"/>
        <v>944.03449708298308</v>
      </c>
      <c r="K102" s="95"/>
      <c r="L102" s="27"/>
      <c r="M102" s="15"/>
    </row>
    <row r="103" spans="1:13">
      <c r="A103" s="50"/>
      <c r="B103" s="50"/>
      <c r="C103" s="50" t="s">
        <v>148</v>
      </c>
      <c r="D103" s="50"/>
      <c r="E103" s="32">
        <f t="shared" ref="E103:J103" si="14">SUM(E94:E99)</f>
        <v>6682.0266626839202</v>
      </c>
      <c r="F103" s="32">
        <f t="shared" si="14"/>
        <v>15130.377940240578</v>
      </c>
      <c r="G103" s="32">
        <f t="shared" si="14"/>
        <v>23177.747794100349</v>
      </c>
      <c r="H103" s="32">
        <f t="shared" si="14"/>
        <v>31653.037682385821</v>
      </c>
      <c r="I103" s="32">
        <f t="shared" si="14"/>
        <v>40661.949418621894</v>
      </c>
      <c r="J103" s="32">
        <f t="shared" si="14"/>
        <v>49028.802524307604</v>
      </c>
      <c r="K103" s="95"/>
      <c r="L103" s="50"/>
      <c r="M103" s="15"/>
    </row>
    <row r="104" spans="1:13">
      <c r="A104" s="50"/>
      <c r="B104" s="50"/>
      <c r="C104" s="50"/>
      <c r="D104" s="50"/>
      <c r="E104" s="32"/>
      <c r="F104" s="32"/>
      <c r="G104" s="32"/>
      <c r="H104" s="32"/>
      <c r="I104" s="32"/>
      <c r="J104" s="32"/>
      <c r="K104" s="95"/>
      <c r="L104" s="50"/>
      <c r="M104" s="15"/>
    </row>
    <row r="105" spans="1:13" ht="15.75">
      <c r="A105" s="50"/>
      <c r="B105" s="50"/>
      <c r="C105" s="162" t="s">
        <v>121</v>
      </c>
      <c r="D105" s="50"/>
      <c r="E105" s="162" t="str">
        <f>Inputs!D$11</f>
        <v>2009/10</v>
      </c>
      <c r="F105" s="162" t="str">
        <f>Inputs!E$11</f>
        <v>2010/11</v>
      </c>
      <c r="G105" s="162" t="str">
        <f>Inputs!F$11</f>
        <v>2011/12</v>
      </c>
      <c r="H105" s="162" t="str">
        <f>Inputs!G$11</f>
        <v>2012/13</v>
      </c>
      <c r="I105" s="162" t="str">
        <f>Inputs!H$11</f>
        <v>2013/14</v>
      </c>
      <c r="J105" s="162" t="str">
        <f>Inputs!I$11</f>
        <v>2014/15</v>
      </c>
      <c r="K105" s="95"/>
      <c r="L105" s="50"/>
      <c r="M105" s="15"/>
    </row>
    <row r="106" spans="1:13">
      <c r="A106" s="50"/>
      <c r="B106" s="50"/>
      <c r="C106" s="164" t="s">
        <v>60</v>
      </c>
      <c r="D106" s="50"/>
      <c r="E106" s="164">
        <v>1</v>
      </c>
      <c r="F106" s="164">
        <v>2</v>
      </c>
      <c r="G106" s="164">
        <v>3</v>
      </c>
      <c r="H106" s="164">
        <v>4</v>
      </c>
      <c r="I106" s="164">
        <v>5</v>
      </c>
      <c r="J106" s="164">
        <v>6</v>
      </c>
      <c r="K106" s="95"/>
      <c r="L106" s="50"/>
      <c r="M106" s="15"/>
    </row>
    <row r="107" spans="1:13">
      <c r="A107" s="50"/>
      <c r="B107" s="50"/>
      <c r="C107" s="50" t="s">
        <v>39</v>
      </c>
      <c r="D107" s="32"/>
      <c r="E107" s="32">
        <f t="shared" ref="E107:J107" si="15">E$29</f>
        <v>6682.0266626839202</v>
      </c>
      <c r="F107" s="32">
        <f t="shared" si="15"/>
        <v>8464.4550466451528</v>
      </c>
      <c r="G107" s="32">
        <f t="shared" si="15"/>
        <v>8018.6955095262529</v>
      </c>
      <c r="H107" s="32">
        <f t="shared" si="15"/>
        <v>8470.9218723328486</v>
      </c>
      <c r="I107" s="32">
        <f t="shared" si="15"/>
        <v>9056.877071977322</v>
      </c>
      <c r="J107" s="32">
        <f t="shared" si="15"/>
        <v>8497.6486143962611</v>
      </c>
      <c r="K107" s="95"/>
      <c r="L107" s="50"/>
      <c r="M107" s="15"/>
    </row>
    <row r="108" spans="1:13">
      <c r="A108" s="50">
        <v>1</v>
      </c>
      <c r="B108" s="50"/>
      <c r="C108" s="50" t="s">
        <v>230</v>
      </c>
      <c r="D108" s="50"/>
      <c r="E108" s="129">
        <v>0</v>
      </c>
      <c r="F108" s="32">
        <f t="shared" ref="F108:J113" si="16">E126</f>
        <v>6682.0266626839202</v>
      </c>
      <c r="G108" s="32">
        <f t="shared" si="16"/>
        <v>6533.5371812909443</v>
      </c>
      <c r="H108" s="32">
        <f t="shared" si="16"/>
        <v>6385.0476998979684</v>
      </c>
      <c r="I108" s="32">
        <f t="shared" si="16"/>
        <v>6236.5582185049925</v>
      </c>
      <c r="J108" s="32">
        <f t="shared" si="16"/>
        <v>6088.0687371120166</v>
      </c>
      <c r="K108" s="95"/>
      <c r="L108" s="50"/>
      <c r="M108" s="15"/>
    </row>
    <row r="109" spans="1:13">
      <c r="A109" s="50">
        <v>2</v>
      </c>
      <c r="B109" s="50"/>
      <c r="C109" s="50" t="s">
        <v>231</v>
      </c>
      <c r="D109" s="50"/>
      <c r="E109" s="129">
        <v>0</v>
      </c>
      <c r="F109" s="32">
        <f t="shared" si="16"/>
        <v>0</v>
      </c>
      <c r="G109" s="32">
        <f t="shared" si="16"/>
        <v>8464.4550466451528</v>
      </c>
      <c r="H109" s="32">
        <f t="shared" si="16"/>
        <v>8276.3560456085943</v>
      </c>
      <c r="I109" s="32">
        <f t="shared" si="16"/>
        <v>8088.2570445720357</v>
      </c>
      <c r="J109" s="32">
        <f t="shared" si="16"/>
        <v>7900.1580435354772</v>
      </c>
      <c r="K109" s="95"/>
      <c r="L109" s="50"/>
      <c r="M109" s="15"/>
    </row>
    <row r="110" spans="1:13">
      <c r="A110" s="50">
        <v>3</v>
      </c>
      <c r="B110" s="50"/>
      <c r="C110" s="50" t="s">
        <v>232</v>
      </c>
      <c r="D110" s="50"/>
      <c r="E110" s="129">
        <v>0</v>
      </c>
      <c r="F110" s="32">
        <f t="shared" si="16"/>
        <v>0</v>
      </c>
      <c r="G110" s="32">
        <f t="shared" si="16"/>
        <v>0</v>
      </c>
      <c r="H110" s="32">
        <f t="shared" si="16"/>
        <v>8018.6955095262529</v>
      </c>
      <c r="I110" s="32">
        <f t="shared" si="16"/>
        <v>7840.5022759812255</v>
      </c>
      <c r="J110" s="32">
        <f t="shared" si="16"/>
        <v>7662.3090424361981</v>
      </c>
      <c r="K110" s="95"/>
      <c r="L110" s="50"/>
      <c r="M110" s="15"/>
    </row>
    <row r="111" spans="1:13">
      <c r="A111" s="50">
        <v>4</v>
      </c>
      <c r="B111" s="50"/>
      <c r="C111" s="50" t="s">
        <v>233</v>
      </c>
      <c r="D111" s="50"/>
      <c r="E111" s="129">
        <v>0</v>
      </c>
      <c r="F111" s="32">
        <f t="shared" si="16"/>
        <v>0</v>
      </c>
      <c r="G111" s="32">
        <f t="shared" si="16"/>
        <v>0</v>
      </c>
      <c r="H111" s="32">
        <f t="shared" si="16"/>
        <v>0</v>
      </c>
      <c r="I111" s="32">
        <f t="shared" si="16"/>
        <v>8470.9218723328486</v>
      </c>
      <c r="J111" s="32">
        <f t="shared" si="16"/>
        <v>8282.6791640587853</v>
      </c>
      <c r="K111" s="95"/>
      <c r="L111" s="50"/>
      <c r="M111" s="15"/>
    </row>
    <row r="112" spans="1:13">
      <c r="A112" s="50">
        <v>5</v>
      </c>
      <c r="B112" s="50"/>
      <c r="C112" s="50" t="s">
        <v>234</v>
      </c>
      <c r="D112" s="50"/>
      <c r="E112" s="129">
        <v>0</v>
      </c>
      <c r="F112" s="32">
        <f t="shared" si="16"/>
        <v>0</v>
      </c>
      <c r="G112" s="32">
        <f t="shared" si="16"/>
        <v>0</v>
      </c>
      <c r="H112" s="32">
        <f t="shared" si="16"/>
        <v>0</v>
      </c>
      <c r="I112" s="32">
        <f t="shared" si="16"/>
        <v>0</v>
      </c>
      <c r="J112" s="32">
        <f t="shared" si="16"/>
        <v>9056.877071977322</v>
      </c>
      <c r="K112" s="95"/>
      <c r="L112" s="50"/>
      <c r="M112" s="15"/>
    </row>
    <row r="113" spans="1:13">
      <c r="A113" s="50">
        <v>6</v>
      </c>
      <c r="B113" s="50"/>
      <c r="C113" s="50" t="s">
        <v>235</v>
      </c>
      <c r="D113" s="50"/>
      <c r="E113" s="129">
        <v>0</v>
      </c>
      <c r="F113" s="32">
        <f t="shared" si="16"/>
        <v>0</v>
      </c>
      <c r="G113" s="32">
        <f t="shared" si="16"/>
        <v>0</v>
      </c>
      <c r="H113" s="32">
        <f t="shared" si="16"/>
        <v>0</v>
      </c>
      <c r="I113" s="32">
        <f t="shared" si="16"/>
        <v>0</v>
      </c>
      <c r="J113" s="32">
        <f t="shared" si="16"/>
        <v>0</v>
      </c>
      <c r="K113" s="95"/>
      <c r="L113" s="50"/>
      <c r="M113" s="15"/>
    </row>
    <row r="114" spans="1:13">
      <c r="A114" s="50">
        <v>1</v>
      </c>
      <c r="B114" s="50"/>
      <c r="C114" s="50" t="s">
        <v>236</v>
      </c>
      <c r="D114" s="50"/>
      <c r="E114" s="129">
        <f>Inputs!$C$7+$A114</f>
        <v>46</v>
      </c>
      <c r="F114" s="32">
        <f t="shared" ref="F114:J119" si="17">E114-1</f>
        <v>45</v>
      </c>
      <c r="G114" s="32">
        <f t="shared" si="17"/>
        <v>44</v>
      </c>
      <c r="H114" s="32">
        <f t="shared" si="17"/>
        <v>43</v>
      </c>
      <c r="I114" s="32">
        <f t="shared" si="17"/>
        <v>42</v>
      </c>
      <c r="J114" s="32">
        <f t="shared" si="17"/>
        <v>41</v>
      </c>
      <c r="K114" s="95"/>
      <c r="L114" s="50"/>
      <c r="M114" s="15"/>
    </row>
    <row r="115" spans="1:13">
      <c r="A115" s="50">
        <v>2</v>
      </c>
      <c r="B115" s="50"/>
      <c r="C115" s="50" t="s">
        <v>237</v>
      </c>
      <c r="D115" s="50"/>
      <c r="E115" s="129">
        <f>Inputs!$C$7+$A115</f>
        <v>47</v>
      </c>
      <c r="F115" s="32">
        <f t="shared" si="17"/>
        <v>46</v>
      </c>
      <c r="G115" s="32">
        <f t="shared" si="17"/>
        <v>45</v>
      </c>
      <c r="H115" s="32">
        <f t="shared" si="17"/>
        <v>44</v>
      </c>
      <c r="I115" s="32">
        <f t="shared" si="17"/>
        <v>43</v>
      </c>
      <c r="J115" s="32">
        <f t="shared" si="17"/>
        <v>42</v>
      </c>
      <c r="K115" s="95"/>
      <c r="L115" s="50"/>
      <c r="M115" s="15"/>
    </row>
    <row r="116" spans="1:13">
      <c r="A116" s="50">
        <v>3</v>
      </c>
      <c r="B116" s="50"/>
      <c r="C116" s="50" t="s">
        <v>238</v>
      </c>
      <c r="D116" s="50"/>
      <c r="E116" s="129">
        <f>Inputs!$C$7+$A116</f>
        <v>48</v>
      </c>
      <c r="F116" s="32">
        <f t="shared" si="17"/>
        <v>47</v>
      </c>
      <c r="G116" s="32">
        <f t="shared" si="17"/>
        <v>46</v>
      </c>
      <c r="H116" s="32">
        <f t="shared" si="17"/>
        <v>45</v>
      </c>
      <c r="I116" s="32">
        <f t="shared" si="17"/>
        <v>44</v>
      </c>
      <c r="J116" s="32">
        <f t="shared" si="17"/>
        <v>43</v>
      </c>
      <c r="K116" s="95"/>
      <c r="L116" s="50"/>
      <c r="M116" s="15"/>
    </row>
    <row r="117" spans="1:13">
      <c r="A117" s="50">
        <v>4</v>
      </c>
      <c r="B117" s="50"/>
      <c r="C117" s="50" t="s">
        <v>239</v>
      </c>
      <c r="D117" s="50"/>
      <c r="E117" s="129">
        <f>Inputs!$C$7+$A117</f>
        <v>49</v>
      </c>
      <c r="F117" s="32">
        <f t="shared" si="17"/>
        <v>48</v>
      </c>
      <c r="G117" s="32">
        <f t="shared" si="17"/>
        <v>47</v>
      </c>
      <c r="H117" s="32">
        <f t="shared" si="17"/>
        <v>46</v>
      </c>
      <c r="I117" s="32">
        <f t="shared" si="17"/>
        <v>45</v>
      </c>
      <c r="J117" s="32">
        <f t="shared" si="17"/>
        <v>44</v>
      </c>
      <c r="K117" s="95"/>
      <c r="L117" s="50"/>
      <c r="M117" s="15"/>
    </row>
    <row r="118" spans="1:13">
      <c r="A118" s="50">
        <v>5</v>
      </c>
      <c r="B118" s="50"/>
      <c r="C118" s="50" t="s">
        <v>240</v>
      </c>
      <c r="D118" s="50"/>
      <c r="E118" s="129">
        <f>Inputs!$C$7+$A118</f>
        <v>50</v>
      </c>
      <c r="F118" s="32">
        <f t="shared" si="17"/>
        <v>49</v>
      </c>
      <c r="G118" s="32">
        <f t="shared" si="17"/>
        <v>48</v>
      </c>
      <c r="H118" s="32">
        <f t="shared" si="17"/>
        <v>47</v>
      </c>
      <c r="I118" s="32">
        <f t="shared" si="17"/>
        <v>46</v>
      </c>
      <c r="J118" s="32">
        <f t="shared" si="17"/>
        <v>45</v>
      </c>
      <c r="K118" s="95"/>
      <c r="L118" s="50"/>
      <c r="M118" s="15"/>
    </row>
    <row r="119" spans="1:13">
      <c r="A119" s="50">
        <v>6</v>
      </c>
      <c r="B119" s="50"/>
      <c r="C119" s="50" t="s">
        <v>241</v>
      </c>
      <c r="D119" s="50"/>
      <c r="E119" s="129">
        <f>Inputs!$C$7+$A119</f>
        <v>51</v>
      </c>
      <c r="F119" s="32">
        <f t="shared" si="17"/>
        <v>50</v>
      </c>
      <c r="G119" s="32">
        <f t="shared" si="17"/>
        <v>49</v>
      </c>
      <c r="H119" s="32">
        <f t="shared" si="17"/>
        <v>48</v>
      </c>
      <c r="I119" s="32">
        <f t="shared" si="17"/>
        <v>47</v>
      </c>
      <c r="J119" s="32">
        <f t="shared" si="17"/>
        <v>46</v>
      </c>
      <c r="K119" s="95"/>
      <c r="L119" s="50"/>
      <c r="M119" s="15"/>
    </row>
    <row r="120" spans="1:13">
      <c r="A120" s="50">
        <v>1</v>
      </c>
      <c r="B120" s="50"/>
      <c r="C120" s="50" t="s">
        <v>242</v>
      </c>
      <c r="D120" s="50"/>
      <c r="E120" s="32">
        <f t="shared" ref="E120:J125" si="18">E108/E114</f>
        <v>0</v>
      </c>
      <c r="F120" s="32">
        <f t="shared" si="18"/>
        <v>148.48948139297602</v>
      </c>
      <c r="G120" s="32">
        <f t="shared" si="18"/>
        <v>148.48948139297602</v>
      </c>
      <c r="H120" s="32">
        <f t="shared" si="18"/>
        <v>148.48948139297602</v>
      </c>
      <c r="I120" s="32">
        <f t="shared" si="18"/>
        <v>148.48948139297602</v>
      </c>
      <c r="J120" s="32">
        <f t="shared" si="18"/>
        <v>148.48948139297602</v>
      </c>
      <c r="K120" s="95"/>
      <c r="L120" s="50"/>
      <c r="M120" s="15"/>
    </row>
    <row r="121" spans="1:13">
      <c r="A121" s="50">
        <v>2</v>
      </c>
      <c r="B121" s="50"/>
      <c r="C121" s="50" t="s">
        <v>243</v>
      </c>
      <c r="D121" s="50"/>
      <c r="E121" s="32">
        <f t="shared" si="18"/>
        <v>0</v>
      </c>
      <c r="F121" s="32">
        <f t="shared" si="18"/>
        <v>0</v>
      </c>
      <c r="G121" s="32">
        <f t="shared" si="18"/>
        <v>188.09900103655895</v>
      </c>
      <c r="H121" s="32">
        <f t="shared" si="18"/>
        <v>188.09900103655897</v>
      </c>
      <c r="I121" s="32">
        <f t="shared" si="18"/>
        <v>188.09900103655897</v>
      </c>
      <c r="J121" s="32">
        <f t="shared" si="18"/>
        <v>188.09900103655897</v>
      </c>
      <c r="K121" s="95"/>
      <c r="L121" s="50"/>
      <c r="M121" s="15"/>
    </row>
    <row r="122" spans="1:13">
      <c r="A122" s="50">
        <v>3</v>
      </c>
      <c r="B122" s="50"/>
      <c r="C122" s="50" t="s">
        <v>244</v>
      </c>
      <c r="D122" s="50"/>
      <c r="E122" s="32">
        <f t="shared" si="18"/>
        <v>0</v>
      </c>
      <c r="F122" s="32">
        <f t="shared" si="18"/>
        <v>0</v>
      </c>
      <c r="G122" s="32">
        <f t="shared" si="18"/>
        <v>0</v>
      </c>
      <c r="H122" s="32">
        <f t="shared" si="18"/>
        <v>178.19323354502785</v>
      </c>
      <c r="I122" s="32">
        <f t="shared" si="18"/>
        <v>178.19323354502785</v>
      </c>
      <c r="J122" s="32">
        <f t="shared" si="18"/>
        <v>178.19323354502785</v>
      </c>
      <c r="K122" s="95"/>
      <c r="L122" s="50"/>
      <c r="M122" s="15"/>
    </row>
    <row r="123" spans="1:13">
      <c r="A123" s="50">
        <v>4</v>
      </c>
      <c r="B123" s="50"/>
      <c r="C123" s="50" t="s">
        <v>245</v>
      </c>
      <c r="D123" s="50"/>
      <c r="E123" s="32">
        <f t="shared" si="18"/>
        <v>0</v>
      </c>
      <c r="F123" s="32">
        <f t="shared" si="18"/>
        <v>0</v>
      </c>
      <c r="G123" s="32">
        <f t="shared" si="18"/>
        <v>0</v>
      </c>
      <c r="H123" s="32">
        <f t="shared" si="18"/>
        <v>0</v>
      </c>
      <c r="I123" s="32">
        <f t="shared" si="18"/>
        <v>188.24270827406329</v>
      </c>
      <c r="J123" s="32">
        <f t="shared" si="18"/>
        <v>188.24270827406329</v>
      </c>
      <c r="K123" s="95"/>
      <c r="L123" s="50"/>
      <c r="M123" s="15"/>
    </row>
    <row r="124" spans="1:13">
      <c r="A124" s="50">
        <v>5</v>
      </c>
      <c r="B124" s="50"/>
      <c r="C124" s="50" t="s">
        <v>246</v>
      </c>
      <c r="D124" s="50"/>
      <c r="E124" s="32">
        <f t="shared" si="18"/>
        <v>0</v>
      </c>
      <c r="F124" s="32">
        <f t="shared" si="18"/>
        <v>0</v>
      </c>
      <c r="G124" s="32">
        <f t="shared" si="18"/>
        <v>0</v>
      </c>
      <c r="H124" s="32">
        <f t="shared" si="18"/>
        <v>0</v>
      </c>
      <c r="I124" s="32">
        <f t="shared" si="18"/>
        <v>0</v>
      </c>
      <c r="J124" s="32">
        <f t="shared" si="18"/>
        <v>201.26393493282939</v>
      </c>
      <c r="K124" s="95"/>
      <c r="L124" s="50"/>
      <c r="M124" s="15"/>
    </row>
    <row r="125" spans="1:13">
      <c r="A125" s="50">
        <v>6</v>
      </c>
      <c r="B125" s="50"/>
      <c r="C125" s="50" t="s">
        <v>247</v>
      </c>
      <c r="D125" s="50"/>
      <c r="E125" s="32">
        <f t="shared" si="18"/>
        <v>0</v>
      </c>
      <c r="F125" s="32">
        <f t="shared" si="18"/>
        <v>0</v>
      </c>
      <c r="G125" s="32">
        <f t="shared" si="18"/>
        <v>0</v>
      </c>
      <c r="H125" s="32">
        <f t="shared" si="18"/>
        <v>0</v>
      </c>
      <c r="I125" s="32">
        <f t="shared" si="18"/>
        <v>0</v>
      </c>
      <c r="J125" s="32">
        <f t="shared" si="18"/>
        <v>0</v>
      </c>
      <c r="K125" s="95"/>
      <c r="L125" s="50"/>
      <c r="M125" s="15"/>
    </row>
    <row r="126" spans="1:13">
      <c r="A126" s="50">
        <v>1</v>
      </c>
      <c r="B126" s="50"/>
      <c r="C126" s="50" t="s">
        <v>248</v>
      </c>
      <c r="D126" s="50"/>
      <c r="E126" s="32">
        <f t="shared" ref="E126:J131" si="19">E108-E120+IF($A126=E$106,E$107,0)</f>
        <v>6682.0266626839202</v>
      </c>
      <c r="F126" s="32">
        <f t="shared" si="19"/>
        <v>6533.5371812909443</v>
      </c>
      <c r="G126" s="32">
        <f t="shared" si="19"/>
        <v>6385.0476998979684</v>
      </c>
      <c r="H126" s="32">
        <f t="shared" si="19"/>
        <v>6236.5582185049925</v>
      </c>
      <c r="I126" s="32">
        <f t="shared" si="19"/>
        <v>6088.0687371120166</v>
      </c>
      <c r="J126" s="32">
        <f t="shared" si="19"/>
        <v>5939.5792557190407</v>
      </c>
      <c r="K126" s="95"/>
      <c r="L126" s="50"/>
      <c r="M126" s="15"/>
    </row>
    <row r="127" spans="1:13">
      <c r="A127" s="50">
        <v>2</v>
      </c>
      <c r="B127" s="50"/>
      <c r="C127" s="50" t="s">
        <v>249</v>
      </c>
      <c r="D127" s="50"/>
      <c r="E127" s="32">
        <f t="shared" si="19"/>
        <v>0</v>
      </c>
      <c r="F127" s="32">
        <f t="shared" si="19"/>
        <v>8464.4550466451528</v>
      </c>
      <c r="G127" s="32">
        <f t="shared" si="19"/>
        <v>8276.3560456085943</v>
      </c>
      <c r="H127" s="32">
        <f t="shared" si="19"/>
        <v>8088.2570445720357</v>
      </c>
      <c r="I127" s="32">
        <f t="shared" si="19"/>
        <v>7900.1580435354772</v>
      </c>
      <c r="J127" s="32">
        <f t="shared" si="19"/>
        <v>7712.0590424989186</v>
      </c>
      <c r="K127" s="95"/>
      <c r="L127" s="50"/>
      <c r="M127" s="15"/>
    </row>
    <row r="128" spans="1:13">
      <c r="A128" s="50">
        <v>3</v>
      </c>
      <c r="B128" s="50"/>
      <c r="C128" s="50" t="s">
        <v>250</v>
      </c>
      <c r="D128" s="50"/>
      <c r="E128" s="32">
        <f t="shared" si="19"/>
        <v>0</v>
      </c>
      <c r="F128" s="32">
        <f t="shared" si="19"/>
        <v>0</v>
      </c>
      <c r="G128" s="32">
        <f t="shared" si="19"/>
        <v>8018.6955095262529</v>
      </c>
      <c r="H128" s="32">
        <f t="shared" si="19"/>
        <v>7840.5022759812255</v>
      </c>
      <c r="I128" s="32">
        <f t="shared" si="19"/>
        <v>7662.3090424361981</v>
      </c>
      <c r="J128" s="32">
        <f t="shared" si="19"/>
        <v>7484.1158088911707</v>
      </c>
      <c r="K128" s="95"/>
      <c r="L128" s="50"/>
      <c r="M128" s="15"/>
    </row>
    <row r="129" spans="1:13">
      <c r="A129" s="50">
        <v>4</v>
      </c>
      <c r="B129" s="50"/>
      <c r="C129" s="50" t="s">
        <v>251</v>
      </c>
      <c r="D129" s="50"/>
      <c r="E129" s="32">
        <f t="shared" si="19"/>
        <v>0</v>
      </c>
      <c r="F129" s="32">
        <f t="shared" si="19"/>
        <v>0</v>
      </c>
      <c r="G129" s="32">
        <f t="shared" si="19"/>
        <v>0</v>
      </c>
      <c r="H129" s="32">
        <f t="shared" si="19"/>
        <v>8470.9218723328486</v>
      </c>
      <c r="I129" s="32">
        <f t="shared" si="19"/>
        <v>8282.6791640587853</v>
      </c>
      <c r="J129" s="32">
        <f t="shared" si="19"/>
        <v>8094.4364557847221</v>
      </c>
      <c r="K129" s="95"/>
      <c r="L129" s="50"/>
      <c r="M129" s="15"/>
    </row>
    <row r="130" spans="1:13">
      <c r="A130" s="50">
        <v>5</v>
      </c>
      <c r="B130" s="50"/>
      <c r="C130" s="50" t="s">
        <v>252</v>
      </c>
      <c r="D130" s="50"/>
      <c r="E130" s="32">
        <f t="shared" si="19"/>
        <v>0</v>
      </c>
      <c r="F130" s="32">
        <f t="shared" si="19"/>
        <v>0</v>
      </c>
      <c r="G130" s="32">
        <f t="shared" si="19"/>
        <v>0</v>
      </c>
      <c r="H130" s="32">
        <f t="shared" si="19"/>
        <v>0</v>
      </c>
      <c r="I130" s="32">
        <f t="shared" si="19"/>
        <v>9056.877071977322</v>
      </c>
      <c r="J130" s="32">
        <f t="shared" si="19"/>
        <v>8855.6131370444928</v>
      </c>
      <c r="K130" s="95"/>
      <c r="L130" s="50"/>
      <c r="M130" s="15"/>
    </row>
    <row r="131" spans="1:13">
      <c r="A131" s="50">
        <v>6</v>
      </c>
      <c r="B131" s="50"/>
      <c r="C131" s="50" t="s">
        <v>253</v>
      </c>
      <c r="D131" s="50"/>
      <c r="E131" s="32">
        <f t="shared" si="19"/>
        <v>0</v>
      </c>
      <c r="F131" s="32">
        <f t="shared" si="19"/>
        <v>0</v>
      </c>
      <c r="G131" s="32">
        <f t="shared" si="19"/>
        <v>0</v>
      </c>
      <c r="H131" s="32">
        <f t="shared" si="19"/>
        <v>0</v>
      </c>
      <c r="I131" s="32">
        <f t="shared" si="19"/>
        <v>0</v>
      </c>
      <c r="J131" s="32">
        <f t="shared" si="19"/>
        <v>8497.6486143962611</v>
      </c>
      <c r="K131" s="95"/>
      <c r="L131" s="50"/>
      <c r="M131" s="15"/>
    </row>
    <row r="132" spans="1:13">
      <c r="A132" s="50"/>
      <c r="B132" s="50"/>
      <c r="C132" s="50" t="s">
        <v>62</v>
      </c>
      <c r="D132" s="50"/>
      <c r="E132" s="32">
        <f t="shared" ref="E132:J132" si="20">SUM(E120:E125)</f>
        <v>0</v>
      </c>
      <c r="F132" s="32">
        <f t="shared" si="20"/>
        <v>148.48948139297602</v>
      </c>
      <c r="G132" s="32">
        <f t="shared" si="20"/>
        <v>336.58848242953496</v>
      </c>
      <c r="H132" s="32">
        <f t="shared" si="20"/>
        <v>514.78171597456287</v>
      </c>
      <c r="I132" s="32">
        <f t="shared" si="20"/>
        <v>703.02442424862613</v>
      </c>
      <c r="J132" s="32">
        <f t="shared" si="20"/>
        <v>904.28835918145546</v>
      </c>
      <c r="K132" s="95"/>
      <c r="L132" s="27"/>
      <c r="M132" s="15"/>
    </row>
    <row r="133" spans="1:13" s="15" customFormat="1">
      <c r="A133" s="50"/>
      <c r="B133" s="50"/>
      <c r="C133" s="50"/>
      <c r="D133" s="50"/>
      <c r="E133" s="32"/>
      <c r="F133" s="32"/>
      <c r="G133" s="32"/>
      <c r="H133" s="32"/>
      <c r="I133" s="32"/>
      <c r="J133" s="32"/>
      <c r="K133" s="95"/>
      <c r="L133" s="50"/>
    </row>
    <row r="134" spans="1:13" ht="15.75">
      <c r="A134" s="50"/>
      <c r="B134" s="50"/>
      <c r="C134" s="162" t="s">
        <v>63</v>
      </c>
      <c r="D134" s="50"/>
      <c r="E134" s="50"/>
      <c r="F134" s="50"/>
      <c r="G134" s="50"/>
      <c r="H134" s="50"/>
      <c r="I134" s="50"/>
      <c r="J134" s="50"/>
      <c r="K134" s="95"/>
      <c r="L134" s="50"/>
      <c r="M134" s="15"/>
    </row>
    <row r="135" spans="1:13">
      <c r="A135" s="50"/>
      <c r="B135" s="50"/>
      <c r="C135" s="50" t="s">
        <v>65</v>
      </c>
      <c r="D135" s="50"/>
      <c r="E135" s="129">
        <f>E59</f>
        <v>168527.97435947764</v>
      </c>
      <c r="F135" s="32">
        <f>E140</f>
        <v>162729.60255295972</v>
      </c>
      <c r="G135" s="32">
        <f>F140</f>
        <v>156924.28336209196</v>
      </c>
      <c r="H135" s="32">
        <f>G140</f>
        <v>151122.49944856466</v>
      </c>
      <c r="I135" s="32">
        <f>H140</f>
        <v>145324.12748836068</v>
      </c>
      <c r="J135" s="32">
        <f>I140</f>
        <v>139529.54766646959</v>
      </c>
      <c r="K135" s="95"/>
      <c r="L135" s="50"/>
      <c r="M135" s="15"/>
    </row>
    <row r="136" spans="1:13">
      <c r="A136" s="50"/>
      <c r="B136" s="50"/>
      <c r="C136" s="50" t="s">
        <v>40</v>
      </c>
      <c r="D136" s="50"/>
      <c r="E136" s="32">
        <f t="shared" ref="E136:J136" si="21">E56</f>
        <v>168.12794537129605</v>
      </c>
      <c r="F136" s="32">
        <f t="shared" si="21"/>
        <v>175.63776243892914</v>
      </c>
      <c r="G136" s="32">
        <f t="shared" si="21"/>
        <v>178.39647074948826</v>
      </c>
      <c r="H136" s="32">
        <f t="shared" si="21"/>
        <v>181.61496377847385</v>
      </c>
      <c r="I136" s="32">
        <f t="shared" si="21"/>
        <v>184.83345680745947</v>
      </c>
      <c r="J136" s="32">
        <f t="shared" si="21"/>
        <v>189.12478084610694</v>
      </c>
      <c r="K136" s="95"/>
      <c r="L136" s="50"/>
      <c r="M136" s="15"/>
    </row>
    <row r="137" spans="1:13">
      <c r="A137" s="50"/>
      <c r="B137" s="50"/>
      <c r="C137" s="50" t="s">
        <v>312</v>
      </c>
      <c r="D137" s="50"/>
      <c r="E137" s="32">
        <f>TLC!E12</f>
        <v>0</v>
      </c>
      <c r="F137" s="32"/>
      <c r="G137" s="32"/>
      <c r="H137" s="32"/>
      <c r="I137" s="32"/>
      <c r="J137" s="32"/>
      <c r="K137" s="95"/>
      <c r="L137" s="50"/>
      <c r="M137" s="15"/>
    </row>
    <row r="138" spans="1:13">
      <c r="A138" s="50"/>
      <c r="B138" s="50"/>
      <c r="C138" s="50" t="s">
        <v>313</v>
      </c>
      <c r="D138" s="50"/>
      <c r="E138" s="32">
        <f>TLC!E13</f>
        <v>5.0783199999999997</v>
      </c>
      <c r="F138" s="32"/>
      <c r="G138" s="32"/>
      <c r="H138" s="32"/>
      <c r="I138" s="32"/>
      <c r="J138" s="32"/>
      <c r="K138" s="95"/>
      <c r="L138" s="50"/>
      <c r="M138" s="15"/>
    </row>
    <row r="139" spans="1:13">
      <c r="A139" s="50"/>
      <c r="B139" s="50"/>
      <c r="C139" s="50" t="s">
        <v>64</v>
      </c>
      <c r="D139" s="50"/>
      <c r="E139" s="32">
        <f t="shared" ref="E139:J139" si="22">E135/E$54</f>
        <v>5635.3221811466228</v>
      </c>
      <c r="F139" s="32">
        <f t="shared" si="22"/>
        <v>5629.6814284288357</v>
      </c>
      <c r="G139" s="32">
        <f t="shared" si="22"/>
        <v>5623.387442777821</v>
      </c>
      <c r="H139" s="32">
        <f t="shared" si="22"/>
        <v>5616.7569964255181</v>
      </c>
      <c r="I139" s="32">
        <f t="shared" si="22"/>
        <v>5609.7463650836398</v>
      </c>
      <c r="J139" s="32">
        <f t="shared" si="22"/>
        <v>5602.3250187330686</v>
      </c>
      <c r="K139" s="95"/>
      <c r="L139" s="50"/>
      <c r="M139" s="15"/>
    </row>
    <row r="140" spans="1:13">
      <c r="A140" s="50"/>
      <c r="B140" s="50"/>
      <c r="C140" s="50" t="s">
        <v>61</v>
      </c>
      <c r="D140" s="50"/>
      <c r="E140" s="129">
        <f>E135-E136-E137+E138-E139</f>
        <v>162729.60255295972</v>
      </c>
      <c r="F140" s="32">
        <f>F135-F136-F139</f>
        <v>156924.28336209196</v>
      </c>
      <c r="G140" s="32">
        <f>G135-G136-G139</f>
        <v>151122.49944856466</v>
      </c>
      <c r="H140" s="32">
        <f>H135-H136-H139</f>
        <v>145324.12748836068</v>
      </c>
      <c r="I140" s="32">
        <f>I135-I136-I139</f>
        <v>139529.54766646959</v>
      </c>
      <c r="J140" s="32">
        <f>J135-J136-J139</f>
        <v>133738.0978668904</v>
      </c>
      <c r="K140" s="95"/>
      <c r="L140" s="50"/>
      <c r="M140" s="15"/>
    </row>
    <row r="141" spans="1:13">
      <c r="A141" s="50"/>
      <c r="B141" s="50"/>
      <c r="C141" s="50"/>
      <c r="D141" s="50"/>
      <c r="E141" s="32"/>
      <c r="F141" s="32"/>
      <c r="G141" s="32"/>
      <c r="H141" s="32"/>
      <c r="I141" s="32"/>
      <c r="J141" s="32"/>
      <c r="K141" s="95"/>
      <c r="L141" s="27"/>
      <c r="M141" s="15"/>
    </row>
    <row r="142" spans="1:13" ht="15.75">
      <c r="A142" s="50"/>
      <c r="B142" s="50"/>
      <c r="C142" s="162" t="s">
        <v>66</v>
      </c>
      <c r="D142" s="50"/>
      <c r="E142" s="50"/>
      <c r="F142" s="50"/>
      <c r="G142" s="50"/>
      <c r="H142" s="50"/>
      <c r="I142" s="50"/>
      <c r="J142" s="50"/>
      <c r="K142" s="95"/>
      <c r="L142" s="27"/>
      <c r="M142" s="15"/>
    </row>
    <row r="143" spans="1:13">
      <c r="A143" s="50"/>
      <c r="B143" s="50"/>
      <c r="C143" s="50" t="s">
        <v>155</v>
      </c>
      <c r="D143" s="50"/>
      <c r="E143" s="32">
        <f t="shared" ref="E143:J143" si="23">E59+E100</f>
        <v>168527.97435947764</v>
      </c>
      <c r="F143" s="32">
        <f t="shared" si="23"/>
        <v>172310.21317267235</v>
      </c>
      <c r="G143" s="32">
        <f t="shared" si="23"/>
        <v>178127.66694419167</v>
      </c>
      <c r="H143" s="32">
        <f t="shared" si="23"/>
        <v>184114.65157888463</v>
      </c>
      <c r="I143" s="32">
        <f t="shared" si="23"/>
        <v>190103.32563119655</v>
      </c>
      <c r="J143" s="32">
        <f t="shared" si="23"/>
        <v>196201.82844755659</v>
      </c>
      <c r="K143" s="95"/>
      <c r="L143" s="27"/>
      <c r="M143" s="15"/>
    </row>
    <row r="144" spans="1:13">
      <c r="A144" s="50"/>
      <c r="B144" s="50"/>
      <c r="C144" s="50" t="s">
        <v>154</v>
      </c>
      <c r="D144" s="50"/>
      <c r="E144" s="32">
        <f t="shared" ref="E144:J146" si="24">E63+E101</f>
        <v>2898.5839570286976</v>
      </c>
      <c r="F144" s="32">
        <f t="shared" si="24"/>
        <v>3407.084814492453</v>
      </c>
      <c r="G144" s="32">
        <f t="shared" si="24"/>
        <v>4327.296666956493</v>
      </c>
      <c r="H144" s="32">
        <f t="shared" si="24"/>
        <v>4207.1413114705156</v>
      </c>
      <c r="I144" s="32">
        <f t="shared" si="24"/>
        <v>4069.7128144372241</v>
      </c>
      <c r="J144" s="32">
        <f t="shared" si="24"/>
        <v>3917.143275753634</v>
      </c>
      <c r="K144" s="95"/>
      <c r="L144" s="50"/>
      <c r="M144" s="15"/>
    </row>
    <row r="145" spans="1:13">
      <c r="A145" s="50"/>
      <c r="B145" s="50"/>
      <c r="C145" s="50" t="s">
        <v>153</v>
      </c>
      <c r="D145" s="50"/>
      <c r="E145" s="32">
        <f t="shared" si="24"/>
        <v>5635.3221811466228</v>
      </c>
      <c r="F145" s="32">
        <f t="shared" si="24"/>
        <v>5878.4483271793297</v>
      </c>
      <c r="G145" s="32">
        <f t="shared" si="24"/>
        <v>6180.6110710402754</v>
      </c>
      <c r="H145" s="32">
        <f t="shared" si="24"/>
        <v>6507.7741677129879</v>
      </c>
      <c r="I145" s="32">
        <f t="shared" si="24"/>
        <v>6843.2536132470541</v>
      </c>
      <c r="J145" s="32">
        <f t="shared" si="24"/>
        <v>7189.1988387424863</v>
      </c>
      <c r="K145" s="95"/>
      <c r="L145" s="50"/>
      <c r="M145" s="15"/>
    </row>
    <row r="146" spans="1:13">
      <c r="A146" s="50"/>
      <c r="B146" s="50"/>
      <c r="C146" s="50" t="s">
        <v>156</v>
      </c>
      <c r="D146" s="50"/>
      <c r="E146" s="32">
        <f t="shared" si="24"/>
        <v>172310.21317267235</v>
      </c>
      <c r="F146" s="32">
        <f t="shared" si="24"/>
        <v>178127.66694419167</v>
      </c>
      <c r="G146" s="32">
        <f t="shared" si="24"/>
        <v>184114.65157888463</v>
      </c>
      <c r="H146" s="32">
        <f t="shared" si="24"/>
        <v>190103.32563119655</v>
      </c>
      <c r="I146" s="32">
        <f t="shared" si="24"/>
        <v>196201.82844755659</v>
      </c>
      <c r="J146" s="32">
        <f t="shared" si="24"/>
        <v>201238.29671811787</v>
      </c>
      <c r="K146" s="95"/>
      <c r="L146" s="50"/>
      <c r="M146" s="15"/>
    </row>
    <row r="147" spans="1:13">
      <c r="A147" s="50"/>
      <c r="B147" s="50"/>
      <c r="C147" s="50" t="s">
        <v>45</v>
      </c>
      <c r="D147" s="50"/>
      <c r="E147" s="32">
        <f t="shared" ref="E147:J147" si="25">E132+E139</f>
        <v>5635.3221811466228</v>
      </c>
      <c r="F147" s="32">
        <f t="shared" si="25"/>
        <v>5778.1709098218116</v>
      </c>
      <c r="G147" s="32">
        <f t="shared" si="25"/>
        <v>5959.9759252073563</v>
      </c>
      <c r="H147" s="32">
        <f t="shared" si="25"/>
        <v>6131.5387124000808</v>
      </c>
      <c r="I147" s="32">
        <f t="shared" si="25"/>
        <v>6312.7707893322658</v>
      </c>
      <c r="J147" s="32">
        <f t="shared" si="25"/>
        <v>6506.6133779145239</v>
      </c>
      <c r="K147" s="95"/>
      <c r="L147" s="50"/>
      <c r="M147" s="15"/>
    </row>
    <row r="148" spans="1:13">
      <c r="A148" s="50"/>
      <c r="B148" s="50"/>
      <c r="C148" s="50" t="s">
        <v>178</v>
      </c>
      <c r="D148" s="50"/>
      <c r="E148" s="128"/>
      <c r="F148" s="165">
        <f>F143+F107+F144-F145-F56-F146</f>
        <v>0</v>
      </c>
      <c r="G148" s="165">
        <f>G143+G107+G144-G145-G56-G146</f>
        <v>0</v>
      </c>
      <c r="H148" s="165">
        <f>H143+H107+H144-H145-H56-H146</f>
        <v>0</v>
      </c>
      <c r="I148" s="165">
        <f>I143+I107+I144-I145-I56-I146</f>
        <v>0</v>
      </c>
      <c r="J148" s="165">
        <f>J143+J107+J144-J145-J56-J146</f>
        <v>0</v>
      </c>
      <c r="K148" s="95"/>
      <c r="L148" s="50"/>
      <c r="M148" s="15"/>
    </row>
    <row r="149" spans="1:13">
      <c r="A149" s="50"/>
      <c r="B149" s="50"/>
      <c r="C149" s="50"/>
      <c r="D149" s="50"/>
      <c r="E149" s="50"/>
      <c r="F149" s="32"/>
      <c r="G149" s="32"/>
      <c r="H149" s="50"/>
      <c r="I149" s="50"/>
      <c r="J149" s="50"/>
      <c r="K149" s="95"/>
      <c r="L149" s="50"/>
      <c r="M149" s="15"/>
    </row>
    <row r="150" spans="1:13" ht="15.75">
      <c r="A150" s="50"/>
      <c r="B150" s="50"/>
      <c r="C150" s="162" t="s">
        <v>90</v>
      </c>
      <c r="D150" s="50"/>
      <c r="E150" s="50"/>
      <c r="F150" s="50"/>
      <c r="G150" s="50"/>
      <c r="H150" s="50"/>
      <c r="I150" s="50"/>
      <c r="J150" s="50"/>
      <c r="K150" s="95"/>
      <c r="L150" s="50"/>
      <c r="M150" s="15"/>
    </row>
    <row r="151" spans="1:13" ht="15.75">
      <c r="A151" s="50"/>
      <c r="B151" s="50"/>
      <c r="C151" s="158" t="s">
        <v>160</v>
      </c>
      <c r="D151" s="50"/>
      <c r="E151" s="129"/>
      <c r="F151" s="166">
        <f>F143/$E143</f>
        <v>1.0224427951950994</v>
      </c>
      <c r="G151" s="166">
        <f>G143/$E143</f>
        <v>1.0569620125157231</v>
      </c>
      <c r="H151" s="166">
        <f>H143/$E143</f>
        <v>1.0924871807107817</v>
      </c>
      <c r="I151" s="166">
        <f>I143/$E143</f>
        <v>1.1280223734588879</v>
      </c>
      <c r="J151" s="166">
        <f>J143/$E143</f>
        <v>1.1642092607666985</v>
      </c>
      <c r="K151" s="95"/>
      <c r="L151" s="50"/>
      <c r="M151" s="15"/>
    </row>
    <row r="152" spans="1:13">
      <c r="A152" s="50"/>
      <c r="B152" s="50"/>
      <c r="C152" s="50" t="s">
        <v>90</v>
      </c>
      <c r="D152" s="50"/>
      <c r="E152" s="129">
        <f>IF(E20&gt;0,E20,0)</f>
        <v>0</v>
      </c>
      <c r="F152" s="32">
        <f>$E152*F151</f>
        <v>0</v>
      </c>
      <c r="G152" s="32">
        <f>$E152*G151</f>
        <v>0</v>
      </c>
      <c r="H152" s="32">
        <f>$E152*H151</f>
        <v>0</v>
      </c>
      <c r="I152" s="32">
        <f>$E152*I151</f>
        <v>0</v>
      </c>
      <c r="J152" s="32">
        <f>$E152*J151</f>
        <v>0</v>
      </c>
      <c r="K152" s="95"/>
      <c r="L152" s="50"/>
      <c r="M152" s="15"/>
    </row>
    <row r="153" spans="1:13">
      <c r="A153" s="50"/>
      <c r="B153" s="50"/>
      <c r="C153" s="50"/>
      <c r="D153" s="50"/>
      <c r="E153" s="50"/>
      <c r="F153" s="50"/>
      <c r="G153" s="50"/>
      <c r="H153" s="50"/>
      <c r="I153" s="50"/>
      <c r="J153" s="50"/>
      <c r="K153" s="95"/>
      <c r="L153" s="50"/>
      <c r="M153" s="15"/>
    </row>
    <row r="154" spans="1:13" ht="15.75">
      <c r="A154" s="50"/>
      <c r="B154" s="50"/>
      <c r="C154" s="162" t="s">
        <v>46</v>
      </c>
      <c r="D154" s="50"/>
      <c r="E154" s="50"/>
      <c r="F154" s="50"/>
      <c r="G154" s="50"/>
      <c r="H154" s="50"/>
      <c r="I154" s="50"/>
      <c r="J154" s="50"/>
      <c r="K154" s="95"/>
      <c r="L154" s="27"/>
      <c r="M154" s="15"/>
    </row>
    <row r="155" spans="1:13">
      <c r="A155" s="50"/>
      <c r="B155" s="50"/>
      <c r="C155" s="50" t="s">
        <v>157</v>
      </c>
      <c r="D155" s="49">
        <f>E17/E18</f>
        <v>0.12295552292742845</v>
      </c>
      <c r="E155" s="50"/>
      <c r="F155" s="50"/>
      <c r="G155" s="50"/>
      <c r="H155" s="50"/>
      <c r="I155" s="50"/>
      <c r="J155" s="50"/>
      <c r="K155" s="95"/>
      <c r="L155" s="125"/>
      <c r="M155" s="15"/>
    </row>
    <row r="156" spans="1:13">
      <c r="A156" s="50"/>
      <c r="B156" s="50"/>
      <c r="C156" s="50" t="s">
        <v>167</v>
      </c>
      <c r="D156" s="50"/>
      <c r="E156" s="129">
        <f>E18</f>
        <v>39460.43495739979</v>
      </c>
      <c r="F156" s="32">
        <f>E159</f>
        <v>41290.58320495284</v>
      </c>
      <c r="G156" s="32">
        <f>F159</f>
        <v>44678.133001654525</v>
      </c>
      <c r="H156" s="32">
        <f>G159</f>
        <v>47203.405304541149</v>
      </c>
      <c r="I156" s="32">
        <f>H159</f>
        <v>49870.407793698789</v>
      </c>
      <c r="J156" s="32">
        <f>I159</f>
        <v>52795.442796797775</v>
      </c>
      <c r="K156" s="95"/>
      <c r="L156" s="125"/>
      <c r="M156" s="15"/>
    </row>
    <row r="157" spans="1:13">
      <c r="A157" s="50"/>
      <c r="B157" s="50"/>
      <c r="C157" s="50" t="s">
        <v>34</v>
      </c>
      <c r="D157" s="50"/>
      <c r="E157" s="129">
        <f>E17</f>
        <v>4851.8784151308691</v>
      </c>
      <c r="F157" s="32">
        <f>F156*$D155</f>
        <v>5076.9052499434711</v>
      </c>
      <c r="G157" s="32">
        <f>G156*$D155</f>
        <v>5493.4232066396307</v>
      </c>
      <c r="H157" s="32">
        <f>H156*$D155</f>
        <v>5803.9193831752073</v>
      </c>
      <c r="I157" s="32">
        <f>I156*$D155</f>
        <v>6131.8420688783381</v>
      </c>
      <c r="J157" s="32">
        <f>J156*$D155</f>
        <v>6491.4912772654061</v>
      </c>
      <c r="K157" s="95"/>
      <c r="L157" s="50"/>
      <c r="M157" s="15"/>
    </row>
    <row r="158" spans="1:13">
      <c r="A158" s="50"/>
      <c r="B158" s="50"/>
      <c r="C158" s="50" t="s">
        <v>98</v>
      </c>
      <c r="D158" s="50"/>
      <c r="E158" s="32">
        <f t="shared" ref="E158:J158" si="26">E29</f>
        <v>6682.0266626839202</v>
      </c>
      <c r="F158" s="32">
        <f t="shared" si="26"/>
        <v>8464.4550466451528</v>
      </c>
      <c r="G158" s="32">
        <f t="shared" si="26"/>
        <v>8018.6955095262529</v>
      </c>
      <c r="H158" s="32">
        <f t="shared" si="26"/>
        <v>8470.9218723328486</v>
      </c>
      <c r="I158" s="32">
        <f t="shared" si="26"/>
        <v>9056.877071977322</v>
      </c>
      <c r="J158" s="32">
        <f t="shared" si="26"/>
        <v>8497.6486143962611</v>
      </c>
      <c r="K158" s="95"/>
      <c r="L158" s="125"/>
      <c r="M158" s="15"/>
    </row>
    <row r="159" spans="1:13">
      <c r="A159" s="50"/>
      <c r="B159" s="50"/>
      <c r="C159" s="50" t="s">
        <v>127</v>
      </c>
      <c r="D159" s="50"/>
      <c r="E159" s="32">
        <f t="shared" ref="E159:J159" si="27">E156-E157+E158</f>
        <v>41290.58320495284</v>
      </c>
      <c r="F159" s="32">
        <f t="shared" si="27"/>
        <v>44678.133001654525</v>
      </c>
      <c r="G159" s="32">
        <f t="shared" si="27"/>
        <v>47203.405304541149</v>
      </c>
      <c r="H159" s="32">
        <f t="shared" si="27"/>
        <v>49870.407793698789</v>
      </c>
      <c r="I159" s="32">
        <f t="shared" si="27"/>
        <v>52795.442796797775</v>
      </c>
      <c r="J159" s="32">
        <f t="shared" si="27"/>
        <v>54801.60013392863</v>
      </c>
      <c r="K159" s="95"/>
      <c r="L159" s="125"/>
      <c r="M159" s="15"/>
    </row>
    <row r="160" spans="1:13">
      <c r="A160" s="50"/>
      <c r="B160" s="50"/>
      <c r="C160" s="50"/>
      <c r="D160" s="50"/>
      <c r="E160" s="50"/>
      <c r="F160" s="50"/>
      <c r="G160" s="50"/>
      <c r="H160" s="50"/>
      <c r="I160" s="50"/>
      <c r="J160" s="50"/>
      <c r="K160" s="95"/>
      <c r="L160" s="27"/>
      <c r="M160" s="15"/>
    </row>
    <row r="161" spans="1:13" ht="15.75">
      <c r="A161" s="50"/>
      <c r="B161" s="50"/>
      <c r="C161" s="162" t="s">
        <v>128</v>
      </c>
      <c r="D161" s="50"/>
      <c r="E161" s="50"/>
      <c r="F161" s="50"/>
      <c r="G161" s="50"/>
      <c r="H161" s="50"/>
      <c r="I161" s="50"/>
      <c r="J161" s="50"/>
      <c r="K161" s="95"/>
      <c r="L161" s="27"/>
      <c r="M161" s="15"/>
    </row>
    <row r="162" spans="1:13">
      <c r="A162" s="50"/>
      <c r="B162" s="50"/>
      <c r="C162" s="50" t="s">
        <v>126</v>
      </c>
      <c r="D162" s="50"/>
      <c r="E162" s="32">
        <f t="shared" ref="E162:J162" si="28">E147-E157</f>
        <v>783.44376601575368</v>
      </c>
      <c r="F162" s="32">
        <f t="shared" si="28"/>
        <v>701.26565987834056</v>
      </c>
      <c r="G162" s="32">
        <f t="shared" si="28"/>
        <v>466.55271856772561</v>
      </c>
      <c r="H162" s="32">
        <f t="shared" si="28"/>
        <v>327.61932922487358</v>
      </c>
      <c r="I162" s="32">
        <f t="shared" si="28"/>
        <v>180.92872045392778</v>
      </c>
      <c r="J162" s="32">
        <f t="shared" si="28"/>
        <v>15.122100649117783</v>
      </c>
      <c r="K162" s="95"/>
      <c r="L162" s="50"/>
      <c r="M162" s="15"/>
    </row>
    <row r="163" spans="1:13">
      <c r="A163" s="50"/>
      <c r="B163" s="50"/>
      <c r="C163" s="50"/>
      <c r="D163" s="50"/>
      <c r="E163" s="50"/>
      <c r="F163" s="50"/>
      <c r="G163" s="50"/>
      <c r="H163" s="50"/>
      <c r="I163" s="50"/>
      <c r="J163" s="50"/>
      <c r="K163" s="95"/>
      <c r="L163" s="50"/>
      <c r="M163" s="15"/>
    </row>
    <row r="164" spans="1:13" ht="15.75">
      <c r="A164" s="50"/>
      <c r="B164" s="50"/>
      <c r="C164" s="162" t="s">
        <v>47</v>
      </c>
      <c r="D164" s="50"/>
      <c r="E164" s="50"/>
      <c r="F164" s="50"/>
      <c r="G164" s="50"/>
      <c r="H164" s="50"/>
      <c r="I164" s="50"/>
      <c r="J164" s="50"/>
      <c r="K164" s="95"/>
      <c r="L164" s="50"/>
      <c r="M164" s="15"/>
    </row>
    <row r="165" spans="1:13">
      <c r="A165" s="50"/>
      <c r="B165" s="50"/>
      <c r="C165" s="50" t="s">
        <v>151</v>
      </c>
      <c r="D165" s="50"/>
      <c r="E165" s="193">
        <v>0</v>
      </c>
      <c r="F165" s="31">
        <f>E168</f>
        <v>-2547.7083709698918</v>
      </c>
      <c r="G165" s="31">
        <f>F168</f>
        <v>-5120.0701737810077</v>
      </c>
      <c r="H165" s="31">
        <f>G168</f>
        <v>-7586.6608133050213</v>
      </c>
      <c r="I165" s="31">
        <f>H168</f>
        <v>-10092.152801845034</v>
      </c>
      <c r="J165" s="31">
        <f>I168</f>
        <v>-12638.71816084091</v>
      </c>
      <c r="K165" s="95"/>
      <c r="L165" s="50"/>
      <c r="M165" s="15"/>
    </row>
    <row r="166" spans="1:13">
      <c r="A166" s="50"/>
      <c r="B166" s="50"/>
      <c r="C166" s="50" t="s">
        <v>126</v>
      </c>
      <c r="D166" s="50"/>
      <c r="E166" s="32">
        <f t="shared" ref="E166:J166" si="29">E162</f>
        <v>783.44376601575368</v>
      </c>
      <c r="F166" s="32">
        <f t="shared" si="29"/>
        <v>701.26565987834056</v>
      </c>
      <c r="G166" s="32">
        <f t="shared" si="29"/>
        <v>466.55271856772561</v>
      </c>
      <c r="H166" s="32">
        <f t="shared" si="29"/>
        <v>327.61932922487358</v>
      </c>
      <c r="I166" s="32">
        <f t="shared" si="29"/>
        <v>180.92872045392778</v>
      </c>
      <c r="J166" s="32">
        <f t="shared" si="29"/>
        <v>15.122100649117783</v>
      </c>
      <c r="K166" s="95"/>
      <c r="L166" s="50"/>
      <c r="M166" s="15"/>
    </row>
    <row r="167" spans="1:13">
      <c r="A167" s="50"/>
      <c r="B167" s="50"/>
      <c r="C167" s="50" t="s">
        <v>48</v>
      </c>
      <c r="D167" s="50"/>
      <c r="E167" s="129">
        <f>(E11-E18)/E19</f>
        <v>9275.8050025820594</v>
      </c>
      <c r="F167" s="32">
        <f>E167</f>
        <v>9275.8050025820594</v>
      </c>
      <c r="G167" s="32">
        <f>F167</f>
        <v>9275.8050025820594</v>
      </c>
      <c r="H167" s="32">
        <f>G167</f>
        <v>9275.8050025820594</v>
      </c>
      <c r="I167" s="32">
        <f>H167</f>
        <v>9275.8050025820594</v>
      </c>
      <c r="J167" s="32">
        <f>I167</f>
        <v>9275.8050025820594</v>
      </c>
      <c r="K167" s="95"/>
      <c r="L167" s="50"/>
      <c r="M167" s="15"/>
    </row>
    <row r="168" spans="1:13">
      <c r="A168" s="50"/>
      <c r="B168" s="50"/>
      <c r="C168" s="50" t="s">
        <v>152</v>
      </c>
      <c r="D168" s="50"/>
      <c r="E168" s="31">
        <f t="shared" ref="E168:J168" si="30">E165+(E166-E167)*E53</f>
        <v>-2547.7083709698918</v>
      </c>
      <c r="F168" s="31">
        <f t="shared" si="30"/>
        <v>-5120.0701737810077</v>
      </c>
      <c r="G168" s="31">
        <f t="shared" si="30"/>
        <v>-7586.6608133050213</v>
      </c>
      <c r="H168" s="31">
        <f t="shared" si="30"/>
        <v>-10092.152801845034</v>
      </c>
      <c r="I168" s="31">
        <f t="shared" si="30"/>
        <v>-12638.71816084091</v>
      </c>
      <c r="J168" s="31">
        <f t="shared" si="30"/>
        <v>-15231.709373382135</v>
      </c>
      <c r="K168" s="95"/>
      <c r="L168" s="50"/>
      <c r="M168" s="15"/>
    </row>
    <row r="169" spans="1:13">
      <c r="A169" s="50"/>
      <c r="B169" s="50"/>
      <c r="C169" s="50"/>
      <c r="D169" s="50"/>
      <c r="E169" s="31"/>
      <c r="F169" s="31"/>
      <c r="G169" s="31"/>
      <c r="H169" s="31"/>
      <c r="I169" s="31"/>
      <c r="J169" s="31"/>
      <c r="K169" s="95"/>
      <c r="L169" s="27"/>
      <c r="M169" s="15"/>
    </row>
    <row r="170" spans="1:13" ht="15.75">
      <c r="A170" s="50"/>
      <c r="B170" s="50"/>
      <c r="C170" s="162" t="s">
        <v>196</v>
      </c>
      <c r="D170" s="50"/>
      <c r="E170" s="50"/>
      <c r="F170" s="50"/>
      <c r="G170" s="50"/>
      <c r="H170" s="50"/>
      <c r="I170" s="50"/>
      <c r="J170" s="50"/>
      <c r="K170" s="95"/>
      <c r="L170" s="27"/>
      <c r="M170" s="15"/>
    </row>
    <row r="171" spans="1:13">
      <c r="A171" s="50"/>
      <c r="B171" s="50"/>
      <c r="C171" s="50" t="s">
        <v>106</v>
      </c>
      <c r="D171" s="50"/>
      <c r="E171" s="32">
        <f t="shared" ref="E171:J171" si="31">E143+E165</f>
        <v>168527.97435947764</v>
      </c>
      <c r="F171" s="32">
        <f t="shared" si="31"/>
        <v>169762.50480170245</v>
      </c>
      <c r="G171" s="32">
        <f t="shared" si="31"/>
        <v>173007.59677041066</v>
      </c>
      <c r="H171" s="32">
        <f t="shared" si="31"/>
        <v>176527.9907655796</v>
      </c>
      <c r="I171" s="32">
        <f t="shared" si="31"/>
        <v>180011.1728293515</v>
      </c>
      <c r="J171" s="32">
        <f t="shared" si="31"/>
        <v>183563.11028671567</v>
      </c>
      <c r="K171" s="95"/>
      <c r="L171" s="50"/>
      <c r="M171" s="15"/>
    </row>
    <row r="172" spans="1:13">
      <c r="A172" s="50"/>
      <c r="B172" s="50"/>
      <c r="C172" s="50" t="s">
        <v>98</v>
      </c>
      <c r="D172" s="50"/>
      <c r="E172" s="32">
        <f t="shared" ref="E172:J172" si="32">E29</f>
        <v>6682.0266626839202</v>
      </c>
      <c r="F172" s="32">
        <f t="shared" si="32"/>
        <v>8464.4550466451528</v>
      </c>
      <c r="G172" s="32">
        <f t="shared" si="32"/>
        <v>8018.6955095262529</v>
      </c>
      <c r="H172" s="32">
        <f t="shared" si="32"/>
        <v>8470.9218723328486</v>
      </c>
      <c r="I172" s="32">
        <f t="shared" si="32"/>
        <v>9056.877071977322</v>
      </c>
      <c r="J172" s="32">
        <f t="shared" si="32"/>
        <v>8497.6486143962611</v>
      </c>
      <c r="K172" s="95"/>
      <c r="L172" s="50"/>
      <c r="M172" s="15"/>
    </row>
    <row r="173" spans="1:13">
      <c r="A173" s="50"/>
      <c r="B173" s="50"/>
      <c r="C173" s="50" t="s">
        <v>111</v>
      </c>
      <c r="D173" s="50"/>
      <c r="E173" s="96">
        <f t="shared" ref="E173:J173" si="33">E152</f>
        <v>0</v>
      </c>
      <c r="F173" s="96">
        <f t="shared" si="33"/>
        <v>0</v>
      </c>
      <c r="G173" s="96">
        <f t="shared" si="33"/>
        <v>0</v>
      </c>
      <c r="H173" s="96">
        <f t="shared" si="33"/>
        <v>0</v>
      </c>
      <c r="I173" s="96">
        <f t="shared" si="33"/>
        <v>0</v>
      </c>
      <c r="J173" s="96">
        <f t="shared" si="33"/>
        <v>0</v>
      </c>
      <c r="K173" s="95"/>
      <c r="L173" s="50"/>
      <c r="M173" s="15"/>
    </row>
    <row r="174" spans="1:13">
      <c r="A174" s="50"/>
      <c r="B174" s="50"/>
      <c r="C174" s="50" t="s">
        <v>44</v>
      </c>
      <c r="D174" s="50"/>
      <c r="E174" s="96">
        <f t="shared" ref="E174:J174" si="34">E144</f>
        <v>2898.5839570286976</v>
      </c>
      <c r="F174" s="96">
        <f t="shared" si="34"/>
        <v>3407.084814492453</v>
      </c>
      <c r="G174" s="96">
        <f t="shared" si="34"/>
        <v>4327.296666956493</v>
      </c>
      <c r="H174" s="96">
        <f t="shared" si="34"/>
        <v>4207.1413114705156</v>
      </c>
      <c r="I174" s="96">
        <f t="shared" si="34"/>
        <v>4069.7128144372241</v>
      </c>
      <c r="J174" s="96">
        <f t="shared" si="34"/>
        <v>3917.143275753634</v>
      </c>
      <c r="K174" s="95"/>
      <c r="L174" s="50"/>
      <c r="M174" s="15"/>
    </row>
    <row r="175" spans="1:13">
      <c r="A175" s="50"/>
      <c r="B175" s="50"/>
      <c r="C175" s="50" t="s">
        <v>196</v>
      </c>
      <c r="D175" s="50"/>
      <c r="E175" s="32">
        <f t="shared" ref="E175:J175" si="35">E171*WACC+E172*($D$48-1)+E173-E174</f>
        <v>12167.366760820627</v>
      </c>
      <c r="F175" s="32">
        <f t="shared" si="35"/>
        <v>11843.437262769496</v>
      </c>
      <c r="G175" s="32">
        <f t="shared" si="35"/>
        <v>11188.737690281658</v>
      </c>
      <c r="H175" s="32">
        <f t="shared" si="35"/>
        <v>11636.990719764579</v>
      </c>
      <c r="I175" s="32">
        <f t="shared" si="35"/>
        <v>12104.978131883472</v>
      </c>
      <c r="J175" s="32">
        <f t="shared" si="35"/>
        <v>12545.112868535285</v>
      </c>
      <c r="K175" s="95"/>
      <c r="L175" s="50"/>
      <c r="M175" s="15"/>
    </row>
    <row r="176" spans="1:13">
      <c r="A176" s="50"/>
      <c r="B176" s="50"/>
      <c r="C176" s="50"/>
      <c r="D176" s="50"/>
      <c r="E176" s="31"/>
      <c r="F176" s="31"/>
      <c r="G176" s="31"/>
      <c r="H176" s="31"/>
      <c r="I176" s="31"/>
      <c r="J176" s="31"/>
      <c r="K176" s="95"/>
      <c r="L176" s="27"/>
      <c r="M176" s="15"/>
    </row>
    <row r="177" spans="1:13" ht="15.75">
      <c r="A177" s="50"/>
      <c r="B177" s="50"/>
      <c r="C177" s="162" t="s">
        <v>49</v>
      </c>
      <c r="D177" s="50"/>
      <c r="E177" s="50"/>
      <c r="F177" s="50"/>
      <c r="G177" s="50"/>
      <c r="H177" s="50"/>
      <c r="I177" s="50"/>
      <c r="J177" s="50"/>
      <c r="K177" s="95"/>
      <c r="L177" s="27"/>
      <c r="M177" s="15"/>
    </row>
    <row r="178" spans="1:13">
      <c r="A178" s="50"/>
      <c r="B178" s="50"/>
      <c r="C178" s="50" t="s">
        <v>50</v>
      </c>
      <c r="D178" s="50"/>
      <c r="E178" s="31">
        <f t="shared" ref="E178:J178" si="36">E171*Leverage*Debt+E152</f>
        <v>5880.2780813508934</v>
      </c>
      <c r="F178" s="31">
        <f t="shared" si="36"/>
        <v>5923.3533175410012</v>
      </c>
      <c r="G178" s="31">
        <f t="shared" si="36"/>
        <v>6036.5810665131685</v>
      </c>
      <c r="H178" s="31">
        <f t="shared" si="36"/>
        <v>6159.4146537926035</v>
      </c>
      <c r="I178" s="31">
        <f t="shared" si="36"/>
        <v>6280.9498423617324</v>
      </c>
      <c r="J178" s="31">
        <f t="shared" si="36"/>
        <v>6404.8840441240827</v>
      </c>
      <c r="K178" s="95"/>
      <c r="L178" s="50"/>
      <c r="M178" s="15"/>
    </row>
    <row r="179" spans="1:13">
      <c r="A179" s="50"/>
      <c r="B179" s="50"/>
      <c r="C179" s="50" t="s">
        <v>51</v>
      </c>
      <c r="D179" s="50"/>
      <c r="E179" s="31">
        <f t="shared" ref="E179:J179" si="37">E145-E147</f>
        <v>0</v>
      </c>
      <c r="F179" s="31">
        <f t="shared" si="37"/>
        <v>100.27741735751806</v>
      </c>
      <c r="G179" s="31">
        <f t="shared" si="37"/>
        <v>220.63514583291908</v>
      </c>
      <c r="H179" s="31">
        <f t="shared" si="37"/>
        <v>376.23545531290711</v>
      </c>
      <c r="I179" s="31">
        <f t="shared" si="37"/>
        <v>530.48282391478824</v>
      </c>
      <c r="J179" s="31">
        <f t="shared" si="37"/>
        <v>682.58546082796238</v>
      </c>
      <c r="K179" s="95"/>
      <c r="L179" s="50"/>
      <c r="M179" s="15"/>
    </row>
    <row r="180" spans="1:13">
      <c r="A180" s="50"/>
      <c r="B180" s="50"/>
      <c r="C180" s="50" t="s">
        <v>52</v>
      </c>
      <c r="D180" s="50"/>
      <c r="E180" s="31">
        <f t="shared" ref="E180:J180" si="38">E167+E179-E178</f>
        <v>3395.5269212311659</v>
      </c>
      <c r="F180" s="31">
        <f t="shared" si="38"/>
        <v>3452.7291023985763</v>
      </c>
      <c r="G180" s="31">
        <f t="shared" si="38"/>
        <v>3459.85908190181</v>
      </c>
      <c r="H180" s="31">
        <f t="shared" si="38"/>
        <v>3492.6258041023639</v>
      </c>
      <c r="I180" s="31">
        <f t="shared" si="38"/>
        <v>3525.3379841351152</v>
      </c>
      <c r="J180" s="31">
        <f t="shared" si="38"/>
        <v>3553.506419285939</v>
      </c>
      <c r="K180" s="95"/>
      <c r="L180" s="50"/>
      <c r="M180" s="15"/>
    </row>
    <row r="181" spans="1:13">
      <c r="A181" s="50"/>
      <c r="B181" s="50"/>
      <c r="C181" s="50"/>
      <c r="D181" s="50"/>
      <c r="E181" s="50"/>
      <c r="F181" s="167"/>
      <c r="G181" s="32"/>
      <c r="H181" s="32"/>
      <c r="I181" s="32"/>
      <c r="J181" s="32"/>
      <c r="K181" s="95"/>
      <c r="L181" s="50"/>
      <c r="M181" s="15"/>
    </row>
    <row r="182" spans="1:13" ht="15.75">
      <c r="A182" s="50"/>
      <c r="B182" s="50"/>
      <c r="C182" s="162" t="s">
        <v>107</v>
      </c>
      <c r="D182" s="50"/>
      <c r="E182" s="50"/>
      <c r="F182" s="167"/>
      <c r="G182" s="32"/>
      <c r="H182" s="32"/>
      <c r="I182" s="32"/>
      <c r="J182" s="32"/>
      <c r="K182" s="95"/>
      <c r="L182" s="27"/>
      <c r="M182" s="15"/>
    </row>
    <row r="183" spans="1:13">
      <c r="A183" s="50"/>
      <c r="B183" s="50"/>
      <c r="C183" s="50" t="s">
        <v>153</v>
      </c>
      <c r="D183" s="50"/>
      <c r="E183" s="32">
        <f t="shared" ref="E183:J183" si="39">E145</f>
        <v>5635.3221811466228</v>
      </c>
      <c r="F183" s="32">
        <f t="shared" si="39"/>
        <v>5878.4483271793297</v>
      </c>
      <c r="G183" s="32">
        <f t="shared" si="39"/>
        <v>6180.6110710402754</v>
      </c>
      <c r="H183" s="32">
        <f t="shared" si="39"/>
        <v>6507.7741677129879</v>
      </c>
      <c r="I183" s="32">
        <f t="shared" si="39"/>
        <v>6843.2536132470541</v>
      </c>
      <c r="J183" s="32">
        <f t="shared" si="39"/>
        <v>7189.1988387424863</v>
      </c>
      <c r="K183" s="95"/>
      <c r="L183" s="50"/>
      <c r="M183" s="15"/>
    </row>
    <row r="184" spans="1:13">
      <c r="A184" s="50"/>
      <c r="B184" s="50"/>
      <c r="C184" s="50" t="s">
        <v>107</v>
      </c>
      <c r="D184" s="50"/>
      <c r="E184" s="96">
        <f t="shared" ref="E184:J184" si="40">E183</f>
        <v>5635.3221811466228</v>
      </c>
      <c r="F184" s="96">
        <f t="shared" si="40"/>
        <v>5878.4483271793297</v>
      </c>
      <c r="G184" s="96">
        <f t="shared" si="40"/>
        <v>6180.6110710402754</v>
      </c>
      <c r="H184" s="96">
        <f t="shared" si="40"/>
        <v>6507.7741677129879</v>
      </c>
      <c r="I184" s="96">
        <f t="shared" si="40"/>
        <v>6843.2536132470541</v>
      </c>
      <c r="J184" s="96">
        <f t="shared" si="40"/>
        <v>7189.1988387424863</v>
      </c>
      <c r="K184" s="95"/>
      <c r="L184" s="50"/>
      <c r="M184" s="15"/>
    </row>
    <row r="185" spans="1:13">
      <c r="A185" s="50"/>
      <c r="B185" s="50"/>
      <c r="C185" s="50"/>
      <c r="D185" s="50"/>
      <c r="E185" s="50"/>
      <c r="F185" s="96"/>
      <c r="G185" s="96"/>
      <c r="H185" s="96"/>
      <c r="I185" s="96"/>
      <c r="J185" s="96"/>
      <c r="K185" s="95"/>
      <c r="L185" s="50"/>
      <c r="M185" s="15"/>
    </row>
    <row r="186" spans="1:13" ht="15.75">
      <c r="A186" s="50"/>
      <c r="B186" s="50"/>
      <c r="C186" s="121" t="s">
        <v>122</v>
      </c>
      <c r="D186" s="50"/>
      <c r="E186" s="50"/>
      <c r="F186" s="96"/>
      <c r="G186" s="96"/>
      <c r="H186" s="96"/>
      <c r="I186" s="96"/>
      <c r="J186" s="96"/>
      <c r="K186" s="95"/>
      <c r="L186" s="27"/>
      <c r="M186" s="15"/>
    </row>
    <row r="187" spans="1:13">
      <c r="A187" s="50"/>
      <c r="B187" s="50"/>
      <c r="C187" s="50" t="s">
        <v>122</v>
      </c>
      <c r="D187" s="50"/>
      <c r="E187" s="32">
        <f t="shared" ref="E187:J187" si="41">E43</f>
        <v>42.936383973436293</v>
      </c>
      <c r="F187" s="32">
        <f t="shared" si="41"/>
        <v>44.85423521746398</v>
      </c>
      <c r="G187" s="32">
        <f t="shared" si="41"/>
        <v>45.558752000984363</v>
      </c>
      <c r="H187" s="32">
        <f t="shared" si="41"/>
        <v>46.380688248424796</v>
      </c>
      <c r="I187" s="32">
        <f t="shared" si="41"/>
        <v>47.202624495865237</v>
      </c>
      <c r="J187" s="32">
        <f t="shared" si="41"/>
        <v>48.298539492452484</v>
      </c>
      <c r="K187" s="95"/>
      <c r="L187" s="125"/>
      <c r="M187" s="15"/>
    </row>
    <row r="188" spans="1:13">
      <c r="A188" s="50"/>
      <c r="B188" s="50"/>
      <c r="C188" s="50"/>
      <c r="D188" s="50"/>
      <c r="E188" s="50"/>
      <c r="F188" s="96"/>
      <c r="G188" s="96"/>
      <c r="H188" s="96"/>
      <c r="I188" s="96"/>
      <c r="J188" s="96"/>
      <c r="K188" s="95"/>
      <c r="L188" s="27"/>
      <c r="M188" s="15"/>
    </row>
    <row r="189" spans="1:13" ht="15.75">
      <c r="A189" s="50"/>
      <c r="B189" s="50"/>
      <c r="C189" s="162" t="s">
        <v>179</v>
      </c>
      <c r="D189" s="50"/>
      <c r="E189" s="32">
        <f t="shared" ref="E189:J189" si="42">E28</f>
        <v>8265.6569168820151</v>
      </c>
      <c r="F189" s="32">
        <f t="shared" si="42"/>
        <v>8470.9864010950932</v>
      </c>
      <c r="G189" s="32">
        <f t="shared" si="42"/>
        <v>8698.8684246092034</v>
      </c>
      <c r="H189" s="32">
        <f t="shared" si="42"/>
        <v>8858.622500469186</v>
      </c>
      <c r="I189" s="32">
        <f t="shared" si="42"/>
        <v>9058.2880849563226</v>
      </c>
      <c r="J189" s="32">
        <f t="shared" si="42"/>
        <v>9283.1382178078238</v>
      </c>
      <c r="K189" s="95"/>
      <c r="L189" s="125"/>
      <c r="M189" s="15"/>
    </row>
    <row r="190" spans="1:13">
      <c r="A190" s="50"/>
      <c r="B190" s="50"/>
      <c r="C190" s="50" t="s">
        <v>180</v>
      </c>
      <c r="D190" s="50"/>
      <c r="E190" s="32">
        <f t="shared" ref="E190:J190" si="43">E189*$D$46</f>
        <v>8619.4970784099187</v>
      </c>
      <c r="F190" s="32">
        <f t="shared" si="43"/>
        <v>8833.6164045667156</v>
      </c>
      <c r="G190" s="32">
        <f t="shared" si="43"/>
        <v>9071.253709823146</v>
      </c>
      <c r="H190" s="32">
        <f t="shared" si="43"/>
        <v>9237.8466139305947</v>
      </c>
      <c r="I190" s="32">
        <f t="shared" si="43"/>
        <v>9446.0595774557114</v>
      </c>
      <c r="J190" s="32">
        <f t="shared" si="43"/>
        <v>9680.5352014360851</v>
      </c>
      <c r="K190" s="95"/>
      <c r="L190" s="125"/>
      <c r="M190" s="15"/>
    </row>
    <row r="191" spans="1:13">
      <c r="A191" s="50"/>
      <c r="B191" s="50"/>
      <c r="C191" s="50"/>
      <c r="D191" s="50"/>
      <c r="E191" s="50"/>
      <c r="F191" s="96"/>
      <c r="G191" s="32"/>
      <c r="H191" s="32"/>
      <c r="I191" s="32"/>
      <c r="J191" s="32"/>
      <c r="K191" s="95"/>
      <c r="L191" s="27"/>
      <c r="M191" s="15"/>
    </row>
    <row r="192" spans="1:13" ht="15.75">
      <c r="A192" s="50"/>
      <c r="B192" s="50"/>
      <c r="C192" s="162" t="s">
        <v>229</v>
      </c>
      <c r="D192" s="50"/>
      <c r="E192" s="50"/>
      <c r="F192" s="50"/>
      <c r="G192" s="50"/>
      <c r="H192" s="50"/>
      <c r="I192" s="50"/>
      <c r="J192" s="50"/>
      <c r="K192" s="95"/>
      <c r="L192" s="125"/>
      <c r="M192" s="15"/>
    </row>
    <row r="193" spans="1:15">
      <c r="A193" s="50"/>
      <c r="B193" s="50"/>
      <c r="C193" s="50" t="s">
        <v>169</v>
      </c>
      <c r="D193" s="50"/>
      <c r="E193" s="31">
        <f t="shared" ref="E193:J193" si="44">E168-E165</f>
        <v>-2547.7083709698918</v>
      </c>
      <c r="F193" s="31">
        <f t="shared" si="44"/>
        <v>-2572.3618028111159</v>
      </c>
      <c r="G193" s="31">
        <f t="shared" si="44"/>
        <v>-2466.5906395240136</v>
      </c>
      <c r="H193" s="31">
        <f t="shared" si="44"/>
        <v>-2505.4919885400122</v>
      </c>
      <c r="I193" s="31">
        <f t="shared" si="44"/>
        <v>-2546.5653589958765</v>
      </c>
      <c r="J193" s="31">
        <f t="shared" si="44"/>
        <v>-2592.9912125412247</v>
      </c>
      <c r="K193" s="95"/>
      <c r="L193" s="125"/>
      <c r="M193" s="15"/>
    </row>
    <row r="194" spans="1:15">
      <c r="A194" s="50"/>
      <c r="B194" s="50"/>
      <c r="C194" s="50" t="s">
        <v>170</v>
      </c>
      <c r="D194" s="50"/>
      <c r="E194" s="50"/>
      <c r="F194" s="31">
        <f>(F175+F184+F190+((F187-F189-F145-F152+F180)*F53+F193)*$D47-F193-F187*$D49)/($D50-F53*$D47)</f>
        <v>31868.485569683169</v>
      </c>
      <c r="G194" s="31">
        <f>(G175+G184+G190+((G187-G189-G145-G152+G180)*G53+G193)*$D47-G193-G187*$D49)/($D50-G53*$D47)</f>
        <v>30923.390126581096</v>
      </c>
      <c r="H194" s="31">
        <f>(H175+H184+H190+((H187-H189-H145-H152+H180)*H53+H193)*$D47-H193-H187*$D49)/($D50-H53*$D47)</f>
        <v>32010.146380910584</v>
      </c>
      <c r="I194" s="31">
        <f>(I175+I184+I190+((I187-I189-I145-I152+I180)*I53+I193)*$D47-I193-I187*$D49)/($D50-I53*$D47)</f>
        <v>33171.604267213632</v>
      </c>
      <c r="J194" s="31">
        <f>(J175+J184+J190+((J187-J189-J145-J152+J180)*J53+J193)*$D47-J193-J187*$D49)/($D50-J53*$D47)</f>
        <v>34328.62530044475</v>
      </c>
      <c r="K194" s="95"/>
      <c r="L194" s="125"/>
      <c r="M194" s="15"/>
    </row>
    <row r="195" spans="1:15">
      <c r="A195" s="50"/>
      <c r="B195" s="50"/>
      <c r="C195" s="50" t="s">
        <v>177</v>
      </c>
      <c r="D195" s="50"/>
      <c r="E195" s="50"/>
      <c r="F195" s="31">
        <f>(F194+F187-F189-F183-F152+F180)*F53</f>
        <v>6304.9902537074349</v>
      </c>
      <c r="G195" s="31">
        <f>(G194+G187-G189-G183-G152+G180)*G53</f>
        <v>5473.8119701536361</v>
      </c>
      <c r="H195" s="31">
        <f>(H194+H187-H189-H183-H152+H180)*H53</f>
        <v>5651.1717374221762</v>
      </c>
      <c r="I195" s="31">
        <f>(I194+I187-I189-I183-I152+I180)*I53</f>
        <v>5835.9288897395472</v>
      </c>
      <c r="J195" s="31">
        <f>(J194+J187-J189-J183-J152+J180)*J53</f>
        <v>6008.2660967483935</v>
      </c>
      <c r="K195" s="95"/>
      <c r="L195" s="125"/>
      <c r="M195" s="15"/>
    </row>
    <row r="196" spans="1:15">
      <c r="A196" s="50"/>
      <c r="B196" s="50"/>
      <c r="C196" s="50" t="s">
        <v>162</v>
      </c>
      <c r="D196" s="50"/>
      <c r="E196" s="50"/>
      <c r="F196" s="31">
        <f>IF(F195&lt;0,#N/A,F195)</f>
        <v>6304.9902537074349</v>
      </c>
      <c r="G196" s="31">
        <f>IF(G195&lt;0,#N/A,G195)</f>
        <v>5473.8119701536361</v>
      </c>
      <c r="H196" s="31">
        <f>IF(H195&lt;0,#N/A,H195)</f>
        <v>5651.1717374221762</v>
      </c>
      <c r="I196" s="31">
        <f>IF(I195&lt;0,#N/A,I195)</f>
        <v>5835.9288897395472</v>
      </c>
      <c r="J196" s="31">
        <f>IF(J195&lt;0,#N/A,J195)</f>
        <v>6008.2660967483935</v>
      </c>
      <c r="K196" s="95"/>
      <c r="L196" s="50"/>
      <c r="M196" s="15"/>
    </row>
    <row r="197" spans="1:15">
      <c r="A197" s="50"/>
      <c r="B197" s="50"/>
      <c r="C197" s="50" t="s">
        <v>171</v>
      </c>
      <c r="D197" s="50"/>
      <c r="E197" s="50"/>
      <c r="F197" s="31">
        <f>F175+F184+F190+(F196+F193)*$D$47-F193-F187*$D$49</f>
        <v>32973.506000665286</v>
      </c>
      <c r="G197" s="31">
        <f>G175+G184+G190+(G196+G193)*$D$47-G193-G187*$D$49</f>
        <v>31995.639945618936</v>
      </c>
      <c r="H197" s="31">
        <f>H175+H184+H190+(H196+H193)*$D$47-H193-H187*$D$49</f>
        <v>33120.078814702923</v>
      </c>
      <c r="I197" s="31">
        <f>I175+I184+I190+(I196+I193)*$D$47-I193-I187*$D$49</f>
        <v>34321.8095495944</v>
      </c>
      <c r="J197" s="31">
        <f>J175+J184+J190+(J196+J193)*$D$47-J193-J187*$D$49</f>
        <v>35518.949586221548</v>
      </c>
      <c r="K197" s="95"/>
      <c r="L197" s="27"/>
      <c r="M197" s="15"/>
    </row>
    <row r="198" spans="1:15">
      <c r="A198" s="50"/>
      <c r="B198" s="50"/>
      <c r="C198" s="50" t="s">
        <v>172</v>
      </c>
      <c r="D198" s="50"/>
      <c r="E198" s="50"/>
      <c r="F198" s="31">
        <f>F197/$D$50</f>
        <v>31868.485569683166</v>
      </c>
      <c r="G198" s="31">
        <f>G197/$D$50</f>
        <v>30923.390126581093</v>
      </c>
      <c r="H198" s="31">
        <f>H197/$D$50</f>
        <v>32010.146380910584</v>
      </c>
      <c r="I198" s="31">
        <f>I197/$D$50</f>
        <v>33171.604267213639</v>
      </c>
      <c r="J198" s="31">
        <f>J197/$D$50</f>
        <v>34328.625300444757</v>
      </c>
      <c r="K198" s="95"/>
      <c r="L198" s="50"/>
      <c r="M198" s="15"/>
    </row>
    <row r="199" spans="1:15">
      <c r="A199" s="50"/>
      <c r="B199" s="50"/>
      <c r="C199" s="50" t="s">
        <v>173</v>
      </c>
      <c r="D199" s="50"/>
      <c r="E199" s="50"/>
      <c r="F199" s="31">
        <f>F194-F198</f>
        <v>0</v>
      </c>
      <c r="G199" s="31">
        <f>G194-G198</f>
        <v>0</v>
      </c>
      <c r="H199" s="31">
        <f>H194-H198</f>
        <v>0</v>
      </c>
      <c r="I199" s="31">
        <f>I194-I198</f>
        <v>0</v>
      </c>
      <c r="J199" s="31">
        <f>J194-J198</f>
        <v>0</v>
      </c>
      <c r="K199" s="95"/>
      <c r="L199" s="27"/>
      <c r="M199" s="15"/>
    </row>
    <row r="200" spans="1:15">
      <c r="A200" s="50"/>
      <c r="B200" s="50"/>
      <c r="C200" s="50"/>
      <c r="D200" s="50"/>
      <c r="E200" s="50"/>
      <c r="F200" s="50"/>
      <c r="G200" s="50"/>
      <c r="H200" s="50"/>
      <c r="I200" s="50"/>
      <c r="J200" s="50"/>
      <c r="K200" s="50"/>
      <c r="L200" s="50"/>
      <c r="M200" s="15"/>
    </row>
    <row r="201" spans="1:15" ht="15.75">
      <c r="A201" s="50"/>
      <c r="B201" s="50"/>
      <c r="C201" s="162" t="s">
        <v>174</v>
      </c>
      <c r="D201" s="50"/>
      <c r="E201" s="50"/>
      <c r="F201" s="31"/>
      <c r="G201" s="31"/>
      <c r="H201" s="31"/>
      <c r="I201" s="31"/>
      <c r="J201" s="50"/>
      <c r="K201" s="95"/>
      <c r="L201" s="27"/>
      <c r="M201" s="15"/>
    </row>
    <row r="202" spans="1:15">
      <c r="A202" s="50"/>
      <c r="B202" s="50"/>
      <c r="C202" s="95" t="s">
        <v>103</v>
      </c>
      <c r="D202" s="50"/>
      <c r="E202" s="50"/>
      <c r="F202" s="31"/>
      <c r="G202" s="31"/>
      <c r="H202" s="31"/>
      <c r="I202" s="31"/>
      <c r="J202" s="50"/>
      <c r="K202" s="95"/>
      <c r="L202" s="50"/>
      <c r="M202" s="15"/>
      <c r="O202" s="8"/>
    </row>
    <row r="203" spans="1:15">
      <c r="A203" s="50"/>
      <c r="B203" s="50"/>
      <c r="C203" s="50" t="s">
        <v>175</v>
      </c>
      <c r="D203" s="50"/>
      <c r="E203" s="50"/>
      <c r="F203" s="50"/>
      <c r="G203" s="50"/>
      <c r="H203" s="31">
        <v>1</v>
      </c>
      <c r="I203" s="31">
        <v>2</v>
      </c>
      <c r="J203" s="31">
        <v>3</v>
      </c>
      <c r="K203" s="95"/>
      <c r="L203" s="27"/>
      <c r="M203" s="15"/>
    </row>
    <row r="204" spans="1:15">
      <c r="A204" s="50"/>
      <c r="B204" s="50" t="s">
        <v>135</v>
      </c>
      <c r="C204" s="50" t="s">
        <v>136</v>
      </c>
      <c r="D204" s="50"/>
      <c r="E204" s="50"/>
      <c r="F204" s="31"/>
      <c r="G204" s="31"/>
      <c r="H204" s="31">
        <f>H197</f>
        <v>33120.078814702923</v>
      </c>
      <c r="I204" s="31">
        <f>I197</f>
        <v>34321.8095495944</v>
      </c>
      <c r="J204" s="31">
        <f>J197</f>
        <v>35518.949586221548</v>
      </c>
      <c r="K204" s="95"/>
      <c r="L204" s="50"/>
      <c r="M204" s="15"/>
    </row>
    <row r="205" spans="1:15">
      <c r="A205" s="50"/>
      <c r="B205" s="50" t="s">
        <v>135</v>
      </c>
      <c r="C205" s="50" t="s">
        <v>137</v>
      </c>
      <c r="D205" s="50"/>
      <c r="E205" s="50"/>
      <c r="F205" s="31"/>
      <c r="G205" s="31"/>
      <c r="H205" s="31">
        <f>H204/(1+WACC)^H$203</f>
        <v>30449.644952379265</v>
      </c>
      <c r="I205" s="31">
        <f>I204/(1+WACC)^I$203</f>
        <v>29010.279967148104</v>
      </c>
      <c r="J205" s="31">
        <f>J204/(1+WACC)^J$203</f>
        <v>27601.502782267573</v>
      </c>
      <c r="K205" s="95"/>
      <c r="L205" s="50"/>
      <c r="M205" s="15"/>
    </row>
    <row r="206" spans="1:15">
      <c r="A206" s="50"/>
      <c r="B206" s="50" t="s">
        <v>135</v>
      </c>
      <c r="C206" s="50" t="s">
        <v>101</v>
      </c>
      <c r="D206" s="31">
        <f>SUM(H205:J205)</f>
        <v>87061.42770179495</v>
      </c>
      <c r="E206" s="50"/>
      <c r="F206" s="31"/>
      <c r="G206" s="31"/>
      <c r="H206" s="31"/>
      <c r="I206" s="31"/>
      <c r="J206" s="31"/>
      <c r="K206" s="95"/>
      <c r="L206" s="50"/>
      <c r="M206" s="15"/>
    </row>
    <row r="207" spans="1:15">
      <c r="A207" s="50"/>
      <c r="B207" s="50"/>
      <c r="C207" s="50"/>
      <c r="D207" s="50"/>
      <c r="E207" s="50"/>
      <c r="F207" s="123"/>
      <c r="G207" s="50"/>
      <c r="H207" s="50"/>
      <c r="I207" s="50"/>
      <c r="J207" s="50"/>
      <c r="K207" s="95"/>
      <c r="L207" s="50"/>
      <c r="M207" s="15"/>
    </row>
    <row r="208" spans="1:15" ht="21">
      <c r="A208" s="50"/>
      <c r="B208" s="50"/>
      <c r="C208" s="155" t="s">
        <v>104</v>
      </c>
      <c r="D208" s="50"/>
      <c r="E208" s="50"/>
      <c r="F208" s="123"/>
      <c r="G208" s="50"/>
      <c r="H208" s="50"/>
      <c r="I208" s="50"/>
      <c r="J208" s="50"/>
      <c r="K208" s="95"/>
      <c r="L208" s="50"/>
      <c r="M208" s="15"/>
    </row>
    <row r="209" spans="1:13" ht="15.75">
      <c r="A209" s="50"/>
      <c r="B209" s="50"/>
      <c r="C209" s="50"/>
      <c r="D209" s="50"/>
      <c r="E209" s="162" t="str">
        <f>Inputs!D$11</f>
        <v>2009/10</v>
      </c>
      <c r="F209" s="168" t="str">
        <f>Inputs!E$11</f>
        <v>2010/11</v>
      </c>
      <c r="G209" s="162" t="str">
        <f>Inputs!F$11</f>
        <v>2011/12</v>
      </c>
      <c r="H209" s="162" t="str">
        <f>Inputs!G$11</f>
        <v>2012/13</v>
      </c>
      <c r="I209" s="162" t="str">
        <f>Inputs!H$11</f>
        <v>2013/14</v>
      </c>
      <c r="J209" s="162" t="str">
        <f>Inputs!I$11</f>
        <v>2014/15</v>
      </c>
      <c r="K209" s="95"/>
      <c r="L209" s="50"/>
      <c r="M209" s="15"/>
    </row>
    <row r="210" spans="1:13">
      <c r="A210" s="50"/>
      <c r="B210" s="50"/>
      <c r="C210" s="50" t="s">
        <v>53</v>
      </c>
      <c r="D210" s="32">
        <f>D206</f>
        <v>87061.42770179495</v>
      </c>
      <c r="E210" s="50"/>
      <c r="F210" s="169"/>
      <c r="G210" s="32"/>
      <c r="H210" s="32"/>
      <c r="I210" s="32"/>
      <c r="J210" s="32"/>
      <c r="K210" s="95"/>
      <c r="L210" s="50"/>
      <c r="M210" s="15"/>
    </row>
    <row r="211" spans="1:13">
      <c r="A211" s="50"/>
      <c r="B211" s="50"/>
      <c r="C211" s="50" t="s">
        <v>143</v>
      </c>
      <c r="D211" s="50"/>
      <c r="E211" s="50"/>
      <c r="F211" s="113"/>
      <c r="G211" s="113"/>
      <c r="H211" s="170">
        <v>1</v>
      </c>
      <c r="I211" s="113">
        <f>H211*(1+I$35)*(1+I$30)*(1-X_industry_wide)</f>
        <v>1.0232709134360998</v>
      </c>
      <c r="J211" s="113">
        <f>I211*(1+J$35)*(1+J$30)*(1-X_industry_wide)</f>
        <v>1.0454516411654911</v>
      </c>
      <c r="K211" s="95"/>
      <c r="L211" s="50" t="s">
        <v>290</v>
      </c>
    </row>
    <row r="212" spans="1:13">
      <c r="A212" s="50"/>
      <c r="B212" s="50"/>
      <c r="C212" s="50" t="s">
        <v>102</v>
      </c>
      <c r="D212" s="50"/>
      <c r="E212" s="50"/>
      <c r="F212" s="171"/>
      <c r="G212" s="113"/>
      <c r="H212" s="113">
        <f>H211/(1+WACC)^H$203</f>
        <v>0.91937115013330895</v>
      </c>
      <c r="I212" s="113">
        <f>I211/(1+WACC)^I$203</f>
        <v>0.86491289563639684</v>
      </c>
      <c r="J212" s="113">
        <f>J211/(1+WACC)^J$203</f>
        <v>0.81241243669968455</v>
      </c>
      <c r="K212" s="95"/>
      <c r="L212" s="50" t="s">
        <v>165</v>
      </c>
    </row>
    <row r="213" spans="1:13">
      <c r="A213" s="50"/>
      <c r="B213" s="50"/>
      <c r="C213" s="50" t="s">
        <v>91</v>
      </c>
      <c r="D213" s="113">
        <f>SUM(H212:J212)</f>
        <v>2.5966964824693903</v>
      </c>
      <c r="E213" s="50"/>
      <c r="F213" s="171"/>
      <c r="G213" s="113"/>
      <c r="H213" s="113"/>
      <c r="I213" s="113"/>
      <c r="J213" s="113"/>
      <c r="K213" s="95"/>
      <c r="L213" s="50" t="s">
        <v>279</v>
      </c>
    </row>
    <row r="214" spans="1:13">
      <c r="A214" s="50"/>
      <c r="B214" s="50"/>
      <c r="C214" s="50" t="s">
        <v>142</v>
      </c>
      <c r="D214" s="32">
        <f>D210/D213</f>
        <v>33527.764330393293</v>
      </c>
      <c r="E214" s="50"/>
      <c r="F214" s="171"/>
      <c r="G214" s="113"/>
      <c r="H214" s="31"/>
      <c r="I214" s="31"/>
      <c r="J214" s="31"/>
      <c r="K214" s="95"/>
      <c r="L214" s="31"/>
    </row>
    <row r="215" spans="1:13">
      <c r="A215" s="50"/>
      <c r="B215" s="50"/>
      <c r="C215" s="50" t="s">
        <v>138</v>
      </c>
      <c r="D215" s="32"/>
      <c r="E215" s="50"/>
      <c r="F215" s="171"/>
      <c r="G215" s="113"/>
      <c r="H215" s="31">
        <f>$D214*H211</f>
        <v>33527.764330393293</v>
      </c>
      <c r="I215" s="31">
        <f>$D214*I211</f>
        <v>34307.986031831831</v>
      </c>
      <c r="J215" s="31">
        <f>$D214*J211</f>
        <v>35051.656243819481</v>
      </c>
      <c r="K215" s="95"/>
      <c r="L215" s="50" t="s">
        <v>131</v>
      </c>
    </row>
    <row r="216" spans="1:13">
      <c r="A216" s="50"/>
      <c r="B216" s="50"/>
      <c r="C216" s="50" t="s">
        <v>139</v>
      </c>
      <c r="D216" s="32"/>
      <c r="E216" s="50"/>
      <c r="F216" s="171"/>
      <c r="G216" s="113"/>
      <c r="H216" s="54">
        <f>H215/$D$50</f>
        <v>32404.169387547645</v>
      </c>
      <c r="I216" s="54">
        <f>I215/$D$50</f>
        <v>33158.244008333982</v>
      </c>
      <c r="J216" s="54">
        <f>J215/$D$50</f>
        <v>33876.992066816252</v>
      </c>
      <c r="K216" s="95"/>
      <c r="L216" s="50" t="s">
        <v>133</v>
      </c>
    </row>
    <row r="217" spans="1:13">
      <c r="A217" s="50"/>
      <c r="B217" s="50"/>
      <c r="C217" s="50" t="s">
        <v>140</v>
      </c>
      <c r="D217" s="50"/>
      <c r="E217" s="50"/>
      <c r="F217" s="171"/>
      <c r="G217" s="113"/>
      <c r="H217" s="31">
        <f>H215/(1+WACC)^H$203</f>
        <v>30824.45925383221</v>
      </c>
      <c r="I217" s="31">
        <f>I215/(1+WACC)^I$203</f>
        <v>28998.595731215162</v>
      </c>
      <c r="J217" s="31">
        <f>J215/(1+WACC)^J$203</f>
        <v>27238.372716747584</v>
      </c>
      <c r="K217" s="95"/>
      <c r="L217" s="50" t="s">
        <v>181</v>
      </c>
    </row>
    <row r="218" spans="1:13">
      <c r="A218" s="50"/>
      <c r="B218" s="50"/>
      <c r="C218" s="50" t="s">
        <v>141</v>
      </c>
      <c r="D218" s="32">
        <f>SUM(H217:J217)</f>
        <v>87061.427701794964</v>
      </c>
      <c r="E218" s="50"/>
      <c r="F218" s="171"/>
      <c r="G218" s="113"/>
      <c r="H218" s="31"/>
      <c r="I218" s="31"/>
      <c r="J218" s="31"/>
      <c r="K218" s="95"/>
      <c r="L218" s="50" t="s">
        <v>134</v>
      </c>
      <c r="M218" s="15"/>
    </row>
    <row r="219" spans="1:13">
      <c r="A219" s="50"/>
      <c r="B219" s="50"/>
      <c r="C219" s="50" t="s">
        <v>132</v>
      </c>
      <c r="D219" s="172">
        <f>D210-D218</f>
        <v>0</v>
      </c>
      <c r="E219" s="50"/>
      <c r="F219" s="171"/>
      <c r="G219" s="113"/>
      <c r="H219" s="31"/>
      <c r="I219" s="31"/>
      <c r="J219" s="31"/>
      <c r="K219" s="95"/>
      <c r="L219" s="50"/>
      <c r="M219" s="15"/>
    </row>
    <row r="220" spans="1:13">
      <c r="A220" s="50"/>
      <c r="B220" s="50"/>
      <c r="C220" s="50" t="s">
        <v>202</v>
      </c>
      <c r="D220" s="32">
        <f>SUM(I217:J217)</f>
        <v>56236.968447962747</v>
      </c>
      <c r="E220" s="50"/>
      <c r="F220" s="171"/>
      <c r="G220" s="113"/>
      <c r="H220" s="31"/>
      <c r="I220" s="31"/>
      <c r="J220" s="31"/>
      <c r="K220" s="95"/>
      <c r="L220" s="27"/>
      <c r="M220" s="15"/>
    </row>
    <row r="221" spans="1:13">
      <c r="A221" s="50"/>
      <c r="B221" s="50"/>
      <c r="C221" s="50"/>
      <c r="D221" s="31"/>
      <c r="E221" s="50"/>
      <c r="F221" s="123"/>
      <c r="G221" s="50"/>
      <c r="H221" s="50"/>
      <c r="I221" s="50"/>
      <c r="J221" s="50"/>
      <c r="K221" s="95"/>
      <c r="L221" s="50"/>
      <c r="M221" s="15"/>
    </row>
    <row r="222" spans="1:13" ht="21">
      <c r="A222" s="50"/>
      <c r="B222" s="50"/>
      <c r="C222" s="155" t="s">
        <v>113</v>
      </c>
      <c r="D222" s="155"/>
      <c r="E222" s="155"/>
      <c r="F222" s="155"/>
      <c r="G222" s="155"/>
      <c r="H222" s="50"/>
      <c r="I222" s="50"/>
      <c r="J222" s="50"/>
      <c r="K222" s="173"/>
      <c r="L222" s="174"/>
      <c r="M222" s="53"/>
    </row>
    <row r="223" spans="1:13" ht="15.75">
      <c r="A223" s="50"/>
      <c r="B223" s="50"/>
      <c r="C223" s="50"/>
      <c r="D223" s="50"/>
      <c r="E223" s="162" t="str">
        <f>Inputs!D$11</f>
        <v>2009/10</v>
      </c>
      <c r="F223" s="168" t="str">
        <f>Inputs!E$11</f>
        <v>2010/11</v>
      </c>
      <c r="G223" s="162" t="str">
        <f>Inputs!F$11</f>
        <v>2011/12</v>
      </c>
      <c r="H223" s="162" t="str">
        <f>Inputs!G$11</f>
        <v>2012/13</v>
      </c>
      <c r="I223" s="162" t="str">
        <f>Inputs!H$11</f>
        <v>2013/14</v>
      </c>
      <c r="J223" s="162" t="str">
        <f>Inputs!I$11</f>
        <v>2014/15</v>
      </c>
      <c r="K223" s="95"/>
      <c r="L223" s="50"/>
      <c r="M223" s="15"/>
    </row>
    <row r="224" spans="1:13" ht="15.75">
      <c r="A224" s="50"/>
      <c r="B224" s="50"/>
      <c r="C224" s="175" t="s">
        <v>318</v>
      </c>
      <c r="D224" s="50"/>
      <c r="E224" s="162"/>
      <c r="F224" s="95"/>
      <c r="G224" s="95"/>
      <c r="H224" s="95"/>
      <c r="I224" s="95"/>
      <c r="J224" s="95"/>
      <c r="K224" s="95"/>
      <c r="L224" s="50"/>
      <c r="M224" s="15"/>
    </row>
    <row r="225" spans="1:13" ht="15.75">
      <c r="A225" s="50"/>
      <c r="B225" s="50"/>
      <c r="C225" s="175" t="s">
        <v>204</v>
      </c>
      <c r="D225" s="50"/>
      <c r="E225" s="162"/>
      <c r="F225" s="95"/>
      <c r="G225" s="95"/>
      <c r="H225" s="95"/>
      <c r="I225" s="95"/>
      <c r="J225" s="95"/>
      <c r="K225" s="95"/>
      <c r="L225" s="50"/>
      <c r="M225" s="15"/>
    </row>
    <row r="226" spans="1:13">
      <c r="A226" s="50"/>
      <c r="B226" s="50" t="s">
        <v>150</v>
      </c>
      <c r="C226" s="50" t="s">
        <v>203</v>
      </c>
      <c r="D226" s="32">
        <f>D220</f>
        <v>56236.968447962747</v>
      </c>
      <c r="E226" s="50"/>
      <c r="F226" s="169"/>
      <c r="G226" s="32"/>
      <c r="H226" s="32"/>
      <c r="I226" s="32"/>
      <c r="J226" s="32"/>
      <c r="K226" s="95"/>
      <c r="L226" s="50"/>
      <c r="M226" s="15"/>
    </row>
    <row r="227" spans="1:13">
      <c r="A227" s="32"/>
      <c r="B227" s="50" t="s">
        <v>150</v>
      </c>
      <c r="C227" s="50" t="s">
        <v>319</v>
      </c>
      <c r="D227" s="49">
        <f>IF(E26="IWX",X_industry_wide,E26)</f>
        <v>-0.1</v>
      </c>
      <c r="E227" s="32"/>
      <c r="F227" s="49"/>
      <c r="G227" s="49"/>
      <c r="H227" s="49"/>
      <c r="I227" s="49"/>
      <c r="J227" s="49"/>
      <c r="K227" s="95"/>
      <c r="L227" s="50"/>
      <c r="M227" s="15"/>
    </row>
    <row r="228" spans="1:13">
      <c r="A228" s="50"/>
      <c r="B228" s="50" t="s">
        <v>150</v>
      </c>
      <c r="C228" s="50" t="s">
        <v>143</v>
      </c>
      <c r="D228" s="50"/>
      <c r="E228" s="50"/>
      <c r="F228" s="171"/>
      <c r="G228" s="113"/>
      <c r="H228" s="113"/>
      <c r="I228" s="113">
        <v>1</v>
      </c>
      <c r="J228" s="113">
        <f>I228*(1+J$35)*(1+J$30)*(1-D227)</f>
        <v>1.1238439304606052</v>
      </c>
      <c r="K228" s="95"/>
      <c r="L228" s="50" t="s">
        <v>278</v>
      </c>
    </row>
    <row r="229" spans="1:13">
      <c r="A229" s="50"/>
      <c r="B229" s="50" t="s">
        <v>150</v>
      </c>
      <c r="C229" s="50" t="s">
        <v>102</v>
      </c>
      <c r="D229" s="50"/>
      <c r="E229" s="50"/>
      <c r="F229" s="171"/>
      <c r="G229" s="113"/>
      <c r="H229" s="113"/>
      <c r="I229" s="113">
        <f>I228/(1+WACC)^I$203</f>
        <v>0.84524331169744327</v>
      </c>
      <c r="J229" s="113">
        <f>J228/(1+WACC)^J$203</f>
        <v>0.87333048231460253</v>
      </c>
      <c r="K229" s="95"/>
      <c r="L229" s="50" t="s">
        <v>165</v>
      </c>
    </row>
    <row r="230" spans="1:13">
      <c r="A230" s="50"/>
      <c r="B230" s="50" t="s">
        <v>150</v>
      </c>
      <c r="C230" s="50" t="s">
        <v>91</v>
      </c>
      <c r="D230" s="113">
        <f>SUM(I229:J229)</f>
        <v>1.7185737940120458</v>
      </c>
      <c r="E230" s="50"/>
      <c r="F230" s="171"/>
      <c r="G230" s="113"/>
      <c r="H230" s="113"/>
      <c r="I230" s="113"/>
      <c r="J230" s="113"/>
      <c r="K230" s="95"/>
      <c r="L230" s="50" t="s">
        <v>279</v>
      </c>
    </row>
    <row r="231" spans="1:13">
      <c r="A231" s="50"/>
      <c r="B231" s="50" t="s">
        <v>150</v>
      </c>
      <c r="C231" s="50" t="s">
        <v>142</v>
      </c>
      <c r="D231" s="32">
        <f>D226/D230</f>
        <v>32723.045494995236</v>
      </c>
      <c r="E231" s="50"/>
      <c r="F231" s="171"/>
      <c r="G231" s="113"/>
      <c r="H231" s="31"/>
      <c r="I231" s="31"/>
      <c r="J231" s="31"/>
      <c r="K231" s="95"/>
      <c r="L231" s="50"/>
    </row>
    <row r="232" spans="1:13">
      <c r="A232" s="50"/>
      <c r="B232" s="50" t="s">
        <v>150</v>
      </c>
      <c r="C232" s="50" t="s">
        <v>138</v>
      </c>
      <c r="D232" s="32"/>
      <c r="E232" s="50"/>
      <c r="F232" s="171"/>
      <c r="G232" s="113"/>
      <c r="H232" s="31">
        <f>H215</f>
        <v>33527.764330393293</v>
      </c>
      <c r="I232" s="31">
        <f>$D231*I228</f>
        <v>32723.045494995236</v>
      </c>
      <c r="J232" s="31">
        <f>$D231*J228</f>
        <v>36775.596065736645</v>
      </c>
      <c r="K232" s="95"/>
      <c r="L232" s="50" t="s">
        <v>131</v>
      </c>
    </row>
    <row r="233" spans="1:13">
      <c r="A233" s="50"/>
      <c r="B233" s="50" t="s">
        <v>150</v>
      </c>
      <c r="C233" s="50" t="s">
        <v>139</v>
      </c>
      <c r="D233" s="32"/>
      <c r="E233" s="50"/>
      <c r="F233" s="171"/>
      <c r="G233" s="113"/>
      <c r="H233" s="54">
        <f>H232/$D$50</f>
        <v>32404.169387547645</v>
      </c>
      <c r="I233" s="54">
        <f>I232/$D$50</f>
        <v>31626.41858989156</v>
      </c>
      <c r="J233" s="54">
        <f>J232/$D$50</f>
        <v>35543.15857445608</v>
      </c>
      <c r="K233" s="95"/>
      <c r="L233" s="50" t="s">
        <v>133</v>
      </c>
    </row>
    <row r="234" spans="1:13">
      <c r="A234" s="50"/>
      <c r="B234" s="50" t="s">
        <v>150</v>
      </c>
      <c r="C234" s="50" t="s">
        <v>209</v>
      </c>
      <c r="D234" s="50"/>
      <c r="E234" s="50"/>
      <c r="F234" s="171"/>
      <c r="G234" s="113"/>
      <c r="H234" s="31"/>
      <c r="I234" s="31">
        <f>I232/(1+WACC)^I$203</f>
        <v>27658.935343015877</v>
      </c>
      <c r="J234" s="31">
        <f>J232/(1+WACC)^J$203</f>
        <v>28578.03310494687</v>
      </c>
      <c r="K234" s="95"/>
      <c r="L234" s="50" t="s">
        <v>181</v>
      </c>
    </row>
    <row r="235" spans="1:13">
      <c r="A235" s="50"/>
      <c r="B235" s="50" t="s">
        <v>150</v>
      </c>
      <c r="C235" s="50" t="s">
        <v>390</v>
      </c>
      <c r="D235" s="32">
        <f>SUM(I234:J234)</f>
        <v>56236.968447962747</v>
      </c>
      <c r="E235" s="50"/>
      <c r="F235" s="50"/>
      <c r="G235" s="113"/>
      <c r="H235" s="31"/>
      <c r="I235" s="31"/>
      <c r="J235" s="31"/>
      <c r="K235" s="95"/>
      <c r="L235" s="50" t="s">
        <v>134</v>
      </c>
    </row>
    <row r="236" spans="1:13">
      <c r="A236" s="50"/>
      <c r="B236" s="50" t="s">
        <v>150</v>
      </c>
      <c r="C236" s="50" t="s">
        <v>132</v>
      </c>
      <c r="D236" s="172">
        <f>D226-D235</f>
        <v>0</v>
      </c>
      <c r="E236" s="50"/>
      <c r="F236" s="171"/>
      <c r="G236" s="113"/>
      <c r="H236" s="31"/>
      <c r="I236" s="31"/>
      <c r="J236" s="31"/>
      <c r="K236" s="95"/>
      <c r="L236" s="50"/>
      <c r="M236" s="15"/>
    </row>
    <row r="237" spans="1:13">
      <c r="A237" s="50"/>
      <c r="B237" s="119" t="s">
        <v>150</v>
      </c>
      <c r="C237" s="119" t="s">
        <v>190</v>
      </c>
      <c r="D237" s="119"/>
      <c r="E237" s="50"/>
      <c r="F237" s="176"/>
      <c r="G237" s="177"/>
      <c r="H237" s="178">
        <f>(H233+H187-H$189-H$183-H152+H$180)*H$53</f>
        <v>5761.4981792805529</v>
      </c>
      <c r="I237" s="178">
        <f>(I233+I187-I$189-I$183-I152+I$180)*I$53</f>
        <v>5403.2769000893659</v>
      </c>
      <c r="J237" s="178">
        <f>(J233+J187-J$189-J$183-J152+J$180)*J$53</f>
        <v>6348.3354134715664</v>
      </c>
      <c r="K237" s="54"/>
      <c r="L237" s="50"/>
      <c r="M237" s="15"/>
    </row>
    <row r="238" spans="1:13">
      <c r="A238" s="50"/>
      <c r="B238" s="119"/>
      <c r="C238" s="119"/>
      <c r="D238" s="119"/>
      <c r="E238" s="178"/>
      <c r="F238" s="176"/>
      <c r="G238" s="177"/>
      <c r="H238" s="178"/>
      <c r="I238" s="178"/>
      <c r="J238" s="178"/>
      <c r="K238" s="95"/>
      <c r="L238" s="50"/>
      <c r="M238" s="15"/>
    </row>
    <row r="239" spans="1:13" ht="21">
      <c r="A239" s="50"/>
      <c r="B239" s="50"/>
      <c r="C239" s="155" t="s">
        <v>199</v>
      </c>
      <c r="D239" s="155"/>
      <c r="E239" s="155"/>
      <c r="F239" s="155"/>
      <c r="G239" s="155"/>
      <c r="H239" s="155"/>
      <c r="I239" s="155"/>
      <c r="J239" s="50"/>
      <c r="K239" s="50"/>
      <c r="L239" s="50"/>
      <c r="M239" s="15"/>
    </row>
    <row r="240" spans="1:13">
      <c r="A240" s="50"/>
      <c r="B240" s="50"/>
      <c r="C240" s="50" t="s">
        <v>197</v>
      </c>
      <c r="D240" s="179"/>
      <c r="E240" s="50"/>
      <c r="F240" s="31">
        <f>G240/((1+G35)*(1+G30)*(1-X_industry_wide))</f>
        <v>31245.145533829796</v>
      </c>
      <c r="G240" s="31">
        <f>H240/((1+H35)*(1+H30)*(1-X_industry_wide))</f>
        <v>31760.882871147227</v>
      </c>
      <c r="H240" s="31">
        <f>H233</f>
        <v>32404.169387547645</v>
      </c>
      <c r="I240" s="50"/>
      <c r="J240" s="50"/>
      <c r="K240" s="50"/>
      <c r="L240" s="50"/>
      <c r="M240" s="15"/>
    </row>
    <row r="241" spans="1:13">
      <c r="A241" s="50"/>
      <c r="B241" s="50"/>
      <c r="C241" s="50"/>
      <c r="D241" s="179"/>
      <c r="E241" s="50"/>
      <c r="F241" s="31"/>
      <c r="G241" s="31"/>
      <c r="H241" s="31"/>
      <c r="I241" s="50"/>
      <c r="J241" s="50"/>
      <c r="K241" s="50"/>
      <c r="L241" s="50"/>
      <c r="M241" s="15"/>
    </row>
    <row r="242" spans="1:13" ht="21">
      <c r="A242" s="50"/>
      <c r="B242" s="50"/>
      <c r="C242" s="155" t="s">
        <v>198</v>
      </c>
      <c r="D242" s="179"/>
      <c r="E242" s="50"/>
      <c r="F242" s="123"/>
      <c r="G242" s="50"/>
      <c r="H242" s="50"/>
      <c r="I242" s="50"/>
      <c r="J242" s="50"/>
      <c r="K242" s="50"/>
      <c r="L242" s="27"/>
      <c r="M242" s="15"/>
    </row>
    <row r="243" spans="1:13">
      <c r="A243" s="50"/>
      <c r="B243" s="50"/>
      <c r="C243" s="180" t="s">
        <v>212</v>
      </c>
      <c r="D243" s="179"/>
      <c r="E243" s="181">
        <f>(1+H30)*(1+I30)</f>
        <v>0.9990451107247823</v>
      </c>
      <c r="F243" s="123"/>
      <c r="G243" s="50"/>
      <c r="H243" s="50"/>
      <c r="I243" s="50"/>
      <c r="J243" s="50"/>
      <c r="K243" s="50"/>
      <c r="L243" s="27"/>
      <c r="M243" s="15"/>
    </row>
    <row r="244" spans="1:13">
      <c r="A244" s="50"/>
      <c r="B244" s="50"/>
      <c r="C244" s="50"/>
      <c r="D244" s="127"/>
      <c r="E244" s="50"/>
      <c r="F244" s="123"/>
      <c r="G244" s="50"/>
      <c r="H244" s="50"/>
      <c r="I244" s="50"/>
      <c r="J244" s="50"/>
      <c r="K244" s="50"/>
      <c r="L244" s="27"/>
    </row>
    <row r="245" spans="1:13" ht="21">
      <c r="A245" s="50"/>
      <c r="B245" s="50"/>
      <c r="C245" s="155" t="s">
        <v>315</v>
      </c>
      <c r="D245" s="162" t="s">
        <v>342</v>
      </c>
      <c r="E245" s="50"/>
      <c r="F245" s="123"/>
      <c r="G245" s="50"/>
      <c r="H245" s="50"/>
      <c r="I245" s="50"/>
      <c r="J245" s="50"/>
      <c r="K245" s="50"/>
      <c r="L245" s="27"/>
    </row>
    <row r="246" spans="1:13">
      <c r="A246" s="50"/>
      <c r="B246" s="50"/>
      <c r="C246" s="50"/>
      <c r="D246" s="50"/>
      <c r="E246" s="99" t="str">
        <f>Inputs!D$11</f>
        <v>2009/10</v>
      </c>
      <c r="F246" s="99" t="str">
        <f>Inputs!E$11</f>
        <v>2010/11</v>
      </c>
      <c r="G246" s="99" t="str">
        <f>Inputs!F$11</f>
        <v>2011/12</v>
      </c>
      <c r="H246" s="99" t="str">
        <f>Inputs!G$11</f>
        <v>2012/13</v>
      </c>
      <c r="I246" s="99" t="str">
        <f>Inputs!H$11</f>
        <v>2013/14</v>
      </c>
      <c r="J246" s="99" t="str">
        <f>Inputs!I$11</f>
        <v>2014/15</v>
      </c>
      <c r="K246" s="50"/>
      <c r="L246" s="27"/>
    </row>
    <row r="247" spans="1:13">
      <c r="A247" s="50"/>
      <c r="B247" s="50"/>
      <c r="C247" s="122" t="str">
        <f>C35</f>
        <v>2009 ΔCPI, 8 index, lagged, no GST adjustment</v>
      </c>
      <c r="D247" s="50"/>
      <c r="E247" s="50"/>
      <c r="F247" s="50"/>
      <c r="G247" s="50"/>
      <c r="H247" s="50"/>
      <c r="I247" s="100">
        <f>I35</f>
        <v>2.3759818812291389E-2</v>
      </c>
      <c r="J247" s="100">
        <f>J35</f>
        <v>2.2164443909808984E-2</v>
      </c>
      <c r="K247" s="50"/>
      <c r="L247" s="27"/>
    </row>
    <row r="248" spans="1:13">
      <c r="A248" s="50"/>
      <c r="B248" s="50"/>
      <c r="C248" s="122" t="str">
        <f>C37</f>
        <v>2012 ΔCPI, 8 index, lagged, with GST adjustment</v>
      </c>
      <c r="D248" s="50"/>
      <c r="E248" s="99"/>
      <c r="F248" s="100"/>
      <c r="G248" s="100"/>
      <c r="H248" s="100"/>
      <c r="I248" s="100">
        <f>I$37</f>
        <v>1.2820512820512775E-2</v>
      </c>
      <c r="J248" s="101">
        <f>J$37</f>
        <v>1.9725095732576747E-2</v>
      </c>
      <c r="K248" s="50"/>
      <c r="L248" s="27"/>
    </row>
    <row r="249" spans="1:13">
      <c r="A249" s="50"/>
      <c r="B249" s="50"/>
      <c r="C249" s="50" t="s">
        <v>200</v>
      </c>
      <c r="D249" s="50"/>
      <c r="E249" s="99"/>
      <c r="F249" s="100"/>
      <c r="G249" s="100">
        <f>G$30</f>
        <v>-4.7755866874985356E-4</v>
      </c>
      <c r="H249" s="100">
        <f>H$30</f>
        <v>-4.7755866874985356E-4</v>
      </c>
      <c r="I249" s="100">
        <f>I$30</f>
        <v>-4.7755866874985356E-4</v>
      </c>
      <c r="J249" s="100">
        <f>J$30</f>
        <v>-4.7755866874985356E-4</v>
      </c>
      <c r="K249" s="50"/>
      <c r="L249" s="27"/>
    </row>
    <row r="250" spans="1:13">
      <c r="A250" s="50"/>
      <c r="B250" s="50"/>
      <c r="C250" s="50" t="s">
        <v>309</v>
      </c>
      <c r="D250" s="54">
        <f>E25</f>
        <v>6001.5583025407714</v>
      </c>
      <c r="E250" s="50"/>
      <c r="F250" s="123"/>
      <c r="G250" s="50"/>
      <c r="H250" s="50"/>
      <c r="I250" s="50"/>
      <c r="J250" s="50"/>
      <c r="K250" s="50"/>
      <c r="L250" s="27"/>
    </row>
    <row r="251" spans="1:13">
      <c r="A251" s="50"/>
      <c r="B251" s="50"/>
      <c r="C251" s="119" t="s">
        <v>335</v>
      </c>
      <c r="D251" s="32">
        <f>E24</f>
        <v>26992.420176551033</v>
      </c>
      <c r="E251" s="50"/>
      <c r="F251" s="123"/>
      <c r="G251" s="50"/>
      <c r="H251" s="50"/>
      <c r="I251" s="50"/>
      <c r="J251" s="50"/>
      <c r="K251" s="50"/>
      <c r="L251" s="27"/>
    </row>
    <row r="252" spans="1:13">
      <c r="A252" s="50"/>
      <c r="B252" s="50"/>
      <c r="C252" s="50" t="s">
        <v>383</v>
      </c>
      <c r="D252" s="50"/>
      <c r="E252" s="50"/>
      <c r="F252" s="123"/>
      <c r="G252" s="50"/>
      <c r="H252" s="124">
        <f>(D251+D250)*(1+G$249)*(1+H$249)-D250</f>
        <v>26960.914580354587</v>
      </c>
      <c r="I252" s="124">
        <f>H252*(1+I249)*(1+I248)</f>
        <v>27293.526843441869</v>
      </c>
      <c r="J252" s="124">
        <f>I252*(1+J249)*(1+J248)</f>
        <v>27818.602910930462</v>
      </c>
      <c r="K252" s="50"/>
      <c r="L252" s="27"/>
    </row>
    <row r="253" spans="1:13">
      <c r="A253" s="50"/>
      <c r="B253" s="50"/>
      <c r="C253" s="50" t="s">
        <v>314</v>
      </c>
      <c r="D253" s="50"/>
      <c r="E253" s="50"/>
      <c r="F253" s="123"/>
      <c r="G253" s="50"/>
      <c r="H253" s="124">
        <f>$D$250</f>
        <v>6001.5583025407714</v>
      </c>
      <c r="I253" s="124">
        <f>H253*(1+I34)</f>
        <v>6107.9150319528871</v>
      </c>
      <c r="J253" s="124"/>
      <c r="K253" s="50"/>
      <c r="L253" s="27"/>
    </row>
    <row r="254" spans="1:13">
      <c r="A254" s="50"/>
      <c r="B254" s="50"/>
      <c r="C254" s="119" t="s">
        <v>336</v>
      </c>
      <c r="D254" s="50"/>
      <c r="E254" s="50"/>
      <c r="F254" s="123"/>
      <c r="G254" s="50"/>
      <c r="H254" s="124">
        <f>D251</f>
        <v>26992.420176551033</v>
      </c>
      <c r="I254" s="124">
        <f>((H254+H253)*(1+G249)-H253)*(1+I248)*(1-X_industry_wide)</f>
        <v>27322.51827785682</v>
      </c>
      <c r="J254" s="97"/>
      <c r="K254" s="50"/>
      <c r="L254" s="27"/>
    </row>
    <row r="255" spans="1:13">
      <c r="A255" s="50"/>
      <c r="B255" s="50"/>
      <c r="C255" s="50" t="s">
        <v>337</v>
      </c>
      <c r="D255" s="50"/>
      <c r="E255" s="50"/>
      <c r="F255" s="123"/>
      <c r="G255" s="50"/>
      <c r="H255" s="124">
        <f>H216</f>
        <v>32404.169387547645</v>
      </c>
      <c r="I255" s="124">
        <f>I216</f>
        <v>33158.244008333982</v>
      </c>
      <c r="J255" s="124">
        <f>J216</f>
        <v>33876.992066816252</v>
      </c>
      <c r="K255" s="50"/>
      <c r="L255" s="27"/>
    </row>
    <row r="256" spans="1:13">
      <c r="A256" s="50"/>
      <c r="B256" s="50"/>
      <c r="C256" s="119" t="s">
        <v>371</v>
      </c>
      <c r="D256" s="50"/>
      <c r="E256" s="50"/>
      <c r="F256" s="123"/>
      <c r="G256" s="50"/>
      <c r="H256" s="124"/>
      <c r="I256" s="124">
        <f>(I255+I253)/((1+H249)*(1+I249))-I253</f>
        <v>33195.774680116519</v>
      </c>
      <c r="J256" s="124"/>
      <c r="K256" s="50"/>
      <c r="L256" s="27"/>
    </row>
    <row r="257" spans="1:12">
      <c r="A257" s="50"/>
      <c r="B257" s="50"/>
      <c r="C257" s="50" t="s">
        <v>344</v>
      </c>
      <c r="D257" s="50"/>
      <c r="E257" s="50"/>
      <c r="F257" s="123"/>
      <c r="G257" s="50"/>
      <c r="H257" s="124">
        <f>H255</f>
        <v>32404.169387547645</v>
      </c>
      <c r="I257" s="124">
        <f>I255*(1+I248)/(1+I247)</f>
        <v>32803.934168572894</v>
      </c>
      <c r="J257" s="124">
        <f>I257*(1+J$248)*(1+J$249)*(1-X_industry_wide)</f>
        <v>33435.020097855348</v>
      </c>
      <c r="K257" s="50"/>
      <c r="L257" s="27"/>
    </row>
    <row r="258" spans="1:12">
      <c r="A258" s="50"/>
      <c r="B258" s="50"/>
      <c r="C258" s="119" t="s">
        <v>346</v>
      </c>
      <c r="D258" s="50"/>
      <c r="E258" s="50"/>
      <c r="F258" s="123"/>
      <c r="G258" s="50"/>
      <c r="H258" s="124"/>
      <c r="I258" s="124">
        <f>(I257+I253)/((1+H249)*(1+I249))-I253</f>
        <v>32841.126190316048</v>
      </c>
      <c r="J258" s="97"/>
      <c r="K258" s="50"/>
      <c r="L258" s="27"/>
    </row>
    <row r="259" spans="1:12">
      <c r="A259" s="50"/>
      <c r="B259" s="50"/>
      <c r="C259" s="50" t="s">
        <v>338</v>
      </c>
      <c r="D259" s="50"/>
      <c r="E259" s="50"/>
      <c r="F259" s="123"/>
      <c r="G259" s="50"/>
      <c r="H259" s="124">
        <f>H233</f>
        <v>32404.169387547645</v>
      </c>
      <c r="I259" s="124">
        <f>I233</f>
        <v>31626.41858989156</v>
      </c>
      <c r="J259" s="124">
        <f>J233</f>
        <v>35543.15857445608</v>
      </c>
      <c r="K259" s="50"/>
      <c r="L259" s="27"/>
    </row>
    <row r="260" spans="1:12">
      <c r="A260" s="50"/>
      <c r="B260" s="50"/>
      <c r="C260" s="50" t="s">
        <v>345</v>
      </c>
      <c r="D260" s="50"/>
      <c r="E260" s="50"/>
      <c r="F260" s="123"/>
      <c r="G260" s="50"/>
      <c r="H260" s="124">
        <f>H259</f>
        <v>32404.169387547645</v>
      </c>
      <c r="I260" s="124">
        <f>I259*(1+I248)/(1+I247)</f>
        <v>31288.476951607419</v>
      </c>
      <c r="J260" s="124">
        <f>I260*(1+J$248)*(1+J$249)*(1-D227)</f>
        <v>35079.449171116532</v>
      </c>
      <c r="K260" s="50"/>
      <c r="L260" s="27"/>
    </row>
    <row r="261" spans="1:12">
      <c r="A261" s="50"/>
      <c r="B261" s="50"/>
      <c r="C261" s="119" t="s">
        <v>347</v>
      </c>
      <c r="D261" s="50"/>
      <c r="E261" s="50"/>
      <c r="F261" s="123"/>
      <c r="G261" s="50"/>
      <c r="H261" s="97"/>
      <c r="I261" s="124">
        <f>(I260+I253)/((1+H249)*(1+I249))-I253</f>
        <v>31324.220496371912</v>
      </c>
      <c r="J261" s="97"/>
      <c r="K261" s="50"/>
      <c r="L261" s="27"/>
    </row>
    <row r="262" spans="1:12">
      <c r="A262" s="50"/>
      <c r="B262" s="50"/>
      <c r="C262" s="50" t="s">
        <v>317</v>
      </c>
      <c r="D262" s="126">
        <f>E27</f>
        <v>0.1</v>
      </c>
      <c r="E262" s="50"/>
      <c r="F262" s="123"/>
      <c r="G262" s="50"/>
      <c r="H262" s="125"/>
      <c r="I262" s="125"/>
      <c r="J262" s="125"/>
      <c r="K262" s="50"/>
      <c r="L262" s="27"/>
    </row>
    <row r="263" spans="1:12" ht="18">
      <c r="A263" s="50"/>
      <c r="B263" s="50"/>
      <c r="C263" s="50" t="s">
        <v>339</v>
      </c>
      <c r="D263" s="127"/>
      <c r="E263" s="50"/>
      <c r="F263" s="123"/>
      <c r="G263" s="50"/>
      <c r="H263" s="124">
        <f>(D251+H253)*(1+G$249)*(1+H$249)-H253</f>
        <v>26960.914580354587</v>
      </c>
      <c r="I263" s="124">
        <f>H263*(1+$D262)*(1+I$247)*(1+I$249)</f>
        <v>30347.15165868331</v>
      </c>
      <c r="J263" s="124">
        <f>I264*(1+$D262)*(1+J247)*(1+J249)</f>
        <v>34105.462198378729</v>
      </c>
      <c r="K263" s="50"/>
      <c r="L263" s="27"/>
    </row>
    <row r="264" spans="1:12">
      <c r="A264" s="50"/>
      <c r="B264" s="50"/>
      <c r="C264" s="50" t="s">
        <v>367</v>
      </c>
      <c r="D264" s="127"/>
      <c r="E264" s="50"/>
      <c r="F264" s="123"/>
      <c r="G264" s="50"/>
      <c r="H264" s="124">
        <f>H260</f>
        <v>32404.169387547645</v>
      </c>
      <c r="I264" s="124">
        <f>MIN(I260,I263)</f>
        <v>30347.15165868331</v>
      </c>
      <c r="J264" s="124">
        <f>MIN(J260,J263)</f>
        <v>34105.462198378729</v>
      </c>
      <c r="K264" s="50"/>
      <c r="L264" s="27"/>
    </row>
    <row r="265" spans="1:12">
      <c r="A265" s="50"/>
      <c r="B265" s="50"/>
      <c r="C265" s="50" t="s">
        <v>373</v>
      </c>
      <c r="D265" s="31">
        <f>NPV(WACC,H255:J255)*D50</f>
        <v>87061.427701794964</v>
      </c>
      <c r="E265" s="50"/>
      <c r="F265" s="123"/>
      <c r="G265" s="50"/>
      <c r="H265" s="50"/>
      <c r="I265" s="50"/>
      <c r="J265" s="50"/>
      <c r="K265" s="50"/>
      <c r="L265" s="27"/>
    </row>
    <row r="266" spans="1:12">
      <c r="A266" s="50"/>
      <c r="B266" s="50"/>
      <c r="C266" s="50" t="s">
        <v>372</v>
      </c>
      <c r="D266" s="31">
        <f>NPV(WACC,H252:J252)*D50</f>
        <v>71883.362676576886</v>
      </c>
      <c r="E266" s="50"/>
      <c r="F266" s="123"/>
      <c r="G266" s="50"/>
      <c r="H266" s="50"/>
      <c r="I266" s="50"/>
      <c r="J266" s="50"/>
      <c r="K266" s="50"/>
      <c r="L266" s="27"/>
    </row>
    <row r="267" spans="1:12">
      <c r="A267" s="50"/>
      <c r="B267" s="50"/>
      <c r="C267" s="50" t="s">
        <v>340</v>
      </c>
      <c r="D267" s="31">
        <f>NPV(WACC,H259:J259)*D50</f>
        <v>87061.427701794964</v>
      </c>
      <c r="E267" s="50"/>
      <c r="F267" s="123"/>
      <c r="G267" s="50"/>
      <c r="H267" s="50"/>
      <c r="I267" s="50"/>
      <c r="J267" s="50"/>
      <c r="K267" s="50"/>
      <c r="L267" s="27"/>
    </row>
    <row r="268" spans="1:12">
      <c r="A268" s="50"/>
      <c r="B268" s="50"/>
      <c r="C268" s="50" t="s">
        <v>351</v>
      </c>
      <c r="D268" s="31">
        <f>NPV(WACC,H264:J264)*D50</f>
        <v>84786.68091557888</v>
      </c>
      <c r="E268" s="50"/>
      <c r="F268" s="123"/>
      <c r="G268" s="50"/>
      <c r="H268" s="50"/>
      <c r="I268" s="50"/>
      <c r="J268" s="50"/>
      <c r="K268" s="50"/>
      <c r="L268" s="27"/>
    </row>
    <row r="269" spans="1:12">
      <c r="A269" s="50"/>
      <c r="B269" s="50"/>
      <c r="C269" s="50" t="s">
        <v>348</v>
      </c>
      <c r="D269" s="31">
        <f>NPV(WACC,H257:J257)*D50</f>
        <v>86396.203414242002</v>
      </c>
      <c r="E269" s="50"/>
      <c r="F269" s="123"/>
      <c r="G269" s="50"/>
      <c r="H269" s="50"/>
      <c r="I269" s="50"/>
      <c r="J269" s="50"/>
      <c r="K269" s="50"/>
      <c r="L269" s="27"/>
    </row>
    <row r="270" spans="1:12">
      <c r="A270" s="50"/>
      <c r="B270" s="50"/>
      <c r="C270" s="50" t="s">
        <v>349</v>
      </c>
      <c r="D270" s="31">
        <f>NPV(WACC,H260:J260)*D50</f>
        <v>86393.040538372254</v>
      </c>
      <c r="E270" s="50"/>
      <c r="F270" s="123"/>
      <c r="G270" s="50"/>
      <c r="H270" s="50"/>
      <c r="I270" s="50"/>
      <c r="J270" s="50"/>
      <c r="K270" s="50"/>
      <c r="L270" s="27"/>
    </row>
    <row r="271" spans="1:12">
      <c r="A271" s="50"/>
      <c r="B271" s="50"/>
      <c r="C271" s="50" t="s">
        <v>368</v>
      </c>
      <c r="D271" s="31" t="b">
        <f>OR(I260&gt;I263,J260&gt;J263)</f>
        <v>1</v>
      </c>
      <c r="E271" s="50"/>
      <c r="F271" s="123"/>
      <c r="G271" s="50"/>
      <c r="H271" s="50"/>
      <c r="I271" s="50"/>
      <c r="J271" s="50"/>
      <c r="K271" s="50"/>
      <c r="L271" s="27"/>
    </row>
    <row r="272" spans="1:12">
      <c r="A272" s="50"/>
      <c r="B272" s="50"/>
      <c r="C272" s="50"/>
      <c r="D272" s="31"/>
      <c r="E272" s="50"/>
      <c r="F272" s="123"/>
      <c r="G272" s="50"/>
      <c r="H272" s="50"/>
      <c r="I272" s="50"/>
      <c r="J272" s="50"/>
      <c r="K272" s="50"/>
      <c r="L272" s="27"/>
    </row>
    <row r="273" spans="1:12" ht="21">
      <c r="A273" s="50"/>
      <c r="B273" s="50"/>
      <c r="C273" s="155" t="s">
        <v>343</v>
      </c>
      <c r="D273" s="127"/>
      <c r="E273" s="50"/>
      <c r="F273" s="123"/>
      <c r="G273" s="50"/>
      <c r="H273" s="50"/>
      <c r="I273" s="50"/>
      <c r="J273" s="50"/>
      <c r="K273" s="50"/>
      <c r="L273" s="27"/>
    </row>
    <row r="274" spans="1:12" ht="30">
      <c r="A274" s="50"/>
      <c r="B274" s="50"/>
      <c r="C274" s="123" t="s">
        <v>370</v>
      </c>
      <c r="D274" s="126">
        <f>I$261/(D$251*(1+I$249)*(1+I$248))-1</f>
        <v>0.14633989939634695</v>
      </c>
      <c r="E274" s="50"/>
      <c r="F274" s="123"/>
      <c r="G274" s="50"/>
      <c r="H274" s="50"/>
      <c r="I274" s="50"/>
      <c r="J274" s="50"/>
      <c r="K274" s="50"/>
      <c r="L274" s="27"/>
    </row>
    <row r="275" spans="1:12" ht="30">
      <c r="A275" s="50"/>
      <c r="B275" s="50"/>
      <c r="C275" s="123" t="s">
        <v>350</v>
      </c>
      <c r="D275" s="31">
        <f>D265-D268</f>
        <v>2274.7467862160847</v>
      </c>
      <c r="E275" s="50"/>
      <c r="F275" s="123"/>
      <c r="G275" s="50"/>
      <c r="H275" s="50"/>
      <c r="I275" s="50"/>
      <c r="J275" s="50"/>
      <c r="K275" s="50"/>
      <c r="L275" s="27"/>
    </row>
    <row r="276" spans="1:12">
      <c r="A276" s="50"/>
      <c r="B276" s="50"/>
      <c r="C276" s="123" t="s">
        <v>366</v>
      </c>
      <c r="D276" s="31">
        <f>ROUNDUP(I264,0)</f>
        <v>30348</v>
      </c>
      <c r="E276" s="50"/>
      <c r="F276" s="123"/>
      <c r="G276" s="50"/>
      <c r="H276" s="50"/>
      <c r="I276" s="50"/>
      <c r="J276" s="50"/>
      <c r="K276" s="50"/>
      <c r="L276" s="27"/>
    </row>
    <row r="277" spans="1:12">
      <c r="A277" s="50"/>
      <c r="B277" s="50"/>
      <c r="C277" s="123" t="s">
        <v>378</v>
      </c>
      <c r="D277" s="31">
        <f>ROUNDUP(H233,0)</f>
        <v>32405</v>
      </c>
      <c r="E277" s="50"/>
      <c r="F277" s="123"/>
      <c r="G277" s="50"/>
      <c r="H277" s="50"/>
      <c r="I277" s="50"/>
      <c r="J277" s="50"/>
      <c r="K277" s="50"/>
      <c r="L277" s="27"/>
    </row>
    <row r="278" spans="1:12">
      <c r="A278" s="50"/>
      <c r="B278" s="50"/>
      <c r="C278" s="114" t="s">
        <v>382</v>
      </c>
      <c r="D278" s="31">
        <f>D269-D266</f>
        <v>14512.840737665116</v>
      </c>
      <c r="E278" s="50"/>
      <c r="F278" s="123"/>
      <c r="G278" s="50"/>
      <c r="H278" s="50"/>
      <c r="I278" s="50"/>
      <c r="J278" s="50"/>
      <c r="K278" s="50"/>
      <c r="L278" s="27"/>
    </row>
    <row r="279" spans="1:12">
      <c r="A279" s="15"/>
      <c r="B279" s="15"/>
      <c r="C279" s="15"/>
      <c r="D279" s="15"/>
      <c r="E279" s="120"/>
      <c r="F279" s="15"/>
      <c r="G279" s="15"/>
      <c r="H279" s="15"/>
      <c r="I279" s="15"/>
      <c r="J279" s="15"/>
      <c r="K279" s="15"/>
    </row>
    <row r="280" spans="1:12">
      <c r="A280" s="15"/>
      <c r="B280" s="15"/>
      <c r="C280" s="15"/>
      <c r="D280" s="15"/>
      <c r="E280" s="120"/>
      <c r="F280" s="15"/>
      <c r="G280" s="15"/>
      <c r="H280" s="15"/>
      <c r="I280" s="15"/>
      <c r="J280" s="15"/>
      <c r="K280" s="15"/>
    </row>
    <row r="281" spans="1:12">
      <c r="A281" s="15"/>
      <c r="B281" s="15"/>
      <c r="C281" s="15"/>
      <c r="D281" s="15"/>
      <c r="E281" s="120"/>
      <c r="F281" s="15"/>
      <c r="G281" s="15"/>
      <c r="H281" s="15"/>
      <c r="I281" s="15"/>
      <c r="J281" s="15"/>
      <c r="K281" s="15"/>
    </row>
    <row r="282" spans="1:12">
      <c r="A282" s="15"/>
      <c r="B282" s="15"/>
      <c r="C282" s="15"/>
      <c r="D282" s="15"/>
      <c r="E282" s="120"/>
      <c r="F282" s="15"/>
      <c r="G282" s="15"/>
      <c r="H282" s="15"/>
      <c r="I282" s="15"/>
      <c r="J282" s="15"/>
      <c r="K282" s="15"/>
    </row>
    <row r="283" spans="1:12">
      <c r="A283" s="15"/>
      <c r="B283" s="15"/>
      <c r="C283" s="15"/>
      <c r="D283" s="15"/>
      <c r="E283" s="120"/>
      <c r="F283" s="15"/>
      <c r="G283" s="15"/>
      <c r="H283" s="15"/>
      <c r="I283" s="15"/>
      <c r="J283" s="15"/>
      <c r="K283" s="15"/>
    </row>
    <row r="284" spans="1:12">
      <c r="A284" s="15"/>
      <c r="B284" s="15"/>
      <c r="C284" s="15"/>
      <c r="D284" s="15"/>
      <c r="E284" s="120"/>
      <c r="F284" s="15"/>
      <c r="G284" s="15"/>
      <c r="H284" s="15"/>
      <c r="I284" s="15"/>
      <c r="J284" s="15"/>
      <c r="K284" s="15"/>
    </row>
    <row r="285" spans="1:12">
      <c r="A285" s="15"/>
      <c r="B285" s="15"/>
      <c r="C285" s="15"/>
      <c r="D285" s="15"/>
      <c r="E285" s="120"/>
      <c r="F285" s="15"/>
      <c r="G285" s="15"/>
      <c r="H285" s="15"/>
      <c r="I285" s="15"/>
      <c r="J285" s="15"/>
      <c r="K285" s="15"/>
    </row>
    <row r="286" spans="1:12">
      <c r="A286" s="15"/>
      <c r="B286" s="15"/>
      <c r="C286" s="15"/>
      <c r="D286" s="15"/>
      <c r="E286" s="120"/>
      <c r="F286" s="15"/>
      <c r="G286" s="15"/>
      <c r="H286" s="15"/>
      <c r="I286" s="15"/>
      <c r="J286" s="15"/>
      <c r="K286" s="15"/>
    </row>
    <row r="287" spans="1:12">
      <c r="A287" s="15"/>
      <c r="B287" s="15"/>
      <c r="C287" s="15"/>
      <c r="D287" s="15"/>
      <c r="E287" s="120"/>
      <c r="F287" s="15"/>
      <c r="G287" s="15"/>
      <c r="H287" s="15"/>
      <c r="I287" s="15"/>
      <c r="J287" s="15"/>
      <c r="K287" s="15"/>
    </row>
    <row r="288" spans="1:12">
      <c r="A288" s="15"/>
      <c r="B288" s="15"/>
      <c r="C288" s="15"/>
      <c r="D288" s="15"/>
      <c r="E288" s="120"/>
      <c r="F288" s="15"/>
      <c r="G288" s="15"/>
      <c r="H288" s="15"/>
      <c r="I288" s="15"/>
      <c r="J288" s="15"/>
      <c r="K288" s="15"/>
    </row>
    <row r="289" spans="1:11">
      <c r="A289" s="15"/>
      <c r="B289" s="15"/>
      <c r="C289" s="15"/>
      <c r="D289" s="15"/>
      <c r="E289" s="120"/>
      <c r="F289" s="15"/>
      <c r="G289" s="15"/>
      <c r="H289" s="15"/>
      <c r="I289" s="15"/>
      <c r="J289" s="15"/>
      <c r="K289" s="15"/>
    </row>
    <row r="290" spans="1:11">
      <c r="A290" s="15"/>
      <c r="B290" s="15"/>
      <c r="C290" s="15"/>
      <c r="D290" s="15"/>
      <c r="E290" s="120"/>
      <c r="F290" s="15"/>
      <c r="G290" s="15"/>
      <c r="H290" s="15"/>
      <c r="I290" s="15"/>
      <c r="J290" s="15"/>
      <c r="K290" s="15"/>
    </row>
    <row r="291" spans="1:11">
      <c r="A291" s="15"/>
      <c r="B291" s="15"/>
      <c r="C291" s="15"/>
      <c r="D291" s="15"/>
      <c r="E291" s="120"/>
      <c r="F291" s="15"/>
      <c r="G291" s="15"/>
      <c r="H291" s="15"/>
      <c r="I291" s="15"/>
      <c r="J291" s="15"/>
      <c r="K291" s="15"/>
    </row>
    <row r="292" spans="1:11">
      <c r="A292" s="15"/>
      <c r="B292" s="15"/>
      <c r="C292" s="15"/>
      <c r="D292" s="15"/>
      <c r="E292" s="120"/>
      <c r="F292" s="15"/>
      <c r="G292" s="15"/>
      <c r="H292" s="15"/>
      <c r="I292" s="15"/>
      <c r="J292" s="15"/>
      <c r="K292" s="15"/>
    </row>
    <row r="293" spans="1:11">
      <c r="A293" s="15"/>
      <c r="B293" s="15"/>
      <c r="C293" s="15"/>
      <c r="D293" s="15"/>
      <c r="E293" s="120"/>
      <c r="F293" s="15"/>
      <c r="G293" s="15"/>
      <c r="H293" s="15"/>
      <c r="I293" s="15"/>
      <c r="J293" s="15"/>
      <c r="K293" s="15"/>
    </row>
    <row r="294" spans="1:11">
      <c r="A294" s="15"/>
      <c r="B294" s="15"/>
      <c r="C294" s="15"/>
      <c r="D294" s="15"/>
      <c r="E294" s="120"/>
      <c r="F294" s="15"/>
      <c r="G294" s="15"/>
      <c r="H294" s="15"/>
      <c r="I294" s="15"/>
      <c r="J294" s="15"/>
      <c r="K294" s="15"/>
    </row>
    <row r="295" spans="1:11">
      <c r="A295" s="15"/>
      <c r="B295" s="15"/>
      <c r="C295" s="15"/>
      <c r="D295" s="15"/>
      <c r="E295" s="120"/>
      <c r="F295" s="15"/>
      <c r="G295" s="15"/>
      <c r="H295" s="15"/>
      <c r="I295" s="15"/>
      <c r="J295" s="15"/>
      <c r="K295" s="15"/>
    </row>
    <row r="296" spans="1:11">
      <c r="A296" s="15"/>
      <c r="B296" s="15"/>
      <c r="C296" s="15"/>
      <c r="D296" s="15"/>
      <c r="E296" s="120"/>
      <c r="F296" s="15"/>
      <c r="G296" s="15"/>
      <c r="H296" s="15"/>
      <c r="I296" s="15"/>
      <c r="J296" s="15"/>
      <c r="K296" s="15"/>
    </row>
    <row r="297" spans="1:11">
      <c r="A297" s="15"/>
      <c r="B297" s="15"/>
      <c r="C297" s="15"/>
      <c r="D297" s="15"/>
      <c r="E297" s="120"/>
      <c r="F297" s="15"/>
      <c r="G297" s="15"/>
      <c r="H297" s="15"/>
      <c r="I297" s="15"/>
      <c r="J297" s="15"/>
      <c r="K297" s="15"/>
    </row>
    <row r="298" spans="1:11">
      <c r="A298" s="15"/>
      <c r="B298" s="15"/>
      <c r="C298" s="15"/>
      <c r="D298" s="15"/>
      <c r="E298" s="120"/>
      <c r="F298" s="15"/>
      <c r="G298" s="15"/>
      <c r="H298" s="15"/>
      <c r="I298" s="15"/>
      <c r="J298" s="15"/>
      <c r="K298" s="15"/>
    </row>
    <row r="299" spans="1:11">
      <c r="A299" s="15"/>
      <c r="B299" s="15"/>
      <c r="C299" s="15"/>
      <c r="D299" s="15"/>
      <c r="E299" s="120"/>
      <c r="F299" s="15"/>
      <c r="G299" s="15"/>
      <c r="H299" s="15"/>
      <c r="I299" s="15"/>
      <c r="J299" s="15"/>
    </row>
    <row r="300" spans="1:11">
      <c r="A300" s="15"/>
      <c r="B300" s="15"/>
      <c r="C300" s="15"/>
      <c r="D300" s="15"/>
      <c r="E300" s="120"/>
      <c r="F300" s="15"/>
      <c r="G300" s="15"/>
      <c r="H300" s="15"/>
      <c r="I300" s="15"/>
      <c r="J300" s="15"/>
    </row>
    <row r="301" spans="1:11">
      <c r="A301" s="15"/>
      <c r="B301" s="15"/>
      <c r="C301" s="15"/>
      <c r="D301" s="15"/>
      <c r="E301" s="120"/>
      <c r="F301" s="15"/>
      <c r="G301" s="15"/>
      <c r="H301" s="15"/>
      <c r="I301" s="15"/>
      <c r="J301" s="15"/>
    </row>
    <row r="302" spans="1:11">
      <c r="A302" s="15"/>
      <c r="B302" s="15"/>
      <c r="C302" s="15"/>
      <c r="D302" s="15"/>
      <c r="E302" s="120"/>
      <c r="F302" s="15"/>
      <c r="G302" s="15"/>
      <c r="H302" s="15"/>
      <c r="I302" s="15"/>
      <c r="J302" s="15"/>
    </row>
    <row r="303" spans="1:11">
      <c r="A303" s="15"/>
      <c r="B303" s="15"/>
      <c r="C303" s="15"/>
      <c r="D303" s="15"/>
      <c r="E303" s="120"/>
      <c r="F303" s="15"/>
      <c r="G303" s="15"/>
      <c r="H303" s="15"/>
      <c r="I303" s="15"/>
      <c r="J303" s="15"/>
    </row>
    <row r="304" spans="1:11">
      <c r="A304" s="15"/>
      <c r="B304" s="15"/>
      <c r="C304" s="15"/>
      <c r="D304" s="15"/>
      <c r="E304" s="120"/>
      <c r="F304" s="15"/>
      <c r="G304" s="15"/>
      <c r="H304" s="15"/>
      <c r="I304" s="15"/>
      <c r="J304" s="15"/>
    </row>
    <row r="305" spans="1:10">
      <c r="A305" s="15"/>
      <c r="B305" s="15"/>
      <c r="C305" s="15"/>
      <c r="D305" s="15"/>
      <c r="E305" s="120"/>
      <c r="F305" s="15"/>
      <c r="G305" s="15"/>
      <c r="H305" s="15"/>
      <c r="I305" s="15"/>
      <c r="J305" s="15"/>
    </row>
    <row r="306" spans="1:10">
      <c r="A306" s="15"/>
      <c r="B306" s="15"/>
      <c r="C306" s="15"/>
      <c r="D306" s="15"/>
      <c r="E306" s="120"/>
      <c r="F306" s="15"/>
      <c r="G306" s="15"/>
      <c r="H306" s="15"/>
      <c r="I306" s="15"/>
      <c r="J306" s="15"/>
    </row>
    <row r="307" spans="1:10">
      <c r="A307" s="15"/>
      <c r="B307" s="15"/>
      <c r="C307" s="15"/>
      <c r="D307" s="15"/>
      <c r="E307" s="120"/>
      <c r="F307" s="15"/>
      <c r="G307" s="15"/>
      <c r="H307" s="15"/>
      <c r="I307" s="15"/>
      <c r="J307" s="15"/>
    </row>
    <row r="308" spans="1:10">
      <c r="A308" s="15"/>
      <c r="B308" s="15"/>
      <c r="C308" s="15"/>
      <c r="D308" s="15"/>
      <c r="E308" s="120"/>
      <c r="F308" s="15"/>
      <c r="G308" s="15"/>
      <c r="H308" s="15"/>
      <c r="I308" s="15"/>
      <c r="J308" s="15"/>
    </row>
    <row r="309" spans="1:10">
      <c r="A309" s="15"/>
      <c r="B309" s="15"/>
      <c r="C309" s="15"/>
      <c r="D309" s="15"/>
      <c r="E309" s="120"/>
      <c r="F309" s="15"/>
      <c r="G309" s="15"/>
      <c r="H309" s="15"/>
      <c r="I309" s="15"/>
      <c r="J309" s="15"/>
    </row>
    <row r="310" spans="1:10">
      <c r="A310" s="15"/>
      <c r="B310" s="15"/>
      <c r="C310" s="15"/>
      <c r="D310" s="15"/>
      <c r="E310" s="120"/>
      <c r="F310" s="15"/>
      <c r="G310" s="15"/>
      <c r="H310" s="15"/>
      <c r="I310" s="15"/>
      <c r="J310" s="15"/>
    </row>
    <row r="311" spans="1:10">
      <c r="A311" s="15"/>
      <c r="B311" s="15"/>
      <c r="C311" s="15"/>
      <c r="D311" s="15"/>
      <c r="E311" s="120"/>
      <c r="F311" s="15"/>
      <c r="G311" s="15"/>
      <c r="H311" s="15"/>
      <c r="I311" s="15"/>
      <c r="J311" s="15"/>
    </row>
    <row r="312" spans="1:10">
      <c r="A312" s="15"/>
      <c r="B312" s="15"/>
      <c r="C312" s="15"/>
      <c r="D312" s="15"/>
      <c r="E312" s="120"/>
      <c r="F312" s="15"/>
      <c r="G312" s="15"/>
      <c r="H312" s="15"/>
      <c r="I312" s="15"/>
      <c r="J312" s="15"/>
    </row>
    <row r="313" spans="1:10">
      <c r="E313" s="19"/>
    </row>
    <row r="314" spans="1:10">
      <c r="E314" s="19"/>
    </row>
    <row r="315" spans="1:10">
      <c r="E315" s="19"/>
    </row>
    <row r="316" spans="1:10">
      <c r="E316" s="19"/>
    </row>
    <row r="317" spans="1:10">
      <c r="E317" s="19"/>
    </row>
    <row r="318" spans="1:10">
      <c r="E318" s="19"/>
    </row>
    <row r="319" spans="1:10">
      <c r="E319" s="19"/>
    </row>
    <row r="320" spans="1:10">
      <c r="E320" s="19"/>
    </row>
    <row r="321" spans="5:5">
      <c r="E321" s="19"/>
    </row>
    <row r="322" spans="5:5">
      <c r="E322" s="19"/>
    </row>
    <row r="323" spans="5:5">
      <c r="E323" s="19"/>
    </row>
    <row r="324" spans="5:5">
      <c r="E324" s="19"/>
    </row>
    <row r="325" spans="5:5">
      <c r="E325" s="19"/>
    </row>
    <row r="326" spans="5:5">
      <c r="E326" s="19"/>
    </row>
    <row r="327" spans="5:5">
      <c r="E327" s="19"/>
    </row>
    <row r="328" spans="5:5">
      <c r="E328" s="19"/>
    </row>
    <row r="329" spans="5:5">
      <c r="E329" s="19"/>
    </row>
    <row r="330" spans="5:5">
      <c r="E330" s="19"/>
    </row>
    <row r="331" spans="5:5">
      <c r="E331" s="19"/>
    </row>
    <row r="332" spans="5:5">
      <c r="E332" s="19"/>
    </row>
    <row r="333" spans="5:5">
      <c r="E333" s="19"/>
    </row>
    <row r="334" spans="5:5">
      <c r="E334" s="19"/>
    </row>
    <row r="335" spans="5:5">
      <c r="E335" s="19"/>
    </row>
    <row r="336" spans="5:5">
      <c r="E336" s="19"/>
    </row>
    <row r="337" spans="5:5">
      <c r="E337" s="19"/>
    </row>
    <row r="338" spans="5:5">
      <c r="E338" s="19"/>
    </row>
    <row r="339" spans="5:5">
      <c r="E339" s="19"/>
    </row>
    <row r="340" spans="5:5">
      <c r="E340" s="19"/>
    </row>
    <row r="341" spans="5:5">
      <c r="E341" s="19"/>
    </row>
    <row r="342" spans="5:5">
      <c r="E342" s="19"/>
    </row>
    <row r="343" spans="5:5">
      <c r="E343" s="19"/>
    </row>
    <row r="344" spans="5:5">
      <c r="E344" s="19"/>
    </row>
    <row r="345" spans="5:5">
      <c r="E345" s="19"/>
    </row>
    <row r="346" spans="5:5">
      <c r="E346" s="19"/>
    </row>
    <row r="347" spans="5:5">
      <c r="E347" s="19"/>
    </row>
    <row r="348" spans="5:5">
      <c r="E348" s="19"/>
    </row>
    <row r="349" spans="5:5">
      <c r="E349" s="19"/>
    </row>
    <row r="350" spans="5:5">
      <c r="E350" s="19"/>
    </row>
    <row r="351" spans="5:5">
      <c r="E351" s="19"/>
    </row>
    <row r="352" spans="5:5">
      <c r="E352" s="19"/>
    </row>
    <row r="353" spans="5:5">
      <c r="E353" s="19"/>
    </row>
    <row r="354" spans="5:5">
      <c r="E354" s="19"/>
    </row>
    <row r="355" spans="5:5">
      <c r="E355" s="19"/>
    </row>
    <row r="356" spans="5:5">
      <c r="E356" s="19"/>
    </row>
    <row r="357" spans="5:5">
      <c r="E357" s="19"/>
    </row>
    <row r="358" spans="5:5">
      <c r="E358" s="19"/>
    </row>
    <row r="359" spans="5:5">
      <c r="E359" s="19"/>
    </row>
    <row r="360" spans="5:5">
      <c r="E360" s="19"/>
    </row>
    <row r="361" spans="5:5">
      <c r="E361" s="19"/>
    </row>
    <row r="362" spans="5:5">
      <c r="E362" s="19"/>
    </row>
    <row r="363" spans="5:5">
      <c r="E363" s="19"/>
    </row>
    <row r="364" spans="5:5">
      <c r="E364" s="19"/>
    </row>
    <row r="365" spans="5:5">
      <c r="E365" s="19"/>
    </row>
    <row r="366" spans="5:5">
      <c r="E366" s="19"/>
    </row>
    <row r="367" spans="5:5">
      <c r="E367" s="19"/>
    </row>
    <row r="368" spans="5:5">
      <c r="E368" s="19"/>
    </row>
    <row r="369" spans="5:5">
      <c r="E369" s="19"/>
    </row>
    <row r="370" spans="5:5">
      <c r="E370" s="19"/>
    </row>
    <row r="371" spans="5:5">
      <c r="E371" s="19"/>
    </row>
    <row r="372" spans="5:5">
      <c r="E372" s="19"/>
    </row>
    <row r="373" spans="5:5">
      <c r="E373" s="19"/>
    </row>
    <row r="374" spans="5:5">
      <c r="E374" s="19"/>
    </row>
    <row r="375" spans="5:5">
      <c r="E375" s="19"/>
    </row>
    <row r="376" spans="5:5">
      <c r="E376" s="19"/>
    </row>
    <row r="377" spans="5:5">
      <c r="E377" s="19"/>
    </row>
    <row r="378" spans="5:5">
      <c r="E378" s="19"/>
    </row>
    <row r="379" spans="5:5">
      <c r="E379" s="19"/>
    </row>
    <row r="380" spans="5:5">
      <c r="E380" s="19"/>
    </row>
    <row r="381" spans="5:5">
      <c r="E381" s="19"/>
    </row>
    <row r="382" spans="5:5">
      <c r="E382" s="19"/>
    </row>
    <row r="383" spans="5:5">
      <c r="E383" s="19"/>
    </row>
    <row r="384" spans="5:5">
      <c r="E384" s="19"/>
    </row>
    <row r="385" spans="5:5">
      <c r="E385" s="19"/>
    </row>
    <row r="386" spans="5:5">
      <c r="E386" s="19"/>
    </row>
    <row r="387" spans="5:5">
      <c r="E387" s="19"/>
    </row>
    <row r="388" spans="5:5">
      <c r="E388" s="19"/>
    </row>
    <row r="389" spans="5:5">
      <c r="E389" s="19"/>
    </row>
    <row r="390" spans="5:5">
      <c r="E390" s="19"/>
    </row>
    <row r="391" spans="5:5">
      <c r="E391" s="19"/>
    </row>
    <row r="392" spans="5:5">
      <c r="E392" s="19"/>
    </row>
    <row r="393" spans="5:5">
      <c r="E393" s="19"/>
    </row>
    <row r="394" spans="5:5">
      <c r="E394" s="19"/>
    </row>
    <row r="395" spans="5:5">
      <c r="E395" s="19"/>
    </row>
    <row r="396" spans="5:5">
      <c r="E396" s="19"/>
    </row>
    <row r="397" spans="5:5">
      <c r="E397" s="19"/>
    </row>
    <row r="398" spans="5:5">
      <c r="E398" s="19"/>
    </row>
    <row r="399" spans="5:5">
      <c r="E399" s="19"/>
    </row>
    <row r="400" spans="5:5">
      <c r="E400" s="19"/>
    </row>
    <row r="401" spans="5:5">
      <c r="E401" s="19"/>
    </row>
    <row r="402" spans="5:5">
      <c r="E402" s="19"/>
    </row>
    <row r="403" spans="5:5">
      <c r="E403" s="19"/>
    </row>
    <row r="404" spans="5:5">
      <c r="E404" s="19"/>
    </row>
    <row r="405" spans="5:5">
      <c r="E405" s="19"/>
    </row>
    <row r="406" spans="5:5">
      <c r="E406" s="19"/>
    </row>
    <row r="407" spans="5:5">
      <c r="E407" s="19"/>
    </row>
    <row r="408" spans="5:5">
      <c r="E408" s="19"/>
    </row>
    <row r="409" spans="5:5">
      <c r="E409" s="19"/>
    </row>
    <row r="410" spans="5:5">
      <c r="E410" s="19"/>
    </row>
    <row r="411" spans="5:5">
      <c r="E411" s="19"/>
    </row>
    <row r="412" spans="5:5">
      <c r="E412" s="19"/>
    </row>
    <row r="413" spans="5:5">
      <c r="E413" s="19"/>
    </row>
    <row r="414" spans="5:5">
      <c r="E414" s="19"/>
    </row>
    <row r="415" spans="5:5">
      <c r="E415" s="19"/>
    </row>
    <row r="416" spans="5:5">
      <c r="E416" s="19"/>
    </row>
    <row r="417" spans="5:5">
      <c r="E417" s="19"/>
    </row>
    <row r="418" spans="5:5">
      <c r="E418" s="19"/>
    </row>
    <row r="419" spans="5:5">
      <c r="E419" s="19"/>
    </row>
    <row r="420" spans="5:5">
      <c r="E420" s="19"/>
    </row>
    <row r="421" spans="5:5">
      <c r="E421" s="19"/>
    </row>
    <row r="422" spans="5:5">
      <c r="E422" s="19"/>
    </row>
    <row r="423" spans="5:5">
      <c r="E423" s="19"/>
    </row>
    <row r="424" spans="5:5">
      <c r="E424" s="19"/>
    </row>
    <row r="425" spans="5:5">
      <c r="E425" s="19"/>
    </row>
    <row r="426" spans="5:5">
      <c r="E426" s="19"/>
    </row>
    <row r="427" spans="5:5">
      <c r="E427" s="19"/>
    </row>
    <row r="428" spans="5:5">
      <c r="E428" s="19"/>
    </row>
    <row r="429" spans="5:5">
      <c r="E429" s="19"/>
    </row>
    <row r="430" spans="5:5">
      <c r="E430" s="19"/>
    </row>
    <row r="431" spans="5:5">
      <c r="E431" s="19"/>
    </row>
    <row r="432" spans="5:5">
      <c r="E432" s="19"/>
    </row>
    <row r="433" spans="5:5">
      <c r="E433" s="19"/>
    </row>
    <row r="434" spans="5:5">
      <c r="E434" s="19"/>
    </row>
    <row r="435" spans="5:5">
      <c r="E435" s="19"/>
    </row>
    <row r="436" spans="5:5">
      <c r="E436" s="19"/>
    </row>
    <row r="437" spans="5:5">
      <c r="E437" s="19"/>
    </row>
    <row r="438" spans="5:5">
      <c r="E438" s="19"/>
    </row>
    <row r="439" spans="5:5">
      <c r="E439" s="19"/>
    </row>
    <row r="440" spans="5:5">
      <c r="E440" s="19"/>
    </row>
    <row r="441" spans="5:5">
      <c r="E441" s="19"/>
    </row>
    <row r="442" spans="5:5">
      <c r="E442" s="19"/>
    </row>
    <row r="443" spans="5:5">
      <c r="E443" s="19"/>
    </row>
    <row r="444" spans="5:5">
      <c r="E444" s="19"/>
    </row>
    <row r="445" spans="5:5">
      <c r="E445" s="19"/>
    </row>
    <row r="446" spans="5:5">
      <c r="E446" s="19"/>
    </row>
    <row r="447" spans="5:5">
      <c r="E447" s="19"/>
    </row>
    <row r="448" spans="5:5">
      <c r="E448" s="19"/>
    </row>
    <row r="449" spans="5:5">
      <c r="E449" s="19"/>
    </row>
    <row r="450" spans="5:5">
      <c r="E450" s="19"/>
    </row>
    <row r="451" spans="5:5">
      <c r="E451" s="19"/>
    </row>
    <row r="452" spans="5:5">
      <c r="E452" s="19"/>
    </row>
    <row r="453" spans="5:5">
      <c r="E453" s="19"/>
    </row>
    <row r="454" spans="5:5">
      <c r="E454" s="19"/>
    </row>
    <row r="455" spans="5:5">
      <c r="E455" s="19"/>
    </row>
    <row r="456" spans="5:5">
      <c r="E456" s="19"/>
    </row>
    <row r="457" spans="5:5">
      <c r="E457" s="19"/>
    </row>
    <row r="458" spans="5:5">
      <c r="E458" s="19"/>
    </row>
    <row r="459" spans="5:5">
      <c r="E459" s="19"/>
    </row>
    <row r="460" spans="5:5">
      <c r="E460" s="19"/>
    </row>
    <row r="461" spans="5:5">
      <c r="E461" s="19"/>
    </row>
    <row r="462" spans="5:5">
      <c r="E462" s="19"/>
    </row>
    <row r="463" spans="5:5">
      <c r="E463" s="19"/>
    </row>
    <row r="464" spans="5:5">
      <c r="E464" s="19"/>
    </row>
    <row r="465" spans="5:5">
      <c r="E465" s="19"/>
    </row>
    <row r="466" spans="5:5">
      <c r="E466" s="19"/>
    </row>
    <row r="467" spans="5:5">
      <c r="E467" s="19"/>
    </row>
    <row r="468" spans="5:5">
      <c r="E468" s="19"/>
    </row>
    <row r="469" spans="5:5">
      <c r="E469" s="19"/>
    </row>
    <row r="470" spans="5:5">
      <c r="E470" s="19"/>
    </row>
    <row r="471" spans="5:5">
      <c r="E471" s="19"/>
    </row>
    <row r="472" spans="5:5">
      <c r="E472" s="19"/>
    </row>
    <row r="473" spans="5:5">
      <c r="E473" s="19"/>
    </row>
    <row r="474" spans="5:5">
      <c r="E474" s="19"/>
    </row>
    <row r="475" spans="5:5">
      <c r="E475" s="19"/>
    </row>
    <row r="476" spans="5:5">
      <c r="E476" s="19"/>
    </row>
    <row r="477" spans="5:5">
      <c r="E477" s="19"/>
    </row>
    <row r="478" spans="5:5">
      <c r="E478" s="19"/>
    </row>
    <row r="479" spans="5:5">
      <c r="E479" s="19"/>
    </row>
    <row r="480" spans="5:5">
      <c r="E480" s="19"/>
    </row>
    <row r="481" spans="5:5">
      <c r="E481" s="19"/>
    </row>
    <row r="482" spans="5:5">
      <c r="E482" s="19"/>
    </row>
    <row r="483" spans="5:5">
      <c r="E483" s="19"/>
    </row>
    <row r="484" spans="5:5">
      <c r="E484" s="19"/>
    </row>
    <row r="485" spans="5:5">
      <c r="E485" s="19"/>
    </row>
    <row r="486" spans="5:5">
      <c r="E486" s="19"/>
    </row>
    <row r="487" spans="5:5">
      <c r="E487" s="19"/>
    </row>
    <row r="488" spans="5:5">
      <c r="E488" s="19"/>
    </row>
    <row r="489" spans="5:5">
      <c r="E489" s="19"/>
    </row>
    <row r="490" spans="5:5">
      <c r="E490" s="19"/>
    </row>
    <row r="491" spans="5:5">
      <c r="E491" s="19"/>
    </row>
    <row r="492" spans="5:5">
      <c r="E492" s="19"/>
    </row>
    <row r="493" spans="5:5">
      <c r="E493" s="19"/>
    </row>
    <row r="494" spans="5:5">
      <c r="E494" s="19"/>
    </row>
    <row r="495" spans="5:5">
      <c r="E495" s="19"/>
    </row>
    <row r="496" spans="5:5">
      <c r="E496" s="19"/>
    </row>
    <row r="497" spans="5:5">
      <c r="E497" s="19"/>
    </row>
    <row r="498" spans="5:5">
      <c r="E498" s="19"/>
    </row>
    <row r="499" spans="5:5">
      <c r="E499" s="19"/>
    </row>
    <row r="500" spans="5:5">
      <c r="E500" s="19"/>
    </row>
    <row r="501" spans="5:5">
      <c r="E501" s="19"/>
    </row>
    <row r="502" spans="5:5">
      <c r="E502" s="19"/>
    </row>
    <row r="503" spans="5:5">
      <c r="E503" s="19"/>
    </row>
    <row r="504" spans="5:5">
      <c r="E504" s="19"/>
    </row>
    <row r="505" spans="5:5">
      <c r="E505" s="19"/>
    </row>
    <row r="506" spans="5:5">
      <c r="E506" s="19"/>
    </row>
    <row r="507" spans="5:5">
      <c r="E507" s="19"/>
    </row>
    <row r="508" spans="5:5">
      <c r="E508" s="19"/>
    </row>
    <row r="509" spans="5:5">
      <c r="E509" s="19"/>
    </row>
    <row r="510" spans="5:5">
      <c r="E510" s="19"/>
    </row>
    <row r="511" spans="5:5">
      <c r="E511" s="19"/>
    </row>
    <row r="512" spans="5:5">
      <c r="E512" s="19"/>
    </row>
    <row r="513" spans="5:5">
      <c r="E513" s="19"/>
    </row>
    <row r="514" spans="5:5">
      <c r="E514" s="19"/>
    </row>
    <row r="515" spans="5:5">
      <c r="E515" s="19"/>
    </row>
    <row r="516" spans="5:5">
      <c r="E516" s="19"/>
    </row>
    <row r="517" spans="5:5">
      <c r="E517" s="19"/>
    </row>
    <row r="518" spans="5:5">
      <c r="E518" s="19"/>
    </row>
    <row r="519" spans="5:5">
      <c r="E519" s="19"/>
    </row>
    <row r="520" spans="5:5">
      <c r="E520" s="19"/>
    </row>
    <row r="521" spans="5:5">
      <c r="E521" s="19"/>
    </row>
    <row r="522" spans="5:5">
      <c r="E522" s="19"/>
    </row>
    <row r="523" spans="5:5">
      <c r="E523" s="19"/>
    </row>
    <row r="524" spans="5:5">
      <c r="E524" s="19"/>
    </row>
    <row r="525" spans="5:5">
      <c r="E525" s="19"/>
    </row>
    <row r="526" spans="5:5">
      <c r="E526" s="19"/>
    </row>
    <row r="527" spans="5:5">
      <c r="E527" s="19"/>
    </row>
    <row r="528" spans="5:5">
      <c r="E528" s="19"/>
    </row>
    <row r="529" spans="5:5">
      <c r="E529" s="19"/>
    </row>
    <row r="530" spans="5:5">
      <c r="E530" s="19"/>
    </row>
    <row r="531" spans="5:5">
      <c r="E531" s="19"/>
    </row>
    <row r="532" spans="5:5">
      <c r="E532" s="19"/>
    </row>
    <row r="533" spans="5:5">
      <c r="E533" s="19"/>
    </row>
    <row r="534" spans="5:5">
      <c r="E534" s="19"/>
    </row>
    <row r="535" spans="5:5">
      <c r="E535" s="19"/>
    </row>
    <row r="536" spans="5:5">
      <c r="E536" s="19"/>
    </row>
    <row r="537" spans="5:5">
      <c r="E537" s="19"/>
    </row>
    <row r="538" spans="5:5">
      <c r="E538" s="19"/>
    </row>
    <row r="539" spans="5:5">
      <c r="E539" s="19"/>
    </row>
    <row r="540" spans="5:5">
      <c r="E540" s="19"/>
    </row>
    <row r="541" spans="5:5">
      <c r="E541" s="19"/>
    </row>
    <row r="542" spans="5:5">
      <c r="E542" s="19"/>
    </row>
    <row r="543" spans="5:5">
      <c r="E543" s="19"/>
    </row>
    <row r="544" spans="5:5">
      <c r="E544" s="19"/>
    </row>
    <row r="545" spans="5:5">
      <c r="E545" s="19"/>
    </row>
    <row r="546" spans="5:5">
      <c r="E546" s="19"/>
    </row>
    <row r="547" spans="5:5">
      <c r="E547" s="19"/>
    </row>
    <row r="548" spans="5:5">
      <c r="E548" s="19"/>
    </row>
    <row r="549" spans="5:5">
      <c r="E549" s="19"/>
    </row>
    <row r="550" spans="5:5">
      <c r="E550" s="19"/>
    </row>
    <row r="551" spans="5:5">
      <c r="E551" s="19"/>
    </row>
    <row r="552" spans="5:5">
      <c r="E552" s="19"/>
    </row>
    <row r="553" spans="5:5">
      <c r="E553" s="19"/>
    </row>
    <row r="554" spans="5:5">
      <c r="E554" s="19"/>
    </row>
    <row r="555" spans="5:5">
      <c r="E555" s="19"/>
    </row>
    <row r="556" spans="5:5">
      <c r="E556" s="19"/>
    </row>
    <row r="557" spans="5:5">
      <c r="E557" s="19"/>
    </row>
    <row r="558" spans="5:5">
      <c r="E558" s="19"/>
    </row>
    <row r="559" spans="5:5">
      <c r="E559" s="19"/>
    </row>
    <row r="560" spans="5:5">
      <c r="E560" s="19"/>
    </row>
    <row r="561" spans="5:5">
      <c r="E561" s="19"/>
    </row>
    <row r="562" spans="5:5">
      <c r="E562" s="19"/>
    </row>
    <row r="563" spans="5:5">
      <c r="E563" s="19"/>
    </row>
    <row r="564" spans="5:5">
      <c r="E564" s="19"/>
    </row>
    <row r="565" spans="5:5">
      <c r="E565" s="19"/>
    </row>
    <row r="566" spans="5:5">
      <c r="E566" s="19"/>
    </row>
    <row r="567" spans="5:5">
      <c r="E567" s="19"/>
    </row>
    <row r="568" spans="5:5">
      <c r="E568" s="19"/>
    </row>
    <row r="569" spans="5:5">
      <c r="E569" s="19"/>
    </row>
    <row r="570" spans="5:5">
      <c r="E570" s="19"/>
    </row>
    <row r="571" spans="5:5">
      <c r="E571" s="19"/>
    </row>
    <row r="572" spans="5:5">
      <c r="E572" s="19"/>
    </row>
    <row r="573" spans="5:5">
      <c r="E573" s="19"/>
    </row>
    <row r="574" spans="5:5">
      <c r="E574" s="19"/>
    </row>
    <row r="575" spans="5:5">
      <c r="E575" s="19"/>
    </row>
    <row r="576" spans="5:5">
      <c r="E576" s="19"/>
    </row>
    <row r="577" spans="5:5">
      <c r="E577" s="19"/>
    </row>
    <row r="578" spans="5:5">
      <c r="E578" s="19"/>
    </row>
    <row r="579" spans="5:5">
      <c r="E579" s="19"/>
    </row>
    <row r="580" spans="5:5">
      <c r="E580" s="19"/>
    </row>
    <row r="581" spans="5:5">
      <c r="E581" s="19"/>
    </row>
    <row r="582" spans="5:5">
      <c r="E582" s="19"/>
    </row>
    <row r="583" spans="5:5">
      <c r="E583" s="19"/>
    </row>
    <row r="584" spans="5:5">
      <c r="E584" s="19"/>
    </row>
    <row r="585" spans="5:5">
      <c r="E585" s="19"/>
    </row>
    <row r="586" spans="5:5">
      <c r="E586" s="19"/>
    </row>
    <row r="587" spans="5:5">
      <c r="E587" s="19"/>
    </row>
    <row r="588" spans="5:5">
      <c r="E588" s="19"/>
    </row>
    <row r="589" spans="5:5">
      <c r="E589" s="19"/>
    </row>
    <row r="590" spans="5:5">
      <c r="E590" s="19"/>
    </row>
    <row r="591" spans="5:5">
      <c r="E591" s="19"/>
    </row>
    <row r="592" spans="5:5">
      <c r="E592" s="19"/>
    </row>
    <row r="593" spans="5:5">
      <c r="E593" s="19"/>
    </row>
    <row r="594" spans="5:5">
      <c r="E594" s="19"/>
    </row>
    <row r="595" spans="5:5">
      <c r="E595" s="19"/>
    </row>
    <row r="596" spans="5:5">
      <c r="E596" s="19"/>
    </row>
    <row r="597" spans="5:5">
      <c r="E597" s="19"/>
    </row>
    <row r="598" spans="5:5">
      <c r="E598" s="19"/>
    </row>
    <row r="599" spans="5:5">
      <c r="E599" s="19"/>
    </row>
    <row r="600" spans="5:5">
      <c r="E600" s="19"/>
    </row>
    <row r="601" spans="5:5">
      <c r="E601" s="19"/>
    </row>
    <row r="602" spans="5:5">
      <c r="E602" s="19"/>
    </row>
    <row r="603" spans="5:5">
      <c r="E603" s="19"/>
    </row>
    <row r="604" spans="5:5">
      <c r="E604" s="19"/>
    </row>
    <row r="605" spans="5:5">
      <c r="E605" s="19"/>
    </row>
    <row r="606" spans="5:5">
      <c r="E606" s="19"/>
    </row>
    <row r="607" spans="5:5">
      <c r="E607" s="19"/>
    </row>
    <row r="608" spans="5:5">
      <c r="E608" s="19"/>
    </row>
    <row r="609" spans="5:5">
      <c r="E609" s="19"/>
    </row>
    <row r="610" spans="5:5">
      <c r="E610" s="19"/>
    </row>
    <row r="611" spans="5:5">
      <c r="E611" s="19"/>
    </row>
    <row r="612" spans="5:5">
      <c r="E612" s="19"/>
    </row>
    <row r="613" spans="5:5">
      <c r="E613" s="19"/>
    </row>
    <row r="614" spans="5:5">
      <c r="E614" s="19"/>
    </row>
    <row r="615" spans="5:5">
      <c r="E615" s="19"/>
    </row>
    <row r="616" spans="5:5">
      <c r="E616" s="19"/>
    </row>
    <row r="617" spans="5:5">
      <c r="E617" s="19"/>
    </row>
    <row r="618" spans="5:5">
      <c r="E618" s="19"/>
    </row>
    <row r="619" spans="5:5">
      <c r="E619" s="19"/>
    </row>
    <row r="620" spans="5:5">
      <c r="E620" s="19"/>
    </row>
    <row r="621" spans="5:5">
      <c r="E621" s="19"/>
    </row>
    <row r="622" spans="5:5">
      <c r="E622" s="19"/>
    </row>
    <row r="623" spans="5:5">
      <c r="E623" s="19"/>
    </row>
    <row r="624" spans="5:5">
      <c r="E624" s="19"/>
    </row>
    <row r="625" spans="5:5">
      <c r="E625" s="19"/>
    </row>
    <row r="626" spans="5:5">
      <c r="E626" s="19"/>
    </row>
    <row r="627" spans="5:5">
      <c r="E627" s="19"/>
    </row>
    <row r="628" spans="5:5">
      <c r="E628" s="19"/>
    </row>
    <row r="629" spans="5:5">
      <c r="E629" s="19"/>
    </row>
    <row r="630" spans="5:5">
      <c r="E630" s="19"/>
    </row>
    <row r="631" spans="5:5">
      <c r="E631" s="19"/>
    </row>
    <row r="632" spans="5:5">
      <c r="E632" s="19"/>
    </row>
    <row r="633" spans="5:5">
      <c r="E633" s="19"/>
    </row>
    <row r="634" spans="5:5">
      <c r="E634" s="19"/>
    </row>
    <row r="635" spans="5:5">
      <c r="E635" s="19"/>
    </row>
    <row r="636" spans="5:5">
      <c r="E636" s="19"/>
    </row>
    <row r="637" spans="5:5">
      <c r="E637" s="19"/>
    </row>
    <row r="638" spans="5:5">
      <c r="E638" s="19"/>
    </row>
    <row r="639" spans="5:5">
      <c r="E639" s="19"/>
    </row>
    <row r="640" spans="5:5">
      <c r="E640" s="19"/>
    </row>
    <row r="641" spans="5:5">
      <c r="E641" s="19"/>
    </row>
    <row r="642" spans="5:5">
      <c r="E642" s="19"/>
    </row>
    <row r="643" spans="5:5">
      <c r="E643" s="19"/>
    </row>
    <row r="644" spans="5:5">
      <c r="E644" s="19"/>
    </row>
    <row r="645" spans="5:5">
      <c r="E645" s="19"/>
    </row>
    <row r="646" spans="5:5">
      <c r="E646" s="19"/>
    </row>
    <row r="647" spans="5:5">
      <c r="E647" s="19"/>
    </row>
    <row r="648" spans="5:5">
      <c r="E648" s="19"/>
    </row>
    <row r="649" spans="5:5">
      <c r="E649" s="19"/>
    </row>
    <row r="650" spans="5:5">
      <c r="E650" s="19"/>
    </row>
    <row r="651" spans="5:5">
      <c r="E651" s="19"/>
    </row>
    <row r="652" spans="5:5">
      <c r="E652" s="19"/>
    </row>
    <row r="653" spans="5:5">
      <c r="E653" s="19"/>
    </row>
    <row r="654" spans="5:5">
      <c r="E654" s="19"/>
    </row>
    <row r="655" spans="5:5">
      <c r="E655" s="19"/>
    </row>
    <row r="656" spans="5:5">
      <c r="E656" s="19"/>
    </row>
    <row r="657" spans="5:5">
      <c r="E657" s="19"/>
    </row>
    <row r="658" spans="5:5">
      <c r="E658" s="19"/>
    </row>
    <row r="659" spans="5:5">
      <c r="E659" s="19"/>
    </row>
    <row r="660" spans="5:5">
      <c r="E660" s="19"/>
    </row>
    <row r="661" spans="5:5">
      <c r="E661" s="19"/>
    </row>
    <row r="662" spans="5:5">
      <c r="E662" s="19"/>
    </row>
    <row r="663" spans="5:5">
      <c r="E663" s="19"/>
    </row>
    <row r="664" spans="5:5">
      <c r="E664" s="19"/>
    </row>
    <row r="665" spans="5:5">
      <c r="E665" s="19"/>
    </row>
    <row r="666" spans="5:5">
      <c r="E666" s="19"/>
    </row>
    <row r="667" spans="5:5">
      <c r="E667" s="19"/>
    </row>
    <row r="668" spans="5:5">
      <c r="E668" s="19"/>
    </row>
    <row r="669" spans="5:5">
      <c r="E669" s="19"/>
    </row>
    <row r="670" spans="5:5">
      <c r="E670" s="19"/>
    </row>
    <row r="671" spans="5:5">
      <c r="E671" s="19"/>
    </row>
    <row r="672" spans="5:5">
      <c r="E672" s="19"/>
    </row>
    <row r="673" spans="5:5">
      <c r="E673" s="19"/>
    </row>
    <row r="674" spans="5:5">
      <c r="E674" s="19"/>
    </row>
    <row r="675" spans="5:5">
      <c r="E675" s="19"/>
    </row>
    <row r="676" spans="5:5">
      <c r="E676" s="19"/>
    </row>
    <row r="677" spans="5:5">
      <c r="E677" s="19"/>
    </row>
    <row r="678" spans="5:5">
      <c r="E678" s="19"/>
    </row>
    <row r="679" spans="5:5">
      <c r="E679" s="19"/>
    </row>
    <row r="680" spans="5:5">
      <c r="E680" s="19"/>
    </row>
    <row r="681" spans="5:5">
      <c r="E681" s="19"/>
    </row>
    <row r="682" spans="5:5">
      <c r="E682" s="19"/>
    </row>
    <row r="683" spans="5:5">
      <c r="E683" s="19"/>
    </row>
    <row r="684" spans="5:5">
      <c r="E684" s="19"/>
    </row>
    <row r="685" spans="5:5">
      <c r="E685" s="19"/>
    </row>
    <row r="686" spans="5:5">
      <c r="E686" s="19"/>
    </row>
    <row r="687" spans="5:5">
      <c r="E687" s="19"/>
    </row>
    <row r="688" spans="5:5">
      <c r="E688" s="19"/>
    </row>
    <row r="689" spans="5:5">
      <c r="E689" s="19"/>
    </row>
    <row r="690" spans="5:5">
      <c r="E690" s="19"/>
    </row>
    <row r="691" spans="5:5">
      <c r="E691" s="19"/>
    </row>
    <row r="692" spans="5:5">
      <c r="E692" s="19"/>
    </row>
    <row r="693" spans="5:5">
      <c r="E693" s="19"/>
    </row>
    <row r="694" spans="5:5">
      <c r="E694" s="19"/>
    </row>
    <row r="695" spans="5:5">
      <c r="E695" s="19"/>
    </row>
    <row r="696" spans="5:5">
      <c r="E696" s="19"/>
    </row>
    <row r="697" spans="5:5">
      <c r="E697" s="19"/>
    </row>
    <row r="698" spans="5:5">
      <c r="E698" s="19"/>
    </row>
    <row r="699" spans="5:5">
      <c r="E699" s="19"/>
    </row>
    <row r="700" spans="5:5">
      <c r="E700" s="19"/>
    </row>
    <row r="701" spans="5:5">
      <c r="E701" s="19"/>
    </row>
    <row r="702" spans="5:5">
      <c r="E702" s="19"/>
    </row>
    <row r="703" spans="5:5">
      <c r="E703" s="19"/>
    </row>
    <row r="704" spans="5:5">
      <c r="E704" s="19"/>
    </row>
    <row r="705" spans="5:5">
      <c r="E705" s="19"/>
    </row>
    <row r="706" spans="5:5">
      <c r="E706" s="19"/>
    </row>
    <row r="707" spans="5:5">
      <c r="E707" s="19"/>
    </row>
    <row r="708" spans="5:5">
      <c r="E708" s="19"/>
    </row>
    <row r="709" spans="5:5">
      <c r="E709" s="19"/>
    </row>
    <row r="710" spans="5:5">
      <c r="E710" s="19"/>
    </row>
    <row r="711" spans="5:5">
      <c r="E711" s="19"/>
    </row>
    <row r="712" spans="5:5">
      <c r="E712" s="19"/>
    </row>
    <row r="713" spans="5:5">
      <c r="E713" s="19"/>
    </row>
    <row r="714" spans="5:5">
      <c r="E714" s="19"/>
    </row>
    <row r="715" spans="5:5">
      <c r="E715" s="19"/>
    </row>
    <row r="716" spans="5:5">
      <c r="E716" s="19"/>
    </row>
    <row r="717" spans="5:5">
      <c r="E717" s="19"/>
    </row>
    <row r="718" spans="5:5">
      <c r="E718" s="19"/>
    </row>
    <row r="719" spans="5:5">
      <c r="E719" s="19"/>
    </row>
    <row r="720" spans="5:5">
      <c r="E720" s="19"/>
    </row>
    <row r="721" spans="5:5">
      <c r="E721" s="19"/>
    </row>
    <row r="722" spans="5:5">
      <c r="E722" s="19"/>
    </row>
    <row r="723" spans="5:5">
      <c r="E723" s="19"/>
    </row>
    <row r="724" spans="5:5">
      <c r="E724" s="19"/>
    </row>
    <row r="725" spans="5:5">
      <c r="E725" s="19"/>
    </row>
    <row r="726" spans="5:5">
      <c r="E726" s="19"/>
    </row>
    <row r="727" spans="5:5">
      <c r="E727" s="19"/>
    </row>
    <row r="728" spans="5:5">
      <c r="E728" s="19"/>
    </row>
    <row r="729" spans="5:5">
      <c r="E729" s="19"/>
    </row>
    <row r="730" spans="5:5">
      <c r="E730" s="19"/>
    </row>
    <row r="731" spans="5:5">
      <c r="E731" s="19"/>
    </row>
    <row r="732" spans="5:5">
      <c r="E732" s="19"/>
    </row>
    <row r="733" spans="5:5">
      <c r="E733" s="19"/>
    </row>
    <row r="734" spans="5:5">
      <c r="E734" s="19"/>
    </row>
    <row r="735" spans="5:5">
      <c r="E735" s="19"/>
    </row>
    <row r="736" spans="5:5">
      <c r="E736" s="19"/>
    </row>
    <row r="737" spans="5:5">
      <c r="E737" s="19"/>
    </row>
    <row r="738" spans="5:5">
      <c r="E738" s="19"/>
    </row>
    <row r="739" spans="5:5">
      <c r="E739" s="19"/>
    </row>
    <row r="740" spans="5:5">
      <c r="E740" s="19"/>
    </row>
    <row r="741" spans="5:5">
      <c r="E741" s="19"/>
    </row>
    <row r="742" spans="5:5">
      <c r="E742" s="19"/>
    </row>
    <row r="743" spans="5:5">
      <c r="E743" s="19"/>
    </row>
    <row r="744" spans="5:5">
      <c r="E744" s="19"/>
    </row>
    <row r="745" spans="5:5">
      <c r="E745" s="19"/>
    </row>
    <row r="746" spans="5:5">
      <c r="E746" s="19"/>
    </row>
    <row r="747" spans="5:5">
      <c r="E747" s="19"/>
    </row>
    <row r="748" spans="5:5">
      <c r="E748" s="19"/>
    </row>
    <row r="749" spans="5:5">
      <c r="E749" s="19"/>
    </row>
    <row r="750" spans="5:5">
      <c r="E750" s="19"/>
    </row>
    <row r="751" spans="5:5">
      <c r="E751" s="19"/>
    </row>
    <row r="752" spans="5:5">
      <c r="E752" s="19"/>
    </row>
    <row r="753" spans="5:5">
      <c r="E753" s="19"/>
    </row>
    <row r="754" spans="5:5">
      <c r="E754" s="19"/>
    </row>
    <row r="755" spans="5:5">
      <c r="E755" s="19"/>
    </row>
    <row r="756" spans="5:5">
      <c r="E756" s="19"/>
    </row>
    <row r="757" spans="5:5">
      <c r="E757" s="19"/>
    </row>
    <row r="758" spans="5:5">
      <c r="E758" s="19"/>
    </row>
    <row r="759" spans="5:5">
      <c r="E759" s="19"/>
    </row>
    <row r="760" spans="5:5">
      <c r="E760" s="19"/>
    </row>
    <row r="761" spans="5:5">
      <c r="E761" s="19"/>
    </row>
    <row r="762" spans="5:5">
      <c r="E762" s="19"/>
    </row>
    <row r="763" spans="5:5">
      <c r="E763" s="19"/>
    </row>
    <row r="764" spans="5:5">
      <c r="E764" s="19"/>
    </row>
    <row r="765" spans="5:5">
      <c r="E765" s="19"/>
    </row>
    <row r="766" spans="5:5">
      <c r="E766" s="19"/>
    </row>
    <row r="767" spans="5:5">
      <c r="E767" s="19"/>
    </row>
    <row r="768" spans="5:5">
      <c r="E768" s="19"/>
    </row>
    <row r="769" spans="5:5">
      <c r="E769" s="19"/>
    </row>
    <row r="770" spans="5:5">
      <c r="E770" s="19"/>
    </row>
    <row r="771" spans="5:5">
      <c r="E771" s="19"/>
    </row>
    <row r="772" spans="5:5">
      <c r="E772" s="19"/>
    </row>
    <row r="773" spans="5:5">
      <c r="E773" s="19"/>
    </row>
    <row r="774" spans="5:5">
      <c r="E774" s="19"/>
    </row>
    <row r="775" spans="5:5">
      <c r="E775" s="19"/>
    </row>
    <row r="776" spans="5:5">
      <c r="E776" s="19"/>
    </row>
    <row r="777" spans="5:5">
      <c r="E777" s="19"/>
    </row>
    <row r="778" spans="5:5">
      <c r="E778" s="19"/>
    </row>
    <row r="779" spans="5:5">
      <c r="E779" s="19"/>
    </row>
    <row r="780" spans="5:5">
      <c r="E780" s="19"/>
    </row>
    <row r="781" spans="5:5">
      <c r="E781" s="19"/>
    </row>
    <row r="782" spans="5:5">
      <c r="E782" s="19"/>
    </row>
    <row r="783" spans="5:5">
      <c r="E783" s="19"/>
    </row>
    <row r="784" spans="5:5">
      <c r="E784" s="19"/>
    </row>
    <row r="785" spans="5:5">
      <c r="E785" s="19"/>
    </row>
    <row r="786" spans="5:5">
      <c r="E786" s="19"/>
    </row>
    <row r="787" spans="5:5">
      <c r="E787" s="19"/>
    </row>
    <row r="788" spans="5:5">
      <c r="E788" s="19"/>
    </row>
    <row r="789" spans="5:5">
      <c r="E789" s="19"/>
    </row>
    <row r="790" spans="5:5">
      <c r="E790" s="19"/>
    </row>
    <row r="791" spans="5:5">
      <c r="E791" s="19"/>
    </row>
    <row r="792" spans="5:5">
      <c r="E792" s="19"/>
    </row>
    <row r="793" spans="5:5">
      <c r="E793" s="19"/>
    </row>
    <row r="794" spans="5:5">
      <c r="E794" s="19"/>
    </row>
    <row r="795" spans="5:5">
      <c r="E795" s="19"/>
    </row>
    <row r="796" spans="5:5">
      <c r="E796" s="19"/>
    </row>
    <row r="797" spans="5:5">
      <c r="E797" s="19"/>
    </row>
    <row r="798" spans="5:5">
      <c r="E798" s="19"/>
    </row>
    <row r="799" spans="5:5">
      <c r="E799" s="19"/>
    </row>
    <row r="800" spans="5:5">
      <c r="E800" s="19"/>
    </row>
    <row r="801" spans="5:5">
      <c r="E801" s="19"/>
    </row>
    <row r="802" spans="5:5">
      <c r="E802" s="19"/>
    </row>
    <row r="803" spans="5:5">
      <c r="E803" s="19"/>
    </row>
    <row r="804" spans="5:5">
      <c r="E804" s="19"/>
    </row>
    <row r="805" spans="5:5">
      <c r="E805" s="19"/>
    </row>
    <row r="806" spans="5:5">
      <c r="E806" s="19"/>
    </row>
    <row r="807" spans="5:5">
      <c r="E807" s="19"/>
    </row>
    <row r="808" spans="5:5">
      <c r="E808" s="19"/>
    </row>
    <row r="809" spans="5:5">
      <c r="E809" s="19"/>
    </row>
    <row r="810" spans="5:5">
      <c r="E810" s="19"/>
    </row>
    <row r="811" spans="5:5">
      <c r="E811" s="19"/>
    </row>
    <row r="812" spans="5:5">
      <c r="E812" s="19"/>
    </row>
    <row r="813" spans="5:5">
      <c r="E813" s="19"/>
    </row>
    <row r="814" spans="5:5">
      <c r="E814" s="19"/>
    </row>
    <row r="815" spans="5:5">
      <c r="E815" s="19"/>
    </row>
    <row r="816" spans="5:5">
      <c r="E816" s="19"/>
    </row>
    <row r="817" spans="5:5">
      <c r="E817" s="19"/>
    </row>
    <row r="818" spans="5:5">
      <c r="E818" s="19"/>
    </row>
    <row r="819" spans="5:5">
      <c r="E819" s="19"/>
    </row>
    <row r="820" spans="5:5">
      <c r="E820" s="19"/>
    </row>
    <row r="821" spans="5:5">
      <c r="E821" s="19"/>
    </row>
    <row r="822" spans="5:5">
      <c r="E822" s="19"/>
    </row>
    <row r="823" spans="5:5">
      <c r="E823" s="19"/>
    </row>
    <row r="824" spans="5:5">
      <c r="E824" s="19"/>
    </row>
    <row r="825" spans="5:5">
      <c r="E825" s="19"/>
    </row>
    <row r="826" spans="5:5">
      <c r="E826" s="19"/>
    </row>
    <row r="827" spans="5:5">
      <c r="E827" s="19"/>
    </row>
    <row r="828" spans="5:5">
      <c r="E828" s="19"/>
    </row>
    <row r="829" spans="5:5">
      <c r="E829" s="19"/>
    </row>
    <row r="830" spans="5:5">
      <c r="E830" s="19"/>
    </row>
    <row r="831" spans="5:5">
      <c r="E831" s="19"/>
    </row>
    <row r="832" spans="5:5">
      <c r="E832" s="19"/>
    </row>
    <row r="833" spans="5:5">
      <c r="E833" s="19"/>
    </row>
    <row r="834" spans="5:5">
      <c r="E834" s="19"/>
    </row>
    <row r="835" spans="5:5">
      <c r="E835" s="19"/>
    </row>
    <row r="836" spans="5:5">
      <c r="E836" s="19"/>
    </row>
    <row r="837" spans="5:5">
      <c r="E837" s="19"/>
    </row>
    <row r="838" spans="5:5">
      <c r="E838" s="19"/>
    </row>
    <row r="839" spans="5:5">
      <c r="E839" s="19"/>
    </row>
    <row r="840" spans="5:5">
      <c r="E840" s="19"/>
    </row>
    <row r="841" spans="5:5">
      <c r="E841" s="19"/>
    </row>
    <row r="842" spans="5:5">
      <c r="E842" s="19"/>
    </row>
    <row r="843" spans="5:5">
      <c r="E843" s="19"/>
    </row>
    <row r="844" spans="5:5">
      <c r="E844" s="19"/>
    </row>
    <row r="845" spans="5:5">
      <c r="E845" s="19"/>
    </row>
    <row r="846" spans="5:5">
      <c r="E846" s="19"/>
    </row>
    <row r="847" spans="5:5">
      <c r="E847" s="19"/>
    </row>
    <row r="848" spans="5:5">
      <c r="E848" s="19"/>
    </row>
    <row r="849" spans="5:5">
      <c r="E849" s="19"/>
    </row>
    <row r="850" spans="5:5">
      <c r="E850" s="19"/>
    </row>
    <row r="851" spans="5:5">
      <c r="E851" s="19"/>
    </row>
    <row r="852" spans="5:5">
      <c r="E852" s="19"/>
    </row>
    <row r="853" spans="5:5">
      <c r="E853" s="19"/>
    </row>
    <row r="854" spans="5:5">
      <c r="E854" s="19"/>
    </row>
    <row r="855" spans="5:5">
      <c r="E855" s="19"/>
    </row>
    <row r="856" spans="5:5">
      <c r="E856" s="19"/>
    </row>
    <row r="857" spans="5:5">
      <c r="E857" s="19"/>
    </row>
    <row r="858" spans="5:5">
      <c r="E858" s="19"/>
    </row>
  </sheetData>
  <conditionalFormatting sqref="G229:G237 F229:F234 F236:F237 F227:J227 H237:K237 H229:H231 E238:J238 H233:H236 I229:J236 F212:J220">
    <cfRule type="expression" dxfId="4" priority="1">
      <formula>#REF!=0</formula>
    </cfRule>
  </conditionalFormatting>
  <printOptions headings="1"/>
  <pageMargins left="0.23622047244094491" right="0.27559055118110237" top="0.74803149606299213" bottom="0.74803149606299213" header="0.31496062992125984" footer="0.31496062992125984"/>
  <pageSetup paperSize="8" scale="53" fitToHeight="0" orientation="portrait" r:id="rId1"/>
  <drawing r:id="rId2"/>
  <legacyDrawing r:id="rId3"/>
</worksheet>
</file>

<file path=xl/worksheets/sheet17.xml><?xml version="1.0" encoding="utf-8"?>
<worksheet xmlns="http://schemas.openxmlformats.org/spreadsheetml/2006/main" xmlns:r="http://schemas.openxmlformats.org/officeDocument/2006/relationships">
  <sheetPr codeName="Sheet33">
    <tabColor theme="9" tint="0.79998168889431442"/>
    <pageSetUpPr fitToPage="1"/>
  </sheetPr>
  <dimension ref="A1:Z858"/>
  <sheetViews>
    <sheetView zoomScaleNormal="100" workbookViewId="0"/>
  </sheetViews>
  <sheetFormatPr defaultRowHeight="15"/>
  <cols>
    <col min="1" max="2" width="4.140625" style="22" customWidth="1"/>
    <col min="3" max="3" width="47.5703125" style="22" customWidth="1"/>
    <col min="4" max="4" width="13.5703125" style="22" customWidth="1"/>
    <col min="5" max="5" width="10.5703125" style="22" customWidth="1"/>
    <col min="6" max="6" width="13.42578125" style="22" customWidth="1"/>
    <col min="7" max="7" width="10.42578125" style="22" customWidth="1"/>
    <col min="8" max="8" width="11.5703125" style="22" customWidth="1"/>
    <col min="9" max="9" width="10.28515625" style="22" customWidth="1"/>
    <col min="10" max="10" width="13.7109375" style="22" customWidth="1"/>
    <col min="11" max="11" width="11.28515625" style="22" customWidth="1"/>
    <col min="12" max="12" width="19.5703125" style="22" bestFit="1" customWidth="1"/>
    <col min="13" max="13" width="11.5703125" style="22" bestFit="1" customWidth="1"/>
    <col min="14" max="16384" width="9.140625" style="22"/>
  </cols>
  <sheetData>
    <row r="1" spans="1:16" ht="23.25">
      <c r="A1" s="27"/>
      <c r="C1" s="1" t="str">
        <f ca="1">OFFSET(Inputs_Anchor,0,G1+1)</f>
        <v xml:space="preserve">Top Energy </v>
      </c>
      <c r="D1" s="1"/>
      <c r="E1" s="1"/>
      <c r="F1" s="4" t="s">
        <v>109</v>
      </c>
      <c r="G1" s="5">
        <v>13</v>
      </c>
      <c r="H1" s="1"/>
      <c r="I1" s="1"/>
      <c r="J1" s="1"/>
      <c r="K1" s="1"/>
      <c r="L1" s="1"/>
      <c r="M1" s="1"/>
      <c r="N1" s="1"/>
      <c r="O1" s="1"/>
      <c r="P1" s="1"/>
    </row>
    <row r="2" spans="1:16">
      <c r="A2" s="27"/>
      <c r="L2" s="26"/>
    </row>
    <row r="3" spans="1:16" ht="23.25">
      <c r="C3" s="1" t="s">
        <v>3</v>
      </c>
      <c r="D3" s="1"/>
      <c r="E3" s="1"/>
      <c r="F3" s="1"/>
      <c r="G3" s="1"/>
      <c r="H3" s="1"/>
      <c r="I3" s="1"/>
      <c r="J3" s="1"/>
      <c r="K3" s="1"/>
      <c r="L3" s="1"/>
      <c r="M3" s="1"/>
      <c r="N3" s="1"/>
      <c r="O3" s="1"/>
      <c r="P3" s="1"/>
    </row>
    <row r="4" spans="1:16">
      <c r="A4" s="27"/>
      <c r="B4" s="27"/>
      <c r="C4" s="27"/>
      <c r="D4" s="147" t="s">
        <v>57</v>
      </c>
      <c r="E4" s="147" t="s">
        <v>58</v>
      </c>
      <c r="F4" s="27"/>
      <c r="G4" s="27"/>
      <c r="H4" s="148" t="s">
        <v>5</v>
      </c>
      <c r="I4" s="27"/>
      <c r="J4" s="27"/>
      <c r="K4" s="27"/>
      <c r="L4" s="27"/>
    </row>
    <row r="5" spans="1:16">
      <c r="A5" s="30"/>
      <c r="B5" s="27"/>
      <c r="C5" s="27"/>
      <c r="D5" s="147" t="s">
        <v>56</v>
      </c>
      <c r="E5" s="147"/>
      <c r="F5" s="27"/>
      <c r="G5" s="27"/>
      <c r="H5" s="27"/>
      <c r="I5" s="27"/>
      <c r="J5" s="27"/>
      <c r="K5" s="27"/>
      <c r="L5" s="27"/>
    </row>
    <row r="6" spans="1:16">
      <c r="A6" s="119"/>
      <c r="B6" s="50"/>
      <c r="C6" s="99" t="s">
        <v>1</v>
      </c>
      <c r="D6" s="50"/>
      <c r="E6" s="99" t="str">
        <f>Inputs!D11</f>
        <v>2009/10</v>
      </c>
      <c r="F6" s="99" t="str">
        <f>Inputs!E11</f>
        <v>2010/11</v>
      </c>
      <c r="G6" s="99" t="str">
        <f>Inputs!F11</f>
        <v>2011/12</v>
      </c>
      <c r="H6" s="99" t="str">
        <f>Inputs!G11</f>
        <v>2012/13</v>
      </c>
      <c r="I6" s="99" t="str">
        <f>Inputs!H11</f>
        <v>2013/14</v>
      </c>
      <c r="J6" s="99" t="str">
        <f>Inputs!I11</f>
        <v>2014/15</v>
      </c>
      <c r="K6" s="99"/>
      <c r="L6" s="67"/>
    </row>
    <row r="7" spans="1:16">
      <c r="A7" s="119"/>
      <c r="B7" s="50"/>
      <c r="C7" s="50" t="s">
        <v>59</v>
      </c>
      <c r="D7" s="50"/>
      <c r="E7" s="125">
        <v>1</v>
      </c>
      <c r="F7" s="125">
        <v>2</v>
      </c>
      <c r="G7" s="125">
        <v>3</v>
      </c>
      <c r="H7" s="125">
        <v>4</v>
      </c>
      <c r="I7" s="125">
        <v>5</v>
      </c>
      <c r="J7" s="125">
        <v>6</v>
      </c>
      <c r="K7" s="125"/>
      <c r="L7" s="67"/>
    </row>
    <row r="8" spans="1:16">
      <c r="A8" s="119">
        <v>1</v>
      </c>
      <c r="B8" s="149"/>
      <c r="C8" s="50" t="str">
        <f>Inputs!B20</f>
        <v>Line Revenue through Prices</v>
      </c>
      <c r="D8" s="50"/>
      <c r="E8" s="47">
        <f t="shared" ref="E8:E27" si="0">INDEX(InputsBlock,A8+1,$G$1+2)</f>
        <v>27054</v>
      </c>
      <c r="F8" s="50"/>
      <c r="G8" s="50"/>
      <c r="H8" s="50"/>
      <c r="I8" s="50"/>
      <c r="J8" s="50"/>
      <c r="K8" s="50"/>
      <c r="L8" s="27"/>
    </row>
    <row r="9" spans="1:16">
      <c r="A9" s="119">
        <f t="shared" ref="A9:A27" si="1">A8+1</f>
        <v>2</v>
      </c>
      <c r="B9" s="149"/>
      <c r="C9" s="50" t="str">
        <f>Inputs!B21</f>
        <v>Pass-through costs</v>
      </c>
      <c r="D9" s="50"/>
      <c r="E9" s="47">
        <f t="shared" si="0"/>
        <v>437</v>
      </c>
      <c r="F9" s="50"/>
      <c r="G9" s="50"/>
      <c r="H9" s="50"/>
      <c r="I9" s="50"/>
      <c r="J9" s="50"/>
      <c r="K9" s="50"/>
      <c r="L9" s="27"/>
    </row>
    <row r="10" spans="1:16">
      <c r="A10" s="119">
        <f t="shared" si="1"/>
        <v>3</v>
      </c>
      <c r="B10" s="149"/>
      <c r="C10" s="50" t="str">
        <f>Inputs!B22</f>
        <v>Recoverable costs</v>
      </c>
      <c r="D10" s="50"/>
      <c r="E10" s="47">
        <f t="shared" si="0"/>
        <v>5208</v>
      </c>
      <c r="F10" s="50"/>
      <c r="G10" s="50"/>
      <c r="H10" s="50"/>
      <c r="I10" s="50"/>
      <c r="J10" s="50"/>
      <c r="K10" s="50"/>
      <c r="L10" s="27"/>
    </row>
    <row r="11" spans="1:16">
      <c r="A11" s="119">
        <f t="shared" si="1"/>
        <v>4</v>
      </c>
      <c r="B11" s="149"/>
      <c r="C11" s="50" t="str">
        <f>Inputs!B23</f>
        <v>Opening RAB</v>
      </c>
      <c r="D11" s="50"/>
      <c r="E11" s="47">
        <f t="shared" si="0"/>
        <v>137423</v>
      </c>
      <c r="F11" s="50"/>
      <c r="G11" s="50"/>
      <c r="H11" s="50"/>
      <c r="I11" s="50"/>
      <c r="J11" s="50"/>
      <c r="K11" s="50"/>
      <c r="L11" s="150"/>
    </row>
    <row r="12" spans="1:16">
      <c r="A12" s="119">
        <f t="shared" si="1"/>
        <v>5</v>
      </c>
      <c r="B12" s="149"/>
      <c r="C12" s="50" t="str">
        <f>Inputs!B24</f>
        <v>Lost assets</v>
      </c>
      <c r="D12" s="50"/>
      <c r="E12" s="47">
        <f t="shared" si="0"/>
        <v>0</v>
      </c>
      <c r="F12" s="50"/>
      <c r="G12" s="50"/>
      <c r="H12" s="50"/>
      <c r="I12" s="50"/>
      <c r="J12" s="50"/>
      <c r="K12" s="50"/>
      <c r="L12" s="150"/>
    </row>
    <row r="13" spans="1:16">
      <c r="A13" s="119">
        <f t="shared" si="1"/>
        <v>6</v>
      </c>
      <c r="B13" s="149"/>
      <c r="C13" s="50" t="str">
        <f>Inputs!B25</f>
        <v>Found Assets</v>
      </c>
      <c r="D13" s="50"/>
      <c r="E13" s="47">
        <f t="shared" si="0"/>
        <v>0</v>
      </c>
      <c r="F13" s="50"/>
      <c r="G13" s="50"/>
      <c r="H13" s="50"/>
      <c r="I13" s="50"/>
      <c r="J13" s="50"/>
      <c r="K13" s="50"/>
      <c r="L13" s="150"/>
    </row>
    <row r="14" spans="1:16">
      <c r="A14" s="119">
        <f t="shared" si="1"/>
        <v>7</v>
      </c>
      <c r="B14" s="149"/>
      <c r="C14" s="50" t="str">
        <f>Inputs!B26</f>
        <v>Total Depreciation</v>
      </c>
      <c r="D14" s="50"/>
      <c r="E14" s="47">
        <f t="shared" si="0"/>
        <v>5234</v>
      </c>
      <c r="F14" s="47"/>
      <c r="G14" s="191" t="s">
        <v>280</v>
      </c>
      <c r="H14" s="50"/>
      <c r="I14" s="50"/>
      <c r="J14" s="50"/>
      <c r="K14" s="50"/>
      <c r="L14" s="27"/>
    </row>
    <row r="15" spans="1:16">
      <c r="A15" s="119">
        <f t="shared" si="1"/>
        <v>8</v>
      </c>
      <c r="B15" s="149"/>
      <c r="C15" s="50" t="str">
        <f>Inputs!B27</f>
        <v>RAB of disposed assets</v>
      </c>
      <c r="D15" s="50"/>
      <c r="E15" s="47">
        <f t="shared" si="0"/>
        <v>29</v>
      </c>
      <c r="F15" s="50"/>
      <c r="G15" s="175" t="s">
        <v>281</v>
      </c>
      <c r="H15" s="50"/>
      <c r="I15" s="50"/>
      <c r="J15" s="50"/>
      <c r="K15" s="50"/>
      <c r="L15" s="27"/>
    </row>
    <row r="16" spans="1:16">
      <c r="A16" s="119">
        <f t="shared" si="1"/>
        <v>9</v>
      </c>
      <c r="B16" s="149"/>
      <c r="C16" s="50" t="str">
        <f>Inputs!B28</f>
        <v>Discretionary discounts &amp;  rebates</v>
      </c>
      <c r="D16" s="50"/>
      <c r="E16" s="47">
        <f t="shared" si="0"/>
        <v>0</v>
      </c>
      <c r="F16" s="50"/>
      <c r="G16" s="175" t="s">
        <v>282</v>
      </c>
      <c r="H16" s="50"/>
      <c r="I16" s="50"/>
      <c r="J16" s="50"/>
      <c r="K16" s="50"/>
      <c r="L16" s="27"/>
    </row>
    <row r="17" spans="1:22">
      <c r="A17" s="119">
        <f t="shared" si="1"/>
        <v>10</v>
      </c>
      <c r="B17" s="149"/>
      <c r="C17" s="50" t="str">
        <f>Inputs!B29</f>
        <v>Tax Depreciation</v>
      </c>
      <c r="D17" s="50"/>
      <c r="E17" s="47">
        <f t="shared" si="0"/>
        <v>3774</v>
      </c>
      <c r="F17" s="50"/>
      <c r="G17" s="175" t="s">
        <v>283</v>
      </c>
      <c r="H17" s="50"/>
      <c r="I17" s="50"/>
      <c r="J17" s="50"/>
      <c r="K17" s="50"/>
      <c r="L17" s="27"/>
    </row>
    <row r="18" spans="1:22">
      <c r="A18" s="119">
        <f t="shared" si="1"/>
        <v>11</v>
      </c>
      <c r="B18" s="149"/>
      <c r="C18" s="50" t="str">
        <f>Inputs!B30</f>
        <v>Opening regulatory tax asset value</v>
      </c>
      <c r="D18" s="50"/>
      <c r="E18" s="47">
        <f t="shared" si="0"/>
        <v>45374</v>
      </c>
      <c r="F18" s="50"/>
      <c r="G18" s="50"/>
      <c r="H18" s="50"/>
      <c r="I18" s="50"/>
      <c r="J18" s="50"/>
      <c r="K18" s="50"/>
      <c r="L18" s="27"/>
    </row>
    <row r="19" spans="1:22">
      <c r="A19" s="119">
        <f t="shared" si="1"/>
        <v>12</v>
      </c>
      <c r="B19" s="149"/>
      <c r="C19" s="50" t="str">
        <f>Inputs!B31</f>
        <v>Weighted Average Remaining Life at year-end</v>
      </c>
      <c r="D19" s="50"/>
      <c r="E19" s="47">
        <f t="shared" si="0"/>
        <v>26</v>
      </c>
      <c r="F19" s="50"/>
      <c r="G19" s="50"/>
      <c r="H19" s="50"/>
      <c r="I19" s="50"/>
      <c r="J19" s="50"/>
      <c r="K19" s="50"/>
      <c r="L19" s="27"/>
    </row>
    <row r="20" spans="1:22">
      <c r="A20" s="119">
        <f t="shared" si="1"/>
        <v>13</v>
      </c>
      <c r="B20" s="149"/>
      <c r="C20" s="50" t="str">
        <f>Inputs!B32</f>
        <v>Term Credit Spread Differential Allowance</v>
      </c>
      <c r="D20" s="50"/>
      <c r="E20" s="47">
        <f t="shared" si="0"/>
        <v>0</v>
      </c>
      <c r="F20" s="50"/>
      <c r="G20" s="50"/>
      <c r="H20" s="50"/>
      <c r="I20" s="50"/>
      <c r="J20" s="50"/>
      <c r="K20" s="50"/>
      <c r="L20" s="27"/>
    </row>
    <row r="21" spans="1:22">
      <c r="A21" s="119">
        <f t="shared" si="1"/>
        <v>14</v>
      </c>
      <c r="B21" s="149"/>
      <c r="C21" s="50" t="s">
        <v>98</v>
      </c>
      <c r="D21" s="50"/>
      <c r="E21" s="47">
        <f t="shared" si="0"/>
        <v>6452.6577421020011</v>
      </c>
      <c r="F21" s="50"/>
      <c r="G21" s="50"/>
      <c r="H21" s="50"/>
      <c r="I21" s="50"/>
      <c r="J21" s="50"/>
      <c r="K21" s="50"/>
      <c r="L21" s="27"/>
    </row>
    <row r="22" spans="1:22">
      <c r="A22" s="119">
        <f t="shared" si="1"/>
        <v>15</v>
      </c>
      <c r="B22" s="149"/>
      <c r="C22" s="50" t="str">
        <f>Inputs!B34</f>
        <v>Operating expenditure 2009/10</v>
      </c>
      <c r="D22" s="50"/>
      <c r="E22" s="47">
        <f t="shared" si="0"/>
        <v>11132.692409059506</v>
      </c>
      <c r="F22" s="50"/>
      <c r="G22" s="50"/>
      <c r="H22" s="50"/>
      <c r="I22" s="50"/>
      <c r="J22" s="50"/>
      <c r="K22" s="50"/>
      <c r="L22" s="27"/>
    </row>
    <row r="23" spans="1:22">
      <c r="A23" s="119">
        <f t="shared" si="1"/>
        <v>16</v>
      </c>
      <c r="B23" s="149"/>
      <c r="C23" s="50" t="str">
        <f>Inputs!B35</f>
        <v>Other reg income (avg of 2008 to 11, in 2009/10 $)</v>
      </c>
      <c r="D23" s="50"/>
      <c r="E23" s="47">
        <f t="shared" si="0"/>
        <v>0</v>
      </c>
      <c r="F23" s="50"/>
      <c r="G23" s="50"/>
      <c r="H23" s="50"/>
      <c r="I23" s="50"/>
      <c r="J23" s="50"/>
      <c r="K23" s="49"/>
      <c r="L23" s="27"/>
    </row>
    <row r="24" spans="1:22">
      <c r="A24" s="119">
        <f t="shared" si="1"/>
        <v>17</v>
      </c>
      <c r="B24" s="149"/>
      <c r="C24" s="119" t="str">
        <f>Inputs!B36</f>
        <v>Allowable notional revenue 2012/13</v>
      </c>
      <c r="D24" s="50"/>
      <c r="E24" s="47">
        <f t="shared" si="0"/>
        <v>28049</v>
      </c>
      <c r="F24" s="50"/>
      <c r="G24" s="50"/>
      <c r="H24" s="50"/>
      <c r="I24" s="50"/>
      <c r="J24" s="50"/>
      <c r="K24" s="49"/>
      <c r="L24" s="27"/>
    </row>
    <row r="25" spans="1:22">
      <c r="A25" s="119">
        <f t="shared" si="1"/>
        <v>18</v>
      </c>
      <c r="B25" s="149"/>
      <c r="C25" s="119" t="str">
        <f>Inputs!B37</f>
        <v>Pass-through costs 2012/13</v>
      </c>
      <c r="D25" s="50"/>
      <c r="E25" s="47">
        <f t="shared" si="0"/>
        <v>8596.3459999999995</v>
      </c>
      <c r="F25" s="50"/>
      <c r="G25" s="50"/>
      <c r="H25" s="50"/>
      <c r="I25" s="50"/>
      <c r="J25" s="50"/>
      <c r="K25" s="49"/>
      <c r="L25" s="27"/>
    </row>
    <row r="26" spans="1:22">
      <c r="A26" s="119">
        <f t="shared" si="1"/>
        <v>19</v>
      </c>
      <c r="B26" s="50"/>
      <c r="C26" s="50" t="str">
        <f>Inputs!B38</f>
        <v>Alternate X value to 2014/15</v>
      </c>
      <c r="D26" s="49"/>
      <c r="E26" s="151">
        <f t="shared" si="0"/>
        <v>-0.1</v>
      </c>
      <c r="F26" s="50"/>
      <c r="G26" s="50"/>
      <c r="H26" s="50"/>
      <c r="I26" s="50"/>
      <c r="J26" s="50"/>
      <c r="K26" s="49"/>
      <c r="L26" s="27"/>
    </row>
    <row r="27" spans="1:22">
      <c r="A27" s="119">
        <f t="shared" si="1"/>
        <v>20</v>
      </c>
      <c r="B27" s="50"/>
      <c r="C27" s="50" t="str">
        <f>Inputs!B39</f>
        <v>Cap on growth of maximum allowable revenue</v>
      </c>
      <c r="D27" s="50"/>
      <c r="E27" s="151">
        <f t="shared" si="0"/>
        <v>0.1</v>
      </c>
      <c r="F27" s="50"/>
      <c r="G27" s="50"/>
      <c r="H27" s="50"/>
      <c r="I27" s="50"/>
      <c r="J27" s="50"/>
      <c r="K27" s="49"/>
      <c r="L27" s="27"/>
    </row>
    <row r="28" spans="1:22">
      <c r="A28" s="119"/>
      <c r="B28" s="149"/>
      <c r="C28" s="50" t="s">
        <v>30</v>
      </c>
      <c r="D28" s="50"/>
      <c r="E28" s="130">
        <f>E22</f>
        <v>11132.692409059506</v>
      </c>
      <c r="F28" s="47">
        <f>INDEX(OpexBlock,F7-1,$G$1)</f>
        <v>11455.313947654389</v>
      </c>
      <c r="G28" s="47">
        <f>INDEX(OpexBlock,G7-1,$G$1)</f>
        <v>11810.885137932219</v>
      </c>
      <c r="H28" s="47">
        <f>INDEX(OpexBlock,H7-1,$G$1)</f>
        <v>12076.669012581377</v>
      </c>
      <c r="I28" s="47">
        <f>INDEX(OpexBlock,I7-1,$G$1)</f>
        <v>12398.844298537073</v>
      </c>
      <c r="J28" s="47">
        <f>INDEX(OpexBlock,J7-1,$G$1)</f>
        <v>12757.926710288963</v>
      </c>
      <c r="K28" s="49"/>
      <c r="L28" s="50"/>
      <c r="M28" s="15"/>
    </row>
    <row r="29" spans="1:22">
      <c r="A29" s="119"/>
      <c r="B29" s="149"/>
      <c r="C29" s="50" t="s">
        <v>158</v>
      </c>
      <c r="D29" s="47"/>
      <c r="E29" s="130">
        <f>E21</f>
        <v>6452.6577421020011</v>
      </c>
      <c r="F29" s="47">
        <f>INDEX(CommAssetsBlock,F7-1,$G$1)</f>
        <v>14732.131195583452</v>
      </c>
      <c r="G29" s="47">
        <f>INDEX(CommAssetsBlock,G7-1,$G$1)</f>
        <v>16509.790306497922</v>
      </c>
      <c r="H29" s="47">
        <f>INDEX(CommAssetsBlock,H7-1,$G$1)</f>
        <v>15560.081308329351</v>
      </c>
      <c r="I29" s="47">
        <f>INDEX(CommAssetsBlock,I7-1,$G$1)</f>
        <v>15039.273504979865</v>
      </c>
      <c r="J29" s="47">
        <f>INDEX(CommAssetsBlock,J7-1,$G$1)</f>
        <v>15851.828430961748</v>
      </c>
      <c r="K29" s="49"/>
      <c r="L29" s="50"/>
      <c r="M29" s="15"/>
    </row>
    <row r="30" spans="1:22">
      <c r="A30" s="119"/>
      <c r="B30" s="149"/>
      <c r="C30" s="50" t="s">
        <v>200</v>
      </c>
      <c r="D30" s="47"/>
      <c r="E30" s="49"/>
      <c r="F30" s="110">
        <f>INDEX(ConstPriceRevGrwth,F$7-1,$G$1)</f>
        <v>3.0771502015654343E-3</v>
      </c>
      <c r="G30" s="110">
        <f>INDEX(ConstPriceRevGrwth,G$7-1,$G$1)</f>
        <v>3.0771502015654343E-3</v>
      </c>
      <c r="H30" s="110">
        <f>INDEX(ConstPriceRevGrwth,H$7-1,$G$1)</f>
        <v>3.0771502015654343E-3</v>
      </c>
      <c r="I30" s="110">
        <f>INDEX(ConstPriceRevGrwth,I$7-1,$G$1)</f>
        <v>3.0771502015654343E-3</v>
      </c>
      <c r="J30" s="110">
        <f>INDEX(ConstPriceRevGrwth,J$7-1,$G$1)</f>
        <v>3.0771502015654343E-3</v>
      </c>
      <c r="K30" s="49"/>
      <c r="L30" s="50"/>
      <c r="M30" s="15"/>
      <c r="U30" s="15"/>
      <c r="V30" s="15"/>
    </row>
    <row r="31" spans="1:22" ht="15.75" thickBot="1">
      <c r="A31" s="119"/>
      <c r="B31" s="149"/>
      <c r="C31" s="50"/>
      <c r="D31" s="47"/>
      <c r="E31" s="49"/>
      <c r="F31" s="50"/>
      <c r="G31" s="49"/>
      <c r="H31" s="49"/>
      <c r="I31" s="49"/>
      <c r="J31" s="49"/>
      <c r="K31" s="49"/>
      <c r="L31" s="27"/>
      <c r="M31" s="15"/>
      <c r="U31" s="15"/>
      <c r="V31" s="15"/>
    </row>
    <row r="32" spans="1:22" ht="16.5" thickBot="1">
      <c r="A32" s="119"/>
      <c r="B32" s="149"/>
      <c r="C32" s="121" t="s">
        <v>182</v>
      </c>
      <c r="D32" s="47"/>
      <c r="E32" s="49"/>
      <c r="F32" s="50"/>
      <c r="G32" s="49"/>
      <c r="H32" s="49"/>
      <c r="I32" s="49"/>
      <c r="J32" s="49"/>
      <c r="K32" s="49"/>
      <c r="L32" s="195" t="s">
        <v>322</v>
      </c>
      <c r="M32" s="111"/>
      <c r="N32" s="34"/>
      <c r="O32" s="34"/>
      <c r="P32" s="34"/>
      <c r="Q32" s="34"/>
      <c r="R32" s="34"/>
      <c r="S32" s="34"/>
      <c r="T32" s="34"/>
      <c r="U32" s="34"/>
      <c r="V32" s="35"/>
    </row>
    <row r="33" spans="1:26">
      <c r="A33" s="119"/>
      <c r="B33" s="149"/>
      <c r="C33" s="122" t="str">
        <f>Inputs!B13</f>
        <v>2009 ΔCPI, 2 index, no lag, no GST adjustment</v>
      </c>
      <c r="D33" s="47"/>
      <c r="E33" s="49">
        <f>Inputs!D13</f>
        <v>1.7233850022212005E-2</v>
      </c>
      <c r="F33" s="49">
        <f>Inputs!E13</f>
        <v>1.9812209526758329E-2</v>
      </c>
      <c r="G33" s="49">
        <f>Inputs!F13</f>
        <v>2.4339880629970168E-2</v>
      </c>
      <c r="H33" s="49">
        <f>Inputs!G13</f>
        <v>2.2893253753313525E-2</v>
      </c>
      <c r="I33" s="49">
        <f>Inputs!H13</f>
        <v>2.144662687665666E-2</v>
      </c>
      <c r="J33" s="49">
        <f>Inputs!I13</f>
        <v>2.0000000000000018E-2</v>
      </c>
      <c r="K33" s="50"/>
      <c r="L33" s="196" t="s">
        <v>194</v>
      </c>
      <c r="M33" s="50"/>
      <c r="N33" s="15"/>
      <c r="O33" s="15"/>
      <c r="P33" s="15"/>
      <c r="Q33" s="15"/>
      <c r="R33" s="15"/>
      <c r="S33" s="15"/>
      <c r="T33" s="15"/>
      <c r="U33" s="15"/>
      <c r="V33" s="29"/>
    </row>
    <row r="34" spans="1:26">
      <c r="A34" s="119"/>
      <c r="B34" s="149"/>
      <c r="C34" s="122" t="str">
        <f>Inputs!B14</f>
        <v>2012 ΔCPI, 2 index, no lag, no GST adjustment</v>
      </c>
      <c r="D34" s="47"/>
      <c r="E34" s="49"/>
      <c r="F34" s="49">
        <f>Inputs!E14</f>
        <v>4.4667274384685429E-2</v>
      </c>
      <c r="G34" s="49">
        <f>Inputs!F14</f>
        <v>1.5706806282722585E-2</v>
      </c>
      <c r="H34" s="49">
        <f>Inputs!G14</f>
        <v>1.8041237113401998E-2</v>
      </c>
      <c r="I34" s="49">
        <f>Inputs!H14</f>
        <v>1.7721518987341867E-2</v>
      </c>
      <c r="J34" s="49">
        <f>Inputs!I14</f>
        <v>2.3217247097844007E-2</v>
      </c>
      <c r="K34" s="50"/>
      <c r="L34" s="196" t="s">
        <v>320</v>
      </c>
      <c r="M34" s="50"/>
      <c r="N34" s="15"/>
      <c r="O34" s="15"/>
      <c r="P34" s="15"/>
      <c r="Q34" s="15"/>
      <c r="R34" s="15"/>
      <c r="S34" s="15"/>
      <c r="T34" s="15"/>
      <c r="U34" s="15"/>
      <c r="V34" s="29"/>
    </row>
    <row r="35" spans="1:26">
      <c r="A35" s="119"/>
      <c r="B35" s="149"/>
      <c r="C35" s="122" t="str">
        <f>Inputs!B15</f>
        <v>2009 ΔCPI, 8 index, lagged, no GST adjustment</v>
      </c>
      <c r="D35" s="47"/>
      <c r="E35" s="49"/>
      <c r="F35" s="49"/>
      <c r="G35" s="49">
        <f>Inputs!F15</f>
        <v>1.6991832174541255E-2</v>
      </c>
      <c r="H35" s="49">
        <f>Inputs!G15</f>
        <v>2.0741514169093644E-2</v>
      </c>
      <c r="I35" s="49">
        <f>Inputs!H15</f>
        <v>2.3759818812291389E-2</v>
      </c>
      <c r="J35" s="49">
        <f>Inputs!I15</f>
        <v>2.2164443909808984E-2</v>
      </c>
      <c r="K35" s="50"/>
      <c r="L35" s="196" t="s">
        <v>321</v>
      </c>
      <c r="M35" s="50"/>
      <c r="N35" s="15"/>
      <c r="O35" s="15"/>
      <c r="P35" s="15"/>
      <c r="Q35" s="15"/>
      <c r="R35" s="15"/>
      <c r="S35" s="15"/>
      <c r="T35" s="15"/>
      <c r="U35" s="15"/>
      <c r="V35" s="29"/>
    </row>
    <row r="36" spans="1:26">
      <c r="A36" s="149"/>
      <c r="B36" s="149"/>
      <c r="C36" s="122" t="str">
        <f>Inputs!B16</f>
        <v>2012 ΔCPI, 8 index, lagged, no GST adjustment</v>
      </c>
      <c r="D36" s="50"/>
      <c r="E36" s="49"/>
      <c r="F36" s="49">
        <f>Inputs!E16</f>
        <v>2.465039108793543E-2</v>
      </c>
      <c r="G36" s="49">
        <f>Inputs!F16</f>
        <v>1.7811704834605591E-2</v>
      </c>
      <c r="H36" s="49">
        <f>Inputs!G16</f>
        <v>4.5909090909090899E-2</v>
      </c>
      <c r="I36" s="49">
        <f>Inputs!H16</f>
        <v>1.2820512820512775E-2</v>
      </c>
      <c r="J36" s="49">
        <f>Inputs!I16</f>
        <v>1.9725095732576747E-2</v>
      </c>
      <c r="K36" s="50"/>
      <c r="L36" s="196" t="s">
        <v>365</v>
      </c>
      <c r="M36" s="50"/>
      <c r="N36" s="15"/>
      <c r="O36" s="15"/>
      <c r="P36" s="15"/>
      <c r="Q36" s="15"/>
      <c r="R36" s="15"/>
      <c r="S36" s="15"/>
      <c r="T36" s="15"/>
      <c r="U36" s="15"/>
      <c r="V36" s="29"/>
    </row>
    <row r="37" spans="1:26" ht="15.75" thickBot="1">
      <c r="A37" s="149"/>
      <c r="B37" s="149"/>
      <c r="C37" s="122" t="str">
        <f>Inputs!B17</f>
        <v>2012 ΔCPI, 8 index, lagged, with GST adjustment</v>
      </c>
      <c r="D37" s="50"/>
      <c r="E37" s="49"/>
      <c r="F37" s="112">
        <f>Inputs!E17</f>
        <v>2.4650391087935652E-2</v>
      </c>
      <c r="G37" s="112">
        <f>Inputs!F17</f>
        <v>1.7811704834605369E-2</v>
      </c>
      <c r="H37" s="112">
        <f>Inputs!G17</f>
        <v>2.5401069518716568E-2</v>
      </c>
      <c r="I37" s="49">
        <f>Inputs!H17</f>
        <v>1.2820512820512775E-2</v>
      </c>
      <c r="J37" s="49">
        <f>Inputs!I17</f>
        <v>1.9725095732576747E-2</v>
      </c>
      <c r="K37" s="50"/>
      <c r="L37" s="219" t="s">
        <v>409</v>
      </c>
      <c r="M37" s="220"/>
      <c r="N37" s="220"/>
      <c r="O37" s="220"/>
      <c r="P37" s="220"/>
      <c r="Q37" s="220"/>
      <c r="R37" s="220"/>
      <c r="S37" s="220"/>
      <c r="T37" s="220"/>
      <c r="U37" s="220"/>
      <c r="V37" s="221"/>
    </row>
    <row r="38" spans="1:26">
      <c r="A38" s="149"/>
      <c r="B38" s="149"/>
      <c r="C38" s="122"/>
      <c r="D38" s="50"/>
      <c r="E38" s="49"/>
      <c r="F38" s="112"/>
      <c r="G38" s="112"/>
      <c r="H38" s="112"/>
      <c r="I38" s="49"/>
      <c r="J38" s="49"/>
      <c r="K38" s="49"/>
      <c r="L38" s="49"/>
      <c r="M38" s="49"/>
      <c r="N38" s="49"/>
      <c r="O38" s="49"/>
      <c r="P38" s="49"/>
      <c r="Q38" s="49"/>
      <c r="R38" s="49"/>
      <c r="S38" s="49"/>
      <c r="T38" s="49"/>
      <c r="U38" s="49"/>
      <c r="V38" s="49"/>
      <c r="W38" s="49"/>
      <c r="X38" s="49"/>
      <c r="Y38" s="49"/>
      <c r="Z38" s="49"/>
    </row>
    <row r="39" spans="1:26" ht="23.25">
      <c r="A39" s="50"/>
      <c r="B39" s="50"/>
      <c r="C39" s="1" t="s">
        <v>4</v>
      </c>
      <c r="D39" s="153" t="s">
        <v>36</v>
      </c>
      <c r="E39" s="153" t="s">
        <v>35</v>
      </c>
      <c r="F39" s="152"/>
      <c r="G39" s="152"/>
      <c r="H39" s="152"/>
      <c r="I39" s="152"/>
      <c r="J39" s="152"/>
      <c r="K39" s="152"/>
      <c r="L39" s="152"/>
      <c r="M39" s="152"/>
      <c r="N39" s="194"/>
      <c r="O39" s="194"/>
      <c r="P39" s="194"/>
    </row>
    <row r="40" spans="1:26">
      <c r="A40" s="50"/>
      <c r="B40" s="50"/>
      <c r="C40" s="50"/>
      <c r="D40" s="50"/>
      <c r="E40" s="154" t="s">
        <v>183</v>
      </c>
      <c r="F40" s="154" t="s">
        <v>184</v>
      </c>
      <c r="G40" s="154" t="s">
        <v>185</v>
      </c>
      <c r="H40" s="154" t="s">
        <v>186</v>
      </c>
      <c r="I40" s="154" t="s">
        <v>187</v>
      </c>
      <c r="J40" s="154" t="s">
        <v>188</v>
      </c>
      <c r="K40" s="154"/>
      <c r="L40" s="154"/>
      <c r="M40" s="48"/>
    </row>
    <row r="41" spans="1:26">
      <c r="A41" s="50"/>
      <c r="B41" s="50"/>
      <c r="C41" s="50" t="s">
        <v>129</v>
      </c>
      <c r="D41" s="50"/>
      <c r="E41" s="49">
        <f t="shared" ref="E41:J41" si="2">E33</f>
        <v>1.7233850022212005E-2</v>
      </c>
      <c r="F41" s="49">
        <f t="shared" si="2"/>
        <v>1.9812209526758329E-2</v>
      </c>
      <c r="G41" s="49">
        <f t="shared" si="2"/>
        <v>2.4339880629970168E-2</v>
      </c>
      <c r="H41" s="49">
        <f t="shared" si="2"/>
        <v>2.2893253753313525E-2</v>
      </c>
      <c r="I41" s="49">
        <f t="shared" si="2"/>
        <v>2.144662687665666E-2</v>
      </c>
      <c r="J41" s="49">
        <f t="shared" si="2"/>
        <v>2.0000000000000018E-2</v>
      </c>
      <c r="K41" s="51"/>
      <c r="L41" s="47"/>
      <c r="M41" s="15"/>
    </row>
    <row r="42" spans="1:26">
      <c r="A42" s="50"/>
      <c r="B42" s="50"/>
      <c r="C42" s="50" t="s">
        <v>163</v>
      </c>
      <c r="D42" s="50"/>
      <c r="E42" s="49"/>
      <c r="F42" s="49">
        <f>F34</f>
        <v>4.4667274384685429E-2</v>
      </c>
      <c r="G42" s="49">
        <f>G34</f>
        <v>1.5706806282722585E-2</v>
      </c>
      <c r="H42" s="49">
        <f>H34</f>
        <v>1.8041237113401998E-2</v>
      </c>
      <c r="I42" s="49">
        <f>I34</f>
        <v>1.7721518987341867E-2</v>
      </c>
      <c r="J42" s="49">
        <f>J34</f>
        <v>2.3217247097844007E-2</v>
      </c>
      <c r="K42" s="51"/>
      <c r="L42" s="47"/>
      <c r="M42" s="15"/>
    </row>
    <row r="43" spans="1:26">
      <c r="A43" s="50"/>
      <c r="B43" s="50"/>
      <c r="C43" s="50" t="s">
        <v>122</v>
      </c>
      <c r="D43" s="50"/>
      <c r="E43" s="130">
        <f>E23</f>
        <v>0</v>
      </c>
      <c r="F43" s="47">
        <f>E43*(1+F42)</f>
        <v>0</v>
      </c>
      <c r="G43" s="47">
        <f>F43*(1+G42)</f>
        <v>0</v>
      </c>
      <c r="H43" s="47">
        <f>G43*(1+H42)</f>
        <v>0</v>
      </c>
      <c r="I43" s="47">
        <f>H43*(1+I42)</f>
        <v>0</v>
      </c>
      <c r="J43" s="47">
        <f>I43*(1+J42)</f>
        <v>0</v>
      </c>
      <c r="K43" s="50"/>
      <c r="L43" s="47"/>
      <c r="M43" s="15"/>
    </row>
    <row r="44" spans="1:26">
      <c r="A44" s="50"/>
      <c r="B44" s="50"/>
      <c r="C44" s="50"/>
      <c r="D44" s="50"/>
      <c r="E44" s="51"/>
      <c r="F44" s="51"/>
      <c r="G44" s="51"/>
      <c r="H44" s="51"/>
      <c r="I44" s="51"/>
      <c r="J44" s="51"/>
      <c r="K44" s="51"/>
      <c r="L44" s="27"/>
      <c r="M44" s="15"/>
    </row>
    <row r="45" spans="1:26" ht="21">
      <c r="A45" s="50"/>
      <c r="B45" s="50"/>
      <c r="C45" s="155" t="s">
        <v>69</v>
      </c>
      <c r="D45" s="50"/>
      <c r="E45" s="50"/>
      <c r="F45" s="51"/>
      <c r="G45" s="51"/>
      <c r="H45" s="51"/>
      <c r="I45" s="51"/>
      <c r="J45" s="51"/>
      <c r="K45" s="51"/>
      <c r="L45" s="27"/>
      <c r="M45" s="15"/>
    </row>
    <row r="46" spans="1:26" ht="18">
      <c r="A46" s="50"/>
      <c r="B46" s="50"/>
      <c r="C46" s="50" t="s">
        <v>70</v>
      </c>
      <c r="D46" s="156">
        <f>'Timing Assumptions'!C23</f>
        <v>1.0428084742793051</v>
      </c>
      <c r="E46" s="50"/>
      <c r="F46" s="51"/>
      <c r="G46" s="51"/>
      <c r="H46" s="51"/>
      <c r="I46" s="51"/>
      <c r="J46" s="51"/>
      <c r="K46" s="51"/>
      <c r="L46" s="51"/>
      <c r="M46" s="15"/>
    </row>
    <row r="47" spans="1:26" ht="18">
      <c r="A47" s="50"/>
      <c r="B47" s="50"/>
      <c r="C47" s="50" t="s">
        <v>71</v>
      </c>
      <c r="D47" s="156">
        <f>'Timing Assumptions'!C24</f>
        <v>1.0428084742793051</v>
      </c>
      <c r="E47" s="50"/>
      <c r="F47" s="51"/>
      <c r="G47" s="51"/>
      <c r="H47" s="51"/>
      <c r="I47" s="51"/>
      <c r="J47" s="51"/>
      <c r="K47" s="51"/>
      <c r="L47" s="51"/>
      <c r="M47" s="15"/>
    </row>
    <row r="48" spans="1:26" ht="18">
      <c r="A48" s="50"/>
      <c r="B48" s="50"/>
      <c r="C48" s="50" t="s">
        <v>125</v>
      </c>
      <c r="D48" s="156">
        <f>'Timing Assumptions'!C25</f>
        <v>1.0428084742793051</v>
      </c>
      <c r="E48" s="50"/>
      <c r="F48" s="50"/>
      <c r="G48" s="51"/>
      <c r="H48" s="51"/>
      <c r="I48" s="51"/>
      <c r="J48" s="51"/>
      <c r="K48" s="95"/>
      <c r="L48" s="51"/>
      <c r="M48" s="15"/>
    </row>
    <row r="49" spans="1:16" ht="18">
      <c r="A49" s="50"/>
      <c r="B49" s="50"/>
      <c r="C49" s="50" t="s">
        <v>123</v>
      </c>
      <c r="D49" s="156">
        <f>'Timing Assumptions'!C26</f>
        <v>1.0428084742793051</v>
      </c>
      <c r="E49" s="50"/>
      <c r="F49" s="50"/>
      <c r="G49" s="51"/>
      <c r="H49" s="51"/>
      <c r="I49" s="51"/>
      <c r="J49" s="51"/>
      <c r="K49" s="95"/>
      <c r="L49" s="51"/>
      <c r="M49" s="15"/>
    </row>
    <row r="50" spans="1:16" ht="18">
      <c r="A50" s="50"/>
      <c r="B50" s="50"/>
      <c r="C50" s="50" t="s">
        <v>72</v>
      </c>
      <c r="D50" s="156">
        <f>'Timing Assumptions'!C27</f>
        <v>1.0346743941931567</v>
      </c>
      <c r="E50" s="51"/>
      <c r="F50" s="51"/>
      <c r="G50" s="51"/>
      <c r="H50" s="51"/>
      <c r="I50" s="50"/>
      <c r="J50" s="50"/>
      <c r="K50" s="95"/>
      <c r="L50" s="51"/>
      <c r="M50" s="15"/>
    </row>
    <row r="51" spans="1:16">
      <c r="A51" s="50"/>
      <c r="B51" s="50"/>
      <c r="C51" s="50"/>
      <c r="D51" s="50"/>
      <c r="E51" s="50"/>
      <c r="F51" s="50"/>
      <c r="G51" s="50"/>
      <c r="H51" s="50"/>
      <c r="I51" s="50"/>
      <c r="J51" s="50"/>
      <c r="K51" s="95"/>
      <c r="L51" s="27"/>
      <c r="M51" s="15"/>
    </row>
    <row r="52" spans="1:16" ht="21">
      <c r="A52" s="50"/>
      <c r="B52" s="50"/>
      <c r="C52" s="155" t="s">
        <v>105</v>
      </c>
      <c r="D52" s="155"/>
      <c r="E52" s="155"/>
      <c r="F52" s="155"/>
      <c r="G52" s="155"/>
      <c r="H52" s="155"/>
      <c r="I52" s="155"/>
      <c r="J52" s="155"/>
      <c r="K52" s="155"/>
      <c r="L52" s="157"/>
      <c r="M52" s="52"/>
      <c r="N52" s="2"/>
      <c r="O52" s="2"/>
      <c r="P52" s="2"/>
    </row>
    <row r="53" spans="1:16" ht="15.75">
      <c r="A53" s="50"/>
      <c r="B53" s="50"/>
      <c r="C53" s="158" t="s">
        <v>37</v>
      </c>
      <c r="D53" s="50"/>
      <c r="E53" s="159">
        <f>Inputs!D12</f>
        <v>0.3</v>
      </c>
      <c r="F53" s="159">
        <f>Inputs!E12</f>
        <v>0.3</v>
      </c>
      <c r="G53" s="159">
        <f>Inputs!F12</f>
        <v>0.28000000000000003</v>
      </c>
      <c r="H53" s="159">
        <f>Inputs!G12</f>
        <v>0.28000000000000003</v>
      </c>
      <c r="I53" s="159">
        <f>Inputs!H12</f>
        <v>0.28000000000000003</v>
      </c>
      <c r="J53" s="159">
        <f>Inputs!I12</f>
        <v>0.28000000000000003</v>
      </c>
      <c r="K53" s="95"/>
      <c r="L53" s="50"/>
      <c r="M53" s="15"/>
    </row>
    <row r="54" spans="1:16">
      <c r="A54" s="50"/>
      <c r="B54" s="50"/>
      <c r="C54" s="50" t="s">
        <v>38</v>
      </c>
      <c r="D54" s="50"/>
      <c r="E54" s="160">
        <f>E11/E14</f>
        <v>26.255827283148644</v>
      </c>
      <c r="F54" s="161">
        <f>E54-1</f>
        <v>25.255827283148644</v>
      </c>
      <c r="G54" s="161">
        <f>F54-1</f>
        <v>24.255827283148644</v>
      </c>
      <c r="H54" s="161">
        <f>G54-1</f>
        <v>23.255827283148644</v>
      </c>
      <c r="I54" s="161">
        <f>H54-1</f>
        <v>22.255827283148644</v>
      </c>
      <c r="J54" s="161">
        <f>I54-1</f>
        <v>21.255827283148644</v>
      </c>
      <c r="K54" s="95"/>
      <c r="L54" s="50"/>
      <c r="M54" s="15"/>
    </row>
    <row r="55" spans="1:16">
      <c r="A55" s="50"/>
      <c r="B55" s="50"/>
      <c r="C55" s="50" t="s">
        <v>159</v>
      </c>
      <c r="D55" s="50"/>
      <c r="E55" s="156"/>
      <c r="F55" s="49">
        <f>F34</f>
        <v>4.4667274384685429E-2</v>
      </c>
      <c r="G55" s="49">
        <f>G34</f>
        <v>1.5706806282722585E-2</v>
      </c>
      <c r="H55" s="49">
        <f>H34</f>
        <v>1.8041237113401998E-2</v>
      </c>
      <c r="I55" s="49">
        <f>I34</f>
        <v>1.7721518987341867E-2</v>
      </c>
      <c r="J55" s="49">
        <f>J34</f>
        <v>2.3217247097844007E-2</v>
      </c>
      <c r="K55" s="95"/>
      <c r="L55" s="50"/>
      <c r="M55" s="15"/>
    </row>
    <row r="56" spans="1:16">
      <c r="A56" s="50"/>
      <c r="B56" s="50"/>
      <c r="C56" s="50" t="s">
        <v>40</v>
      </c>
      <c r="D56" s="50"/>
      <c r="E56" s="129">
        <f>E15</f>
        <v>29</v>
      </c>
      <c r="F56" s="32">
        <f>E56*(1+F55)</f>
        <v>30.295350957155879</v>
      </c>
      <c r="G56" s="32">
        <f>F56*(1+G55)</f>
        <v>30.771194165907019</v>
      </c>
      <c r="H56" s="32">
        <f>G56*(1+H55)</f>
        <v>31.326344576116679</v>
      </c>
      <c r="I56" s="32">
        <f>H56*(1+I55)</f>
        <v>31.881494986326345</v>
      </c>
      <c r="J56" s="32">
        <f>I56*(1+J55)</f>
        <v>32.621695533272558</v>
      </c>
      <c r="K56" s="95"/>
      <c r="L56" s="50"/>
      <c r="M56" s="15"/>
    </row>
    <row r="57" spans="1:16">
      <c r="A57" s="50"/>
      <c r="B57" s="50"/>
      <c r="C57" s="50"/>
      <c r="D57" s="122"/>
      <c r="E57" s="50"/>
      <c r="F57" s="50"/>
      <c r="G57" s="50"/>
      <c r="H57" s="50"/>
      <c r="I57" s="50"/>
      <c r="J57" s="50"/>
      <c r="K57" s="95"/>
      <c r="L57" s="27"/>
      <c r="M57" s="15"/>
    </row>
    <row r="58" spans="1:16" ht="15.75">
      <c r="A58" s="50"/>
      <c r="B58" s="50"/>
      <c r="C58" s="162" t="s">
        <v>89</v>
      </c>
      <c r="D58" s="32"/>
      <c r="E58" s="163" t="str">
        <f>Inputs!D11</f>
        <v>2009/10</v>
      </c>
      <c r="F58" s="163" t="str">
        <f>Inputs!E11</f>
        <v>2010/11</v>
      </c>
      <c r="G58" s="163" t="str">
        <f>Inputs!F11</f>
        <v>2011/12</v>
      </c>
      <c r="H58" s="163" t="str">
        <f>Inputs!G11</f>
        <v>2012/13</v>
      </c>
      <c r="I58" s="163" t="str">
        <f>Inputs!H11</f>
        <v>2013/14</v>
      </c>
      <c r="J58" s="163" t="str">
        <f>Inputs!I11</f>
        <v>2014/15</v>
      </c>
      <c r="K58" s="95"/>
      <c r="L58" s="27"/>
      <c r="M58" s="15"/>
    </row>
    <row r="59" spans="1:16">
      <c r="A59" s="50"/>
      <c r="B59" s="50"/>
      <c r="C59" s="50" t="s">
        <v>110</v>
      </c>
      <c r="D59" s="50"/>
      <c r="E59" s="129">
        <f>E11</f>
        <v>137423</v>
      </c>
      <c r="F59" s="32">
        <f>E65</f>
        <v>134525.4592625802</v>
      </c>
      <c r="G59" s="32">
        <f>F65</f>
        <v>131830.63334285881</v>
      </c>
      <c r="H59" s="32">
        <f>G65</f>
        <v>129569.63757596172</v>
      </c>
      <c r="I59" s="32">
        <f>H65</f>
        <v>126929.40716826497</v>
      </c>
      <c r="J59" s="32">
        <f>I65</f>
        <v>123913.12856317956</v>
      </c>
      <c r="K59" s="95"/>
      <c r="L59" s="50"/>
      <c r="M59" s="15"/>
    </row>
    <row r="60" spans="1:16">
      <c r="A60" s="50"/>
      <c r="B60" s="50"/>
      <c r="C60" s="50" t="s">
        <v>40</v>
      </c>
      <c r="D60" s="32"/>
      <c r="E60" s="32">
        <f t="shared" ref="E60:J60" si="3">E56</f>
        <v>29</v>
      </c>
      <c r="F60" s="32">
        <f t="shared" si="3"/>
        <v>30.295350957155879</v>
      </c>
      <c r="G60" s="32">
        <f t="shared" si="3"/>
        <v>30.771194165907019</v>
      </c>
      <c r="H60" s="32">
        <f t="shared" si="3"/>
        <v>31.326344576116679</v>
      </c>
      <c r="I60" s="32">
        <f t="shared" si="3"/>
        <v>31.881494986326345</v>
      </c>
      <c r="J60" s="32">
        <f t="shared" si="3"/>
        <v>32.621695533272558</v>
      </c>
      <c r="K60" s="95"/>
      <c r="L60" s="50"/>
      <c r="M60" s="15"/>
    </row>
    <row r="61" spans="1:16">
      <c r="A61" s="50"/>
      <c r="B61" s="50"/>
      <c r="C61" s="50" t="s">
        <v>312</v>
      </c>
      <c r="D61" s="32"/>
      <c r="E61" s="32">
        <f>Top!E12</f>
        <v>0</v>
      </c>
      <c r="F61" s="95"/>
      <c r="G61" s="95"/>
      <c r="H61" s="95"/>
      <c r="I61" s="95"/>
      <c r="J61" s="95"/>
      <c r="K61" s="95"/>
      <c r="L61" s="50"/>
      <c r="M61" s="15"/>
    </row>
    <row r="62" spans="1:16">
      <c r="A62" s="50"/>
      <c r="B62" s="50"/>
      <c r="C62" s="50" t="s">
        <v>313</v>
      </c>
      <c r="D62" s="32"/>
      <c r="E62" s="32">
        <f>Top!E13</f>
        <v>0</v>
      </c>
      <c r="F62" s="95"/>
      <c r="G62" s="95"/>
      <c r="H62" s="95"/>
      <c r="I62" s="95"/>
      <c r="J62" s="95"/>
      <c r="K62" s="95"/>
      <c r="L62" s="50"/>
      <c r="M62" s="15"/>
    </row>
    <row r="63" spans="1:16">
      <c r="A63" s="50"/>
      <c r="B63" s="50"/>
      <c r="C63" s="50" t="s">
        <v>41</v>
      </c>
      <c r="D63" s="50"/>
      <c r="E63" s="32">
        <f t="shared" ref="E63:J63" si="4">(E59*0.999-E60)*E41</f>
        <v>2365.4592625801938</v>
      </c>
      <c r="F63" s="32">
        <f t="shared" si="4"/>
        <v>2661.9811211671872</v>
      </c>
      <c r="G63" s="32">
        <f t="shared" si="4"/>
        <v>3204.7841698667708</v>
      </c>
      <c r="H63" s="32">
        <f t="shared" si="4"/>
        <v>2962.587159204063</v>
      </c>
      <c r="I63" s="32">
        <f t="shared" si="4"/>
        <v>2718.8016770505533</v>
      </c>
      <c r="J63" s="32">
        <f t="shared" si="4"/>
        <v>2475.1318747816645</v>
      </c>
      <c r="K63" s="95"/>
      <c r="L63" s="50"/>
      <c r="M63" s="15"/>
    </row>
    <row r="64" spans="1:16">
      <c r="A64" s="50"/>
      <c r="B64" s="50"/>
      <c r="C64" s="50" t="s">
        <v>42</v>
      </c>
      <c r="D64" s="50"/>
      <c r="E64" s="129">
        <f>E14</f>
        <v>5234</v>
      </c>
      <c r="F64" s="32">
        <f>F59/F54</f>
        <v>5326.5116899314226</v>
      </c>
      <c r="G64" s="32">
        <f>G59/G54</f>
        <v>5435.0087425979518</v>
      </c>
      <c r="H64" s="32">
        <f>H59/H54</f>
        <v>5571.4912223246902</v>
      </c>
      <c r="I64" s="32">
        <f>I59/I54</f>
        <v>5703.1987871496285</v>
      </c>
      <c r="J64" s="32">
        <f>J59/J54</f>
        <v>5829.6074254148816</v>
      </c>
      <c r="K64" s="95"/>
      <c r="L64" s="50"/>
      <c r="M64" s="15"/>
    </row>
    <row r="65" spans="1:13">
      <c r="A65" s="50"/>
      <c r="B65" s="50"/>
      <c r="C65" s="50" t="s">
        <v>43</v>
      </c>
      <c r="D65" s="50"/>
      <c r="E65" s="129">
        <f>E59-E60-E61+E62+E63-E64</f>
        <v>134525.4592625802</v>
      </c>
      <c r="F65" s="32">
        <f>F59-F60+F63-F64</f>
        <v>131830.63334285881</v>
      </c>
      <c r="G65" s="32">
        <f>G59-G60+G63-G64</f>
        <v>129569.63757596172</v>
      </c>
      <c r="H65" s="32">
        <f>H59-H60+H63-H64</f>
        <v>126929.40716826497</v>
      </c>
      <c r="I65" s="32">
        <f>I59-I60+I63-I64</f>
        <v>123913.12856317956</v>
      </c>
      <c r="J65" s="32">
        <f>J59-J60+J63-J64</f>
        <v>120526.03131701307</v>
      </c>
      <c r="K65" s="95"/>
      <c r="L65" s="50"/>
      <c r="M65" s="15"/>
    </row>
    <row r="66" spans="1:13">
      <c r="A66" s="50"/>
      <c r="B66" s="50"/>
      <c r="C66" s="50"/>
      <c r="D66" s="50"/>
      <c r="E66" s="50"/>
      <c r="F66" s="50"/>
      <c r="G66" s="50"/>
      <c r="H66" s="50"/>
      <c r="I66" s="50"/>
      <c r="J66" s="50"/>
      <c r="K66" s="95"/>
      <c r="L66" s="27"/>
      <c r="M66" s="15"/>
    </row>
    <row r="67" spans="1:13" ht="15.75">
      <c r="A67" s="50"/>
      <c r="B67" s="50"/>
      <c r="C67" s="162" t="s">
        <v>67</v>
      </c>
      <c r="D67" s="50"/>
      <c r="E67" s="162" t="str">
        <f>Inputs!D$11</f>
        <v>2009/10</v>
      </c>
      <c r="F67" s="162" t="str">
        <f>Inputs!E$11</f>
        <v>2010/11</v>
      </c>
      <c r="G67" s="162" t="str">
        <f>Inputs!F$11</f>
        <v>2011/12</v>
      </c>
      <c r="H67" s="162" t="str">
        <f>Inputs!G$11</f>
        <v>2012/13</v>
      </c>
      <c r="I67" s="162" t="str">
        <f>Inputs!H$11</f>
        <v>2013/14</v>
      </c>
      <c r="J67" s="162" t="str">
        <f>Inputs!I$11</f>
        <v>2014/15</v>
      </c>
      <c r="K67" s="95"/>
      <c r="L67" s="27"/>
      <c r="M67" s="15"/>
    </row>
    <row r="68" spans="1:13">
      <c r="A68" s="50"/>
      <c r="B68" s="50"/>
      <c r="C68" s="164" t="s">
        <v>60</v>
      </c>
      <c r="D68" s="50"/>
      <c r="E68" s="192">
        <v>1</v>
      </c>
      <c r="F68" s="164">
        <f>E68+1</f>
        <v>2</v>
      </c>
      <c r="G68" s="164">
        <f>F68+1</f>
        <v>3</v>
      </c>
      <c r="H68" s="164">
        <f>G68+1</f>
        <v>4</v>
      </c>
      <c r="I68" s="164">
        <f>H68+1</f>
        <v>5</v>
      </c>
      <c r="J68" s="164">
        <f>I68+1</f>
        <v>6</v>
      </c>
      <c r="K68" s="95"/>
      <c r="L68" s="27"/>
      <c r="M68" s="15"/>
    </row>
    <row r="69" spans="1:13">
      <c r="A69" s="50"/>
      <c r="B69" s="50"/>
      <c r="C69" s="50" t="s">
        <v>39</v>
      </c>
      <c r="D69" s="32"/>
      <c r="E69" s="32">
        <f t="shared" ref="E69:J69" si="5">E$29</f>
        <v>6452.6577421020011</v>
      </c>
      <c r="F69" s="32">
        <f t="shared" si="5"/>
        <v>14732.131195583452</v>
      </c>
      <c r="G69" s="32">
        <f t="shared" si="5"/>
        <v>16509.790306497922</v>
      </c>
      <c r="H69" s="32">
        <f t="shared" si="5"/>
        <v>15560.081308329351</v>
      </c>
      <c r="I69" s="32">
        <f t="shared" si="5"/>
        <v>15039.273504979865</v>
      </c>
      <c r="J69" s="32">
        <f t="shared" si="5"/>
        <v>15851.828430961748</v>
      </c>
      <c r="K69" s="95"/>
      <c r="L69" s="50"/>
      <c r="M69" s="15"/>
    </row>
    <row r="70" spans="1:13">
      <c r="A70" s="50">
        <v>1</v>
      </c>
      <c r="B70" s="50"/>
      <c r="C70" s="50" t="s">
        <v>254</v>
      </c>
      <c r="D70" s="50"/>
      <c r="E70" s="129">
        <v>0</v>
      </c>
      <c r="F70" s="32">
        <f t="shared" ref="F70:J75" si="6">E94</f>
        <v>6452.6577421020011</v>
      </c>
      <c r="G70" s="32">
        <f t="shared" si="6"/>
        <v>6437.1067550240514</v>
      </c>
      <c r="H70" s="32">
        <f t="shared" si="6"/>
        <v>6447.4872842477107</v>
      </c>
      <c r="I70" s="32">
        <f t="shared" si="6"/>
        <v>6445.1496819673093</v>
      </c>
      <c r="J70" s="32">
        <f t="shared" si="6"/>
        <v>6429.9204575519188</v>
      </c>
      <c r="K70" s="95"/>
      <c r="L70" s="50"/>
      <c r="M70" s="15"/>
    </row>
    <row r="71" spans="1:13">
      <c r="A71" s="50">
        <v>2</v>
      </c>
      <c r="B71" s="50"/>
      <c r="C71" s="50" t="s">
        <v>255</v>
      </c>
      <c r="D71" s="50"/>
      <c r="E71" s="129">
        <v>0</v>
      </c>
      <c r="F71" s="32">
        <f t="shared" si="6"/>
        <v>0</v>
      </c>
      <c r="G71" s="32">
        <f t="shared" si="6"/>
        <v>14732.131195583452</v>
      </c>
      <c r="H71" s="32">
        <f t="shared" si="6"/>
        <v>14763.328817073825</v>
      </c>
      <c r="I71" s="32">
        <f t="shared" si="6"/>
        <v>14765.779249538662</v>
      </c>
      <c r="J71" s="32">
        <f t="shared" si="6"/>
        <v>14739.065192541048</v>
      </c>
      <c r="K71" s="95"/>
      <c r="L71" s="50"/>
      <c r="M71" s="15"/>
    </row>
    <row r="72" spans="1:13">
      <c r="A72" s="50">
        <v>3</v>
      </c>
      <c r="B72" s="50"/>
      <c r="C72" s="50" t="s">
        <v>256</v>
      </c>
      <c r="D72" s="50"/>
      <c r="E72" s="129">
        <v>0</v>
      </c>
      <c r="F72" s="32">
        <f t="shared" si="6"/>
        <v>0</v>
      </c>
      <c r="G72" s="32">
        <f t="shared" si="6"/>
        <v>0</v>
      </c>
      <c r="H72" s="32">
        <f t="shared" si="6"/>
        <v>16509.790306497922</v>
      </c>
      <c r="I72" s="32">
        <f t="shared" si="6"/>
        <v>16520.868896365289</v>
      </c>
      <c r="J72" s="32">
        <f t="shared" si="6"/>
        <v>16499.711514164588</v>
      </c>
      <c r="K72" s="95"/>
      <c r="L72" s="50"/>
      <c r="M72" s="15"/>
    </row>
    <row r="73" spans="1:13">
      <c r="A73" s="50">
        <v>4</v>
      </c>
      <c r="B73" s="50"/>
      <c r="C73" s="50" t="s">
        <v>257</v>
      </c>
      <c r="D73" s="50"/>
      <c r="E73" s="129">
        <v>0</v>
      </c>
      <c r="F73" s="32">
        <f t="shared" si="6"/>
        <v>0</v>
      </c>
      <c r="G73" s="32">
        <f t="shared" si="6"/>
        <v>0</v>
      </c>
      <c r="H73" s="32">
        <f t="shared" si="6"/>
        <v>0</v>
      </c>
      <c r="I73" s="32">
        <f t="shared" si="6"/>
        <v>15560.081308329351</v>
      </c>
      <c r="J73" s="32">
        <f t="shared" si="6"/>
        <v>15548.012981689988</v>
      </c>
      <c r="K73" s="95"/>
      <c r="L73" s="50"/>
      <c r="M73" s="15"/>
    </row>
    <row r="74" spans="1:13">
      <c r="A74" s="50">
        <v>5</v>
      </c>
      <c r="B74" s="50"/>
      <c r="C74" s="50" t="s">
        <v>258</v>
      </c>
      <c r="D74" s="50"/>
      <c r="E74" s="129">
        <v>0</v>
      </c>
      <c r="F74" s="32">
        <f t="shared" si="6"/>
        <v>0</v>
      </c>
      <c r="G74" s="32">
        <f t="shared" si="6"/>
        <v>0</v>
      </c>
      <c r="H74" s="32">
        <f t="shared" si="6"/>
        <v>0</v>
      </c>
      <c r="I74" s="32">
        <f t="shared" si="6"/>
        <v>0</v>
      </c>
      <c r="J74" s="32">
        <f t="shared" si="6"/>
        <v>15039.273504979865</v>
      </c>
      <c r="K74" s="95"/>
      <c r="L74" s="50"/>
      <c r="M74" s="15"/>
    </row>
    <row r="75" spans="1:13">
      <c r="A75" s="50">
        <v>6</v>
      </c>
      <c r="B75" s="50"/>
      <c r="C75" s="50" t="s">
        <v>259</v>
      </c>
      <c r="D75" s="50"/>
      <c r="E75" s="129">
        <v>0</v>
      </c>
      <c r="F75" s="32">
        <f t="shared" si="6"/>
        <v>0</v>
      </c>
      <c r="G75" s="32">
        <f t="shared" si="6"/>
        <v>0</v>
      </c>
      <c r="H75" s="32">
        <f t="shared" si="6"/>
        <v>0</v>
      </c>
      <c r="I75" s="32">
        <f t="shared" si="6"/>
        <v>0</v>
      </c>
      <c r="J75" s="32">
        <f t="shared" si="6"/>
        <v>0</v>
      </c>
      <c r="K75" s="95"/>
      <c r="L75" s="50"/>
      <c r="M75" s="15"/>
    </row>
    <row r="76" spans="1:13">
      <c r="A76" s="50">
        <v>1</v>
      </c>
      <c r="B76" s="50"/>
      <c r="C76" s="50" t="s">
        <v>236</v>
      </c>
      <c r="D76" s="50"/>
      <c r="E76" s="129">
        <f>Inputs!$C$7+$A76</f>
        <v>46</v>
      </c>
      <c r="F76" s="32">
        <f t="shared" ref="F76:J81" si="7">E76-1</f>
        <v>45</v>
      </c>
      <c r="G76" s="32">
        <f t="shared" si="7"/>
        <v>44</v>
      </c>
      <c r="H76" s="32">
        <f t="shared" si="7"/>
        <v>43</v>
      </c>
      <c r="I76" s="32">
        <f t="shared" si="7"/>
        <v>42</v>
      </c>
      <c r="J76" s="32">
        <f t="shared" si="7"/>
        <v>41</v>
      </c>
      <c r="K76" s="95"/>
      <c r="L76" s="50"/>
      <c r="M76" s="15"/>
    </row>
    <row r="77" spans="1:13">
      <c r="A77" s="50">
        <v>2</v>
      </c>
      <c r="B77" s="50"/>
      <c r="C77" s="50" t="s">
        <v>237</v>
      </c>
      <c r="D77" s="50"/>
      <c r="E77" s="129">
        <f>Inputs!$C$7+$A77</f>
        <v>47</v>
      </c>
      <c r="F77" s="32">
        <f t="shared" si="7"/>
        <v>46</v>
      </c>
      <c r="G77" s="32">
        <f t="shared" si="7"/>
        <v>45</v>
      </c>
      <c r="H77" s="32">
        <f t="shared" si="7"/>
        <v>44</v>
      </c>
      <c r="I77" s="32">
        <f t="shared" si="7"/>
        <v>43</v>
      </c>
      <c r="J77" s="32">
        <f t="shared" si="7"/>
        <v>42</v>
      </c>
      <c r="K77" s="95"/>
      <c r="L77" s="50"/>
      <c r="M77" s="15"/>
    </row>
    <row r="78" spans="1:13">
      <c r="A78" s="50">
        <v>3</v>
      </c>
      <c r="B78" s="50"/>
      <c r="C78" s="50" t="s">
        <v>238</v>
      </c>
      <c r="D78" s="50"/>
      <c r="E78" s="129">
        <f>Inputs!$C$7+$A78</f>
        <v>48</v>
      </c>
      <c r="F78" s="32">
        <f t="shared" si="7"/>
        <v>47</v>
      </c>
      <c r="G78" s="32">
        <f t="shared" si="7"/>
        <v>46</v>
      </c>
      <c r="H78" s="32">
        <f t="shared" si="7"/>
        <v>45</v>
      </c>
      <c r="I78" s="32">
        <f t="shared" si="7"/>
        <v>44</v>
      </c>
      <c r="J78" s="32">
        <f t="shared" si="7"/>
        <v>43</v>
      </c>
      <c r="K78" s="95"/>
      <c r="L78" s="50"/>
      <c r="M78" s="15"/>
    </row>
    <row r="79" spans="1:13">
      <c r="A79" s="50">
        <v>4</v>
      </c>
      <c r="B79" s="50"/>
      <c r="C79" s="50" t="s">
        <v>239</v>
      </c>
      <c r="D79" s="50"/>
      <c r="E79" s="129">
        <f>Inputs!$C$7+$A79</f>
        <v>49</v>
      </c>
      <c r="F79" s="32">
        <f t="shared" si="7"/>
        <v>48</v>
      </c>
      <c r="G79" s="32">
        <f t="shared" si="7"/>
        <v>47</v>
      </c>
      <c r="H79" s="32">
        <f t="shared" si="7"/>
        <v>46</v>
      </c>
      <c r="I79" s="32">
        <f t="shared" si="7"/>
        <v>45</v>
      </c>
      <c r="J79" s="32">
        <f t="shared" si="7"/>
        <v>44</v>
      </c>
      <c r="K79" s="95"/>
      <c r="L79" s="50"/>
      <c r="M79" s="15"/>
    </row>
    <row r="80" spans="1:13">
      <c r="A80" s="50">
        <v>5</v>
      </c>
      <c r="B80" s="50"/>
      <c r="C80" s="50" t="s">
        <v>240</v>
      </c>
      <c r="D80" s="50"/>
      <c r="E80" s="129">
        <f>Inputs!$C$7+$A80</f>
        <v>50</v>
      </c>
      <c r="F80" s="32">
        <f t="shared" si="7"/>
        <v>49</v>
      </c>
      <c r="G80" s="32">
        <f t="shared" si="7"/>
        <v>48</v>
      </c>
      <c r="H80" s="32">
        <f t="shared" si="7"/>
        <v>47</v>
      </c>
      <c r="I80" s="32">
        <f t="shared" si="7"/>
        <v>46</v>
      </c>
      <c r="J80" s="32">
        <f t="shared" si="7"/>
        <v>45</v>
      </c>
      <c r="K80" s="95"/>
      <c r="L80" s="50"/>
      <c r="M80" s="15"/>
    </row>
    <row r="81" spans="1:13">
      <c r="A81" s="50">
        <v>6</v>
      </c>
      <c r="B81" s="50"/>
      <c r="C81" s="50" t="s">
        <v>241</v>
      </c>
      <c r="D81" s="50"/>
      <c r="E81" s="129">
        <f>Inputs!$C$7+$A81</f>
        <v>51</v>
      </c>
      <c r="F81" s="32">
        <f t="shared" si="7"/>
        <v>50</v>
      </c>
      <c r="G81" s="32">
        <f t="shared" si="7"/>
        <v>49</v>
      </c>
      <c r="H81" s="32">
        <f t="shared" si="7"/>
        <v>48</v>
      </c>
      <c r="I81" s="32">
        <f t="shared" si="7"/>
        <v>47</v>
      </c>
      <c r="J81" s="32">
        <f t="shared" si="7"/>
        <v>46</v>
      </c>
      <c r="K81" s="95"/>
      <c r="L81" s="50"/>
      <c r="M81" s="15"/>
    </row>
    <row r="82" spans="1:13">
      <c r="A82" s="50">
        <v>1</v>
      </c>
      <c r="B82" s="50"/>
      <c r="C82" s="50" t="s">
        <v>260</v>
      </c>
      <c r="D82" s="50"/>
      <c r="E82" s="32">
        <f t="shared" ref="E82:J87" si="8">E70*E$41</f>
        <v>0</v>
      </c>
      <c r="F82" s="32">
        <f t="shared" si="8"/>
        <v>127.84140719098416</v>
      </c>
      <c r="G82" s="32">
        <f t="shared" si="8"/>
        <v>156.67841001966002</v>
      </c>
      <c r="H82" s="32">
        <f t="shared" si="8"/>
        <v>147.60396246954514</v>
      </c>
      <c r="I82" s="32">
        <f t="shared" si="8"/>
        <v>138.22672039335524</v>
      </c>
      <c r="J82" s="32">
        <f t="shared" si="8"/>
        <v>128.59840915103848</v>
      </c>
      <c r="K82" s="95"/>
      <c r="L82" s="50"/>
      <c r="M82" s="15"/>
    </row>
    <row r="83" spans="1:13">
      <c r="A83" s="50">
        <v>2</v>
      </c>
      <c r="B83" s="50"/>
      <c r="C83" s="50" t="s">
        <v>261</v>
      </c>
      <c r="D83" s="50"/>
      <c r="E83" s="32">
        <f t="shared" si="8"/>
        <v>0</v>
      </c>
      <c r="F83" s="32">
        <f t="shared" si="8"/>
        <v>0</v>
      </c>
      <c r="G83" s="32">
        <f t="shared" si="8"/>
        <v>358.57831472556092</v>
      </c>
      <c r="H83" s="32">
        <f t="shared" si="8"/>
        <v>337.98063285287708</v>
      </c>
      <c r="I83" s="32">
        <f t="shared" si="8"/>
        <v>316.67615810793507</v>
      </c>
      <c r="J83" s="32">
        <f t="shared" si="8"/>
        <v>294.78130385082119</v>
      </c>
      <c r="K83" s="95"/>
      <c r="L83" s="50"/>
      <c r="M83" s="15"/>
    </row>
    <row r="84" spans="1:13">
      <c r="A84" s="50">
        <v>3</v>
      </c>
      <c r="B84" s="50"/>
      <c r="C84" s="50" t="s">
        <v>262</v>
      </c>
      <c r="D84" s="50"/>
      <c r="E84" s="32">
        <f t="shared" si="8"/>
        <v>0</v>
      </c>
      <c r="F84" s="32">
        <f t="shared" si="8"/>
        <v>0</v>
      </c>
      <c r="G84" s="32">
        <f t="shared" si="8"/>
        <v>0</v>
      </c>
      <c r="H84" s="32">
        <f t="shared" si="8"/>
        <v>377.96281890065279</v>
      </c>
      <c r="I84" s="32">
        <f t="shared" si="8"/>
        <v>354.31691089850887</v>
      </c>
      <c r="J84" s="32">
        <f t="shared" si="8"/>
        <v>329.99423028329204</v>
      </c>
      <c r="K84" s="95"/>
      <c r="L84" s="50"/>
      <c r="M84" s="15"/>
    </row>
    <row r="85" spans="1:13">
      <c r="A85" s="50">
        <v>4</v>
      </c>
      <c r="B85" s="50"/>
      <c r="C85" s="50" t="s">
        <v>263</v>
      </c>
      <c r="D85" s="50"/>
      <c r="E85" s="32">
        <f t="shared" si="8"/>
        <v>0</v>
      </c>
      <c r="F85" s="32">
        <f t="shared" si="8"/>
        <v>0</v>
      </c>
      <c r="G85" s="32">
        <f t="shared" si="8"/>
        <v>0</v>
      </c>
      <c r="H85" s="32">
        <f t="shared" si="8"/>
        <v>0</v>
      </c>
      <c r="I85" s="32">
        <f t="shared" si="8"/>
        <v>333.71125799017921</v>
      </c>
      <c r="J85" s="32">
        <f t="shared" si="8"/>
        <v>310.96025963380004</v>
      </c>
      <c r="K85" s="95"/>
      <c r="L85" s="50"/>
      <c r="M85" s="15"/>
    </row>
    <row r="86" spans="1:13">
      <c r="A86" s="50">
        <v>5</v>
      </c>
      <c r="B86" s="50"/>
      <c r="C86" s="50" t="s">
        <v>264</v>
      </c>
      <c r="D86" s="50"/>
      <c r="E86" s="32">
        <f t="shared" si="8"/>
        <v>0</v>
      </c>
      <c r="F86" s="32">
        <f t="shared" si="8"/>
        <v>0</v>
      </c>
      <c r="G86" s="32">
        <f t="shared" si="8"/>
        <v>0</v>
      </c>
      <c r="H86" s="32">
        <f t="shared" si="8"/>
        <v>0</v>
      </c>
      <c r="I86" s="32">
        <f t="shared" si="8"/>
        <v>0</v>
      </c>
      <c r="J86" s="32">
        <f t="shared" si="8"/>
        <v>300.78547009959755</v>
      </c>
      <c r="K86" s="95"/>
      <c r="L86" s="50"/>
      <c r="M86" s="15"/>
    </row>
    <row r="87" spans="1:13">
      <c r="A87" s="50">
        <v>6</v>
      </c>
      <c r="B87" s="50"/>
      <c r="C87" s="50" t="s">
        <v>265</v>
      </c>
      <c r="D87" s="50"/>
      <c r="E87" s="32">
        <f t="shared" si="8"/>
        <v>0</v>
      </c>
      <c r="F87" s="32">
        <f t="shared" si="8"/>
        <v>0</v>
      </c>
      <c r="G87" s="32">
        <f t="shared" si="8"/>
        <v>0</v>
      </c>
      <c r="H87" s="32">
        <f t="shared" si="8"/>
        <v>0</v>
      </c>
      <c r="I87" s="32">
        <f t="shared" si="8"/>
        <v>0</v>
      </c>
      <c r="J87" s="32">
        <f t="shared" si="8"/>
        <v>0</v>
      </c>
      <c r="K87" s="95"/>
      <c r="L87" s="50"/>
      <c r="M87" s="15"/>
    </row>
    <row r="88" spans="1:13">
      <c r="A88" s="50">
        <v>1</v>
      </c>
      <c r="B88" s="50"/>
      <c r="C88" s="50" t="s">
        <v>266</v>
      </c>
      <c r="D88" s="50"/>
      <c r="E88" s="32">
        <f t="shared" ref="E88:J93" si="9">E70/E76</f>
        <v>0</v>
      </c>
      <c r="F88" s="32">
        <f t="shared" si="9"/>
        <v>143.39239426893334</v>
      </c>
      <c r="G88" s="32">
        <f t="shared" si="9"/>
        <v>146.29788079600118</v>
      </c>
      <c r="H88" s="32">
        <f t="shared" si="9"/>
        <v>149.94156474994676</v>
      </c>
      <c r="I88" s="32">
        <f t="shared" si="9"/>
        <v>153.45594480874547</v>
      </c>
      <c r="J88" s="32">
        <f t="shared" si="9"/>
        <v>156.82732823297363</v>
      </c>
      <c r="K88" s="95"/>
      <c r="L88" s="50"/>
      <c r="M88" s="15"/>
    </row>
    <row r="89" spans="1:13">
      <c r="A89" s="50">
        <v>2</v>
      </c>
      <c r="B89" s="50"/>
      <c r="C89" s="50" t="s">
        <v>267</v>
      </c>
      <c r="D89" s="50"/>
      <c r="E89" s="32">
        <f t="shared" si="9"/>
        <v>0</v>
      </c>
      <c r="F89" s="32">
        <f t="shared" si="9"/>
        <v>0</v>
      </c>
      <c r="G89" s="32">
        <f t="shared" si="9"/>
        <v>327.38069323518783</v>
      </c>
      <c r="H89" s="32">
        <f t="shared" si="9"/>
        <v>335.53020038804146</v>
      </c>
      <c r="I89" s="32">
        <f t="shared" si="9"/>
        <v>343.39021510555028</v>
      </c>
      <c r="J89" s="32">
        <f t="shared" si="9"/>
        <v>350.93012363192969</v>
      </c>
      <c r="K89" s="95"/>
      <c r="L89" s="50"/>
      <c r="M89" s="15"/>
    </row>
    <row r="90" spans="1:13">
      <c r="A90" s="50">
        <v>3</v>
      </c>
      <c r="B90" s="50"/>
      <c r="C90" s="50" t="s">
        <v>268</v>
      </c>
      <c r="D90" s="50"/>
      <c r="E90" s="32">
        <f t="shared" si="9"/>
        <v>0</v>
      </c>
      <c r="F90" s="32">
        <f t="shared" si="9"/>
        <v>0</v>
      </c>
      <c r="G90" s="32">
        <f t="shared" si="9"/>
        <v>0</v>
      </c>
      <c r="H90" s="32">
        <f t="shared" si="9"/>
        <v>366.88422903328717</v>
      </c>
      <c r="I90" s="32">
        <f t="shared" si="9"/>
        <v>375.47429309921114</v>
      </c>
      <c r="J90" s="32">
        <f t="shared" si="9"/>
        <v>383.71422125964159</v>
      </c>
      <c r="K90" s="95"/>
      <c r="L90" s="50"/>
      <c r="M90" s="15"/>
    </row>
    <row r="91" spans="1:13">
      <c r="A91" s="50">
        <v>4</v>
      </c>
      <c r="B91" s="50"/>
      <c r="C91" s="50" t="s">
        <v>269</v>
      </c>
      <c r="D91" s="50"/>
      <c r="E91" s="32">
        <f t="shared" si="9"/>
        <v>0</v>
      </c>
      <c r="F91" s="32">
        <f t="shared" si="9"/>
        <v>0</v>
      </c>
      <c r="G91" s="32">
        <f t="shared" si="9"/>
        <v>0</v>
      </c>
      <c r="H91" s="32">
        <f t="shared" si="9"/>
        <v>0</v>
      </c>
      <c r="I91" s="32">
        <f t="shared" si="9"/>
        <v>345.77958462954115</v>
      </c>
      <c r="J91" s="32">
        <f t="shared" si="9"/>
        <v>353.36393140204518</v>
      </c>
      <c r="K91" s="95"/>
      <c r="L91" s="50"/>
      <c r="M91" s="15"/>
    </row>
    <row r="92" spans="1:13">
      <c r="A92" s="50">
        <v>5</v>
      </c>
      <c r="B92" s="50"/>
      <c r="C92" s="50" t="s">
        <v>270</v>
      </c>
      <c r="D92" s="50"/>
      <c r="E92" s="32">
        <f t="shared" si="9"/>
        <v>0</v>
      </c>
      <c r="F92" s="32">
        <f t="shared" si="9"/>
        <v>0</v>
      </c>
      <c r="G92" s="32">
        <f t="shared" si="9"/>
        <v>0</v>
      </c>
      <c r="H92" s="32">
        <f t="shared" si="9"/>
        <v>0</v>
      </c>
      <c r="I92" s="32">
        <f t="shared" si="9"/>
        <v>0</v>
      </c>
      <c r="J92" s="32">
        <f t="shared" si="9"/>
        <v>334.20607788844143</v>
      </c>
      <c r="K92" s="95"/>
      <c r="L92" s="50"/>
      <c r="M92" s="15"/>
    </row>
    <row r="93" spans="1:13">
      <c r="A93" s="50">
        <v>6</v>
      </c>
      <c r="B93" s="50"/>
      <c r="C93" s="50" t="s">
        <v>271</v>
      </c>
      <c r="D93" s="50"/>
      <c r="E93" s="32">
        <f t="shared" si="9"/>
        <v>0</v>
      </c>
      <c r="F93" s="32">
        <f t="shared" si="9"/>
        <v>0</v>
      </c>
      <c r="G93" s="32">
        <f t="shared" si="9"/>
        <v>0</v>
      </c>
      <c r="H93" s="32">
        <f t="shared" si="9"/>
        <v>0</v>
      </c>
      <c r="I93" s="32">
        <f t="shared" si="9"/>
        <v>0</v>
      </c>
      <c r="J93" s="32">
        <f t="shared" si="9"/>
        <v>0</v>
      </c>
      <c r="K93" s="95"/>
      <c r="L93" s="50"/>
      <c r="M93" s="15"/>
    </row>
    <row r="94" spans="1:13">
      <c r="A94" s="50">
        <v>1</v>
      </c>
      <c r="B94" s="50"/>
      <c r="C94" s="50" t="s">
        <v>272</v>
      </c>
      <c r="D94" s="50"/>
      <c r="E94" s="32">
        <f t="shared" ref="E94:J99" si="10">E70+E82-E88+IF($A94=E$68,E$69,0)</f>
        <v>6452.6577421020011</v>
      </c>
      <c r="F94" s="32">
        <f t="shared" si="10"/>
        <v>6437.1067550240514</v>
      </c>
      <c r="G94" s="32">
        <f t="shared" si="10"/>
        <v>6447.4872842477107</v>
      </c>
      <c r="H94" s="32">
        <f t="shared" si="10"/>
        <v>6445.1496819673093</v>
      </c>
      <c r="I94" s="32">
        <f t="shared" si="10"/>
        <v>6429.9204575519188</v>
      </c>
      <c r="J94" s="32">
        <f t="shared" si="10"/>
        <v>6401.6915384699832</v>
      </c>
      <c r="K94" s="95"/>
      <c r="L94" s="50"/>
      <c r="M94" s="15"/>
    </row>
    <row r="95" spans="1:13">
      <c r="A95" s="50">
        <v>2</v>
      </c>
      <c r="B95" s="50"/>
      <c r="C95" s="50" t="s">
        <v>273</v>
      </c>
      <c r="D95" s="50"/>
      <c r="E95" s="32">
        <f t="shared" si="10"/>
        <v>0</v>
      </c>
      <c r="F95" s="32">
        <f t="shared" si="10"/>
        <v>14732.131195583452</v>
      </c>
      <c r="G95" s="32">
        <f t="shared" si="10"/>
        <v>14763.328817073825</v>
      </c>
      <c r="H95" s="32">
        <f t="shared" si="10"/>
        <v>14765.779249538662</v>
      </c>
      <c r="I95" s="32">
        <f t="shared" si="10"/>
        <v>14739.065192541048</v>
      </c>
      <c r="J95" s="32">
        <f t="shared" si="10"/>
        <v>14682.916372759939</v>
      </c>
      <c r="K95" s="95"/>
      <c r="L95" s="50"/>
      <c r="M95" s="15"/>
    </row>
    <row r="96" spans="1:13">
      <c r="A96" s="50">
        <v>3</v>
      </c>
      <c r="B96" s="50"/>
      <c r="C96" s="50" t="s">
        <v>274</v>
      </c>
      <c r="D96" s="50"/>
      <c r="E96" s="32">
        <f t="shared" si="10"/>
        <v>0</v>
      </c>
      <c r="F96" s="32">
        <f t="shared" si="10"/>
        <v>0</v>
      </c>
      <c r="G96" s="32">
        <f t="shared" si="10"/>
        <v>16509.790306497922</v>
      </c>
      <c r="H96" s="32">
        <f t="shared" si="10"/>
        <v>16520.868896365289</v>
      </c>
      <c r="I96" s="32">
        <f t="shared" si="10"/>
        <v>16499.711514164588</v>
      </c>
      <c r="J96" s="32">
        <f t="shared" si="10"/>
        <v>16445.991523188241</v>
      </c>
      <c r="K96" s="95"/>
      <c r="L96" s="50"/>
      <c r="M96" s="15"/>
    </row>
    <row r="97" spans="1:13">
      <c r="A97" s="50">
        <v>4</v>
      </c>
      <c r="B97" s="50"/>
      <c r="C97" s="50" t="s">
        <v>275</v>
      </c>
      <c r="D97" s="50"/>
      <c r="E97" s="32">
        <f t="shared" si="10"/>
        <v>0</v>
      </c>
      <c r="F97" s="32">
        <f t="shared" si="10"/>
        <v>0</v>
      </c>
      <c r="G97" s="32">
        <f t="shared" si="10"/>
        <v>0</v>
      </c>
      <c r="H97" s="32">
        <f t="shared" si="10"/>
        <v>15560.081308329351</v>
      </c>
      <c r="I97" s="32">
        <f t="shared" si="10"/>
        <v>15548.012981689988</v>
      </c>
      <c r="J97" s="32">
        <f t="shared" si="10"/>
        <v>15505.609309921743</v>
      </c>
      <c r="K97" s="95"/>
      <c r="L97" s="50"/>
      <c r="M97" s="15"/>
    </row>
    <row r="98" spans="1:13">
      <c r="A98" s="50">
        <v>5</v>
      </c>
      <c r="B98" s="50"/>
      <c r="C98" s="50" t="s">
        <v>276</v>
      </c>
      <c r="D98" s="50"/>
      <c r="E98" s="32">
        <f t="shared" si="10"/>
        <v>0</v>
      </c>
      <c r="F98" s="32">
        <f t="shared" si="10"/>
        <v>0</v>
      </c>
      <c r="G98" s="32">
        <f t="shared" si="10"/>
        <v>0</v>
      </c>
      <c r="H98" s="32">
        <f t="shared" si="10"/>
        <v>0</v>
      </c>
      <c r="I98" s="32">
        <f t="shared" si="10"/>
        <v>15039.273504979865</v>
      </c>
      <c r="J98" s="32">
        <f t="shared" si="10"/>
        <v>15005.852897191022</v>
      </c>
      <c r="K98" s="95"/>
      <c r="L98" s="50"/>
      <c r="M98" s="15"/>
    </row>
    <row r="99" spans="1:13">
      <c r="A99" s="50">
        <v>6</v>
      </c>
      <c r="B99" s="50"/>
      <c r="C99" s="50" t="s">
        <v>277</v>
      </c>
      <c r="D99" s="50"/>
      <c r="E99" s="32">
        <f t="shared" si="10"/>
        <v>0</v>
      </c>
      <c r="F99" s="32">
        <f t="shared" si="10"/>
        <v>0</v>
      </c>
      <c r="G99" s="32">
        <f t="shared" si="10"/>
        <v>0</v>
      </c>
      <c r="H99" s="32">
        <f t="shared" si="10"/>
        <v>0</v>
      </c>
      <c r="I99" s="32">
        <f t="shared" si="10"/>
        <v>0</v>
      </c>
      <c r="J99" s="32">
        <f t="shared" si="10"/>
        <v>15851.828430961748</v>
      </c>
      <c r="K99" s="95"/>
      <c r="L99" s="50"/>
      <c r="M99" s="15"/>
    </row>
    <row r="100" spans="1:13">
      <c r="A100" s="50"/>
      <c r="B100" s="50"/>
      <c r="C100" s="50" t="s">
        <v>146</v>
      </c>
      <c r="D100" s="50"/>
      <c r="E100" s="32">
        <f t="shared" ref="E100:J100" si="11">SUM(E70:E75)</f>
        <v>0</v>
      </c>
      <c r="F100" s="32">
        <f t="shared" si="11"/>
        <v>6452.6577421020011</v>
      </c>
      <c r="G100" s="32">
        <f t="shared" si="11"/>
        <v>21169.237950607501</v>
      </c>
      <c r="H100" s="32">
        <f t="shared" si="11"/>
        <v>37720.606407819461</v>
      </c>
      <c r="I100" s="32">
        <f t="shared" si="11"/>
        <v>53291.879136200616</v>
      </c>
      <c r="J100" s="32">
        <f t="shared" si="11"/>
        <v>68255.983650927403</v>
      </c>
      <c r="K100" s="95"/>
      <c r="L100" s="27"/>
      <c r="M100" s="15"/>
    </row>
    <row r="101" spans="1:13">
      <c r="A101" s="50"/>
      <c r="B101" s="50"/>
      <c r="C101" s="50" t="s">
        <v>147</v>
      </c>
      <c r="D101" s="50"/>
      <c r="E101" s="32">
        <f t="shared" ref="E101:J101" si="12">SUM(E82:E87)</f>
        <v>0</v>
      </c>
      <c r="F101" s="32">
        <f t="shared" si="12"/>
        <v>127.84140719098416</v>
      </c>
      <c r="G101" s="32">
        <f t="shared" si="12"/>
        <v>515.25672474522094</v>
      </c>
      <c r="H101" s="32">
        <f t="shared" si="12"/>
        <v>863.54741422307507</v>
      </c>
      <c r="I101" s="32">
        <f t="shared" si="12"/>
        <v>1142.9310473899782</v>
      </c>
      <c r="J101" s="32">
        <f t="shared" si="12"/>
        <v>1365.1196730185493</v>
      </c>
      <c r="K101" s="95"/>
      <c r="L101" s="27"/>
      <c r="M101" s="15"/>
    </row>
    <row r="102" spans="1:13">
      <c r="A102" s="50"/>
      <c r="B102" s="50"/>
      <c r="C102" s="50" t="s">
        <v>68</v>
      </c>
      <c r="D102" s="50"/>
      <c r="E102" s="32">
        <f t="shared" ref="E102:J102" si="13">SUM(E88:E93)</f>
        <v>0</v>
      </c>
      <c r="F102" s="32">
        <f t="shared" si="13"/>
        <v>143.39239426893334</v>
      </c>
      <c r="G102" s="32">
        <f t="shared" si="13"/>
        <v>473.67857403118899</v>
      </c>
      <c r="H102" s="32">
        <f t="shared" si="13"/>
        <v>852.35599417127537</v>
      </c>
      <c r="I102" s="32">
        <f t="shared" si="13"/>
        <v>1218.1000376430482</v>
      </c>
      <c r="J102" s="32">
        <f t="shared" si="13"/>
        <v>1579.0416824150316</v>
      </c>
      <c r="K102" s="95"/>
      <c r="L102" s="27"/>
      <c r="M102" s="15"/>
    </row>
    <row r="103" spans="1:13">
      <c r="A103" s="50"/>
      <c r="B103" s="50"/>
      <c r="C103" s="50" t="s">
        <v>148</v>
      </c>
      <c r="D103" s="50"/>
      <c r="E103" s="32">
        <f t="shared" ref="E103:J103" si="14">SUM(E94:E99)</f>
        <v>6452.6577421020011</v>
      </c>
      <c r="F103" s="32">
        <f t="shared" si="14"/>
        <v>21169.237950607501</v>
      </c>
      <c r="G103" s="32">
        <f t="shared" si="14"/>
        <v>37720.606407819461</v>
      </c>
      <c r="H103" s="32">
        <f t="shared" si="14"/>
        <v>53291.879136200616</v>
      </c>
      <c r="I103" s="32">
        <f t="shared" si="14"/>
        <v>68255.983650927403</v>
      </c>
      <c r="J103" s="32">
        <f t="shared" si="14"/>
        <v>83893.890072492679</v>
      </c>
      <c r="K103" s="95"/>
      <c r="L103" s="50"/>
      <c r="M103" s="15"/>
    </row>
    <row r="104" spans="1:13">
      <c r="A104" s="50"/>
      <c r="B104" s="50"/>
      <c r="C104" s="50"/>
      <c r="D104" s="50"/>
      <c r="E104" s="32"/>
      <c r="F104" s="32"/>
      <c r="G104" s="32"/>
      <c r="H104" s="32"/>
      <c r="I104" s="32"/>
      <c r="J104" s="32"/>
      <c r="K104" s="95"/>
      <c r="L104" s="50"/>
      <c r="M104" s="15"/>
    </row>
    <row r="105" spans="1:13" ht="15.75">
      <c r="A105" s="50"/>
      <c r="B105" s="50"/>
      <c r="C105" s="162" t="s">
        <v>121</v>
      </c>
      <c r="D105" s="50"/>
      <c r="E105" s="162" t="str">
        <f>Inputs!D$11</f>
        <v>2009/10</v>
      </c>
      <c r="F105" s="162" t="str">
        <f>Inputs!E$11</f>
        <v>2010/11</v>
      </c>
      <c r="G105" s="162" t="str">
        <f>Inputs!F$11</f>
        <v>2011/12</v>
      </c>
      <c r="H105" s="162" t="str">
        <f>Inputs!G$11</f>
        <v>2012/13</v>
      </c>
      <c r="I105" s="162" t="str">
        <f>Inputs!H$11</f>
        <v>2013/14</v>
      </c>
      <c r="J105" s="162" t="str">
        <f>Inputs!I$11</f>
        <v>2014/15</v>
      </c>
      <c r="K105" s="95"/>
      <c r="L105" s="50"/>
      <c r="M105" s="15"/>
    </row>
    <row r="106" spans="1:13">
      <c r="A106" s="50"/>
      <c r="B106" s="50"/>
      <c r="C106" s="164" t="s">
        <v>60</v>
      </c>
      <c r="D106" s="50"/>
      <c r="E106" s="164">
        <v>1</v>
      </c>
      <c r="F106" s="164">
        <v>2</v>
      </c>
      <c r="G106" s="164">
        <v>3</v>
      </c>
      <c r="H106" s="164">
        <v>4</v>
      </c>
      <c r="I106" s="164">
        <v>5</v>
      </c>
      <c r="J106" s="164">
        <v>6</v>
      </c>
      <c r="K106" s="95"/>
      <c r="L106" s="50"/>
      <c r="M106" s="15"/>
    </row>
    <row r="107" spans="1:13">
      <c r="A107" s="50"/>
      <c r="B107" s="50"/>
      <c r="C107" s="50" t="s">
        <v>39</v>
      </c>
      <c r="D107" s="32"/>
      <c r="E107" s="32">
        <f t="shared" ref="E107:J107" si="15">E$29</f>
        <v>6452.6577421020011</v>
      </c>
      <c r="F107" s="32">
        <f t="shared" si="15"/>
        <v>14732.131195583452</v>
      </c>
      <c r="G107" s="32">
        <f t="shared" si="15"/>
        <v>16509.790306497922</v>
      </c>
      <c r="H107" s="32">
        <f t="shared" si="15"/>
        <v>15560.081308329351</v>
      </c>
      <c r="I107" s="32">
        <f t="shared" si="15"/>
        <v>15039.273504979865</v>
      </c>
      <c r="J107" s="32">
        <f t="shared" si="15"/>
        <v>15851.828430961748</v>
      </c>
      <c r="K107" s="95"/>
      <c r="L107" s="50"/>
      <c r="M107" s="15"/>
    </row>
    <row r="108" spans="1:13">
      <c r="A108" s="50">
        <v>1</v>
      </c>
      <c r="B108" s="50"/>
      <c r="C108" s="50" t="s">
        <v>230</v>
      </c>
      <c r="D108" s="50"/>
      <c r="E108" s="129">
        <v>0</v>
      </c>
      <c r="F108" s="32">
        <f t="shared" ref="F108:J113" si="16">E126</f>
        <v>6452.6577421020011</v>
      </c>
      <c r="G108" s="32">
        <f t="shared" si="16"/>
        <v>6309.2653478330676</v>
      </c>
      <c r="H108" s="32">
        <f t="shared" si="16"/>
        <v>6165.8729535641341</v>
      </c>
      <c r="I108" s="32">
        <f t="shared" si="16"/>
        <v>6022.4805592952007</v>
      </c>
      <c r="J108" s="32">
        <f t="shared" si="16"/>
        <v>5879.0881650262672</v>
      </c>
      <c r="K108" s="95"/>
      <c r="L108" s="50"/>
      <c r="M108" s="15"/>
    </row>
    <row r="109" spans="1:13">
      <c r="A109" s="50">
        <v>2</v>
      </c>
      <c r="B109" s="50"/>
      <c r="C109" s="50" t="s">
        <v>231</v>
      </c>
      <c r="D109" s="50"/>
      <c r="E109" s="129">
        <v>0</v>
      </c>
      <c r="F109" s="32">
        <f t="shared" si="16"/>
        <v>0</v>
      </c>
      <c r="G109" s="32">
        <f t="shared" si="16"/>
        <v>14732.131195583452</v>
      </c>
      <c r="H109" s="32">
        <f t="shared" si="16"/>
        <v>14404.750502348264</v>
      </c>
      <c r="I109" s="32">
        <f t="shared" si="16"/>
        <v>14077.369809113077</v>
      </c>
      <c r="J109" s="32">
        <f t="shared" si="16"/>
        <v>13749.98911587789</v>
      </c>
      <c r="K109" s="95"/>
      <c r="L109" s="50"/>
      <c r="M109" s="15"/>
    </row>
    <row r="110" spans="1:13">
      <c r="A110" s="50">
        <v>3</v>
      </c>
      <c r="B110" s="50"/>
      <c r="C110" s="50" t="s">
        <v>232</v>
      </c>
      <c r="D110" s="50"/>
      <c r="E110" s="129">
        <v>0</v>
      </c>
      <c r="F110" s="32">
        <f t="shared" si="16"/>
        <v>0</v>
      </c>
      <c r="G110" s="32">
        <f t="shared" si="16"/>
        <v>0</v>
      </c>
      <c r="H110" s="32">
        <f t="shared" si="16"/>
        <v>16509.790306497922</v>
      </c>
      <c r="I110" s="32">
        <f t="shared" si="16"/>
        <v>16142.906077464635</v>
      </c>
      <c r="J110" s="32">
        <f t="shared" si="16"/>
        <v>15776.021848431348</v>
      </c>
      <c r="K110" s="95"/>
      <c r="L110" s="50"/>
      <c r="M110" s="15"/>
    </row>
    <row r="111" spans="1:13">
      <c r="A111" s="50">
        <v>4</v>
      </c>
      <c r="B111" s="50"/>
      <c r="C111" s="50" t="s">
        <v>233</v>
      </c>
      <c r="D111" s="50"/>
      <c r="E111" s="129">
        <v>0</v>
      </c>
      <c r="F111" s="32">
        <f t="shared" si="16"/>
        <v>0</v>
      </c>
      <c r="G111" s="32">
        <f t="shared" si="16"/>
        <v>0</v>
      </c>
      <c r="H111" s="32">
        <f t="shared" si="16"/>
        <v>0</v>
      </c>
      <c r="I111" s="32">
        <f t="shared" si="16"/>
        <v>15560.081308329351</v>
      </c>
      <c r="J111" s="32">
        <f t="shared" si="16"/>
        <v>15214.301723699809</v>
      </c>
      <c r="K111" s="95"/>
      <c r="L111" s="50"/>
      <c r="M111" s="15"/>
    </row>
    <row r="112" spans="1:13">
      <c r="A112" s="50">
        <v>5</v>
      </c>
      <c r="B112" s="50"/>
      <c r="C112" s="50" t="s">
        <v>234</v>
      </c>
      <c r="D112" s="50"/>
      <c r="E112" s="129">
        <v>0</v>
      </c>
      <c r="F112" s="32">
        <f t="shared" si="16"/>
        <v>0</v>
      </c>
      <c r="G112" s="32">
        <f t="shared" si="16"/>
        <v>0</v>
      </c>
      <c r="H112" s="32">
        <f t="shared" si="16"/>
        <v>0</v>
      </c>
      <c r="I112" s="32">
        <f t="shared" si="16"/>
        <v>0</v>
      </c>
      <c r="J112" s="32">
        <f t="shared" si="16"/>
        <v>15039.273504979865</v>
      </c>
      <c r="K112" s="95"/>
      <c r="L112" s="50"/>
      <c r="M112" s="15"/>
    </row>
    <row r="113" spans="1:13">
      <c r="A113" s="50">
        <v>6</v>
      </c>
      <c r="B113" s="50"/>
      <c r="C113" s="50" t="s">
        <v>235</v>
      </c>
      <c r="D113" s="50"/>
      <c r="E113" s="129">
        <v>0</v>
      </c>
      <c r="F113" s="32">
        <f t="shared" si="16"/>
        <v>0</v>
      </c>
      <c r="G113" s="32">
        <f t="shared" si="16"/>
        <v>0</v>
      </c>
      <c r="H113" s="32">
        <f t="shared" si="16"/>
        <v>0</v>
      </c>
      <c r="I113" s="32">
        <f t="shared" si="16"/>
        <v>0</v>
      </c>
      <c r="J113" s="32">
        <f t="shared" si="16"/>
        <v>0</v>
      </c>
      <c r="K113" s="95"/>
      <c r="L113" s="50"/>
      <c r="M113" s="15"/>
    </row>
    <row r="114" spans="1:13">
      <c r="A114" s="50">
        <v>1</v>
      </c>
      <c r="B114" s="50"/>
      <c r="C114" s="50" t="s">
        <v>236</v>
      </c>
      <c r="D114" s="50"/>
      <c r="E114" s="129">
        <f>Inputs!$C$7+$A114</f>
        <v>46</v>
      </c>
      <c r="F114" s="32">
        <f t="shared" ref="F114:J119" si="17">E114-1</f>
        <v>45</v>
      </c>
      <c r="G114" s="32">
        <f t="shared" si="17"/>
        <v>44</v>
      </c>
      <c r="H114" s="32">
        <f t="shared" si="17"/>
        <v>43</v>
      </c>
      <c r="I114" s="32">
        <f t="shared" si="17"/>
        <v>42</v>
      </c>
      <c r="J114" s="32">
        <f t="shared" si="17"/>
        <v>41</v>
      </c>
      <c r="K114" s="95"/>
      <c r="L114" s="50"/>
      <c r="M114" s="15"/>
    </row>
    <row r="115" spans="1:13">
      <c r="A115" s="50">
        <v>2</v>
      </c>
      <c r="B115" s="50"/>
      <c r="C115" s="50" t="s">
        <v>237</v>
      </c>
      <c r="D115" s="50"/>
      <c r="E115" s="129">
        <f>Inputs!$C$7+$A115</f>
        <v>47</v>
      </c>
      <c r="F115" s="32">
        <f t="shared" si="17"/>
        <v>46</v>
      </c>
      <c r="G115" s="32">
        <f t="shared" si="17"/>
        <v>45</v>
      </c>
      <c r="H115" s="32">
        <f t="shared" si="17"/>
        <v>44</v>
      </c>
      <c r="I115" s="32">
        <f t="shared" si="17"/>
        <v>43</v>
      </c>
      <c r="J115" s="32">
        <f t="shared" si="17"/>
        <v>42</v>
      </c>
      <c r="K115" s="95"/>
      <c r="L115" s="50"/>
      <c r="M115" s="15"/>
    </row>
    <row r="116" spans="1:13">
      <c r="A116" s="50">
        <v>3</v>
      </c>
      <c r="B116" s="50"/>
      <c r="C116" s="50" t="s">
        <v>238</v>
      </c>
      <c r="D116" s="50"/>
      <c r="E116" s="129">
        <f>Inputs!$C$7+$A116</f>
        <v>48</v>
      </c>
      <c r="F116" s="32">
        <f t="shared" si="17"/>
        <v>47</v>
      </c>
      <c r="G116" s="32">
        <f t="shared" si="17"/>
        <v>46</v>
      </c>
      <c r="H116" s="32">
        <f t="shared" si="17"/>
        <v>45</v>
      </c>
      <c r="I116" s="32">
        <f t="shared" si="17"/>
        <v>44</v>
      </c>
      <c r="J116" s="32">
        <f t="shared" si="17"/>
        <v>43</v>
      </c>
      <c r="K116" s="95"/>
      <c r="L116" s="50"/>
      <c r="M116" s="15"/>
    </row>
    <row r="117" spans="1:13">
      <c r="A117" s="50">
        <v>4</v>
      </c>
      <c r="B117" s="50"/>
      <c r="C117" s="50" t="s">
        <v>239</v>
      </c>
      <c r="D117" s="50"/>
      <c r="E117" s="129">
        <f>Inputs!$C$7+$A117</f>
        <v>49</v>
      </c>
      <c r="F117" s="32">
        <f t="shared" si="17"/>
        <v>48</v>
      </c>
      <c r="G117" s="32">
        <f t="shared" si="17"/>
        <v>47</v>
      </c>
      <c r="H117" s="32">
        <f t="shared" si="17"/>
        <v>46</v>
      </c>
      <c r="I117" s="32">
        <f t="shared" si="17"/>
        <v>45</v>
      </c>
      <c r="J117" s="32">
        <f t="shared" si="17"/>
        <v>44</v>
      </c>
      <c r="K117" s="95"/>
      <c r="L117" s="50"/>
      <c r="M117" s="15"/>
    </row>
    <row r="118" spans="1:13">
      <c r="A118" s="50">
        <v>5</v>
      </c>
      <c r="B118" s="50"/>
      <c r="C118" s="50" t="s">
        <v>240</v>
      </c>
      <c r="D118" s="50"/>
      <c r="E118" s="129">
        <f>Inputs!$C$7+$A118</f>
        <v>50</v>
      </c>
      <c r="F118" s="32">
        <f t="shared" si="17"/>
        <v>49</v>
      </c>
      <c r="G118" s="32">
        <f t="shared" si="17"/>
        <v>48</v>
      </c>
      <c r="H118" s="32">
        <f t="shared" si="17"/>
        <v>47</v>
      </c>
      <c r="I118" s="32">
        <f t="shared" si="17"/>
        <v>46</v>
      </c>
      <c r="J118" s="32">
        <f t="shared" si="17"/>
        <v>45</v>
      </c>
      <c r="K118" s="95"/>
      <c r="L118" s="50"/>
      <c r="M118" s="15"/>
    </row>
    <row r="119" spans="1:13">
      <c r="A119" s="50">
        <v>6</v>
      </c>
      <c r="B119" s="50"/>
      <c r="C119" s="50" t="s">
        <v>241</v>
      </c>
      <c r="D119" s="50"/>
      <c r="E119" s="129">
        <f>Inputs!$C$7+$A119</f>
        <v>51</v>
      </c>
      <c r="F119" s="32">
        <f t="shared" si="17"/>
        <v>50</v>
      </c>
      <c r="G119" s="32">
        <f t="shared" si="17"/>
        <v>49</v>
      </c>
      <c r="H119" s="32">
        <f t="shared" si="17"/>
        <v>48</v>
      </c>
      <c r="I119" s="32">
        <f t="shared" si="17"/>
        <v>47</v>
      </c>
      <c r="J119" s="32">
        <f t="shared" si="17"/>
        <v>46</v>
      </c>
      <c r="K119" s="95"/>
      <c r="L119" s="50"/>
      <c r="M119" s="15"/>
    </row>
    <row r="120" spans="1:13">
      <c r="A120" s="50">
        <v>1</v>
      </c>
      <c r="B120" s="50"/>
      <c r="C120" s="50" t="s">
        <v>242</v>
      </c>
      <c r="D120" s="50"/>
      <c r="E120" s="32">
        <f t="shared" ref="E120:J125" si="18">E108/E114</f>
        <v>0</v>
      </c>
      <c r="F120" s="32">
        <f t="shared" si="18"/>
        <v>143.39239426893334</v>
      </c>
      <c r="G120" s="32">
        <f t="shared" si="18"/>
        <v>143.39239426893334</v>
      </c>
      <c r="H120" s="32">
        <f t="shared" si="18"/>
        <v>143.39239426893334</v>
      </c>
      <c r="I120" s="32">
        <f t="shared" si="18"/>
        <v>143.39239426893334</v>
      </c>
      <c r="J120" s="32">
        <f t="shared" si="18"/>
        <v>143.39239426893334</v>
      </c>
      <c r="K120" s="95"/>
      <c r="L120" s="50"/>
      <c r="M120" s="15"/>
    </row>
    <row r="121" spans="1:13">
      <c r="A121" s="50">
        <v>2</v>
      </c>
      <c r="B121" s="50"/>
      <c r="C121" s="50" t="s">
        <v>243</v>
      </c>
      <c r="D121" s="50"/>
      <c r="E121" s="32">
        <f t="shared" si="18"/>
        <v>0</v>
      </c>
      <c r="F121" s="32">
        <f t="shared" si="18"/>
        <v>0</v>
      </c>
      <c r="G121" s="32">
        <f t="shared" si="18"/>
        <v>327.38069323518783</v>
      </c>
      <c r="H121" s="32">
        <f t="shared" si="18"/>
        <v>327.38069323518783</v>
      </c>
      <c r="I121" s="32">
        <f t="shared" si="18"/>
        <v>327.38069323518783</v>
      </c>
      <c r="J121" s="32">
        <f t="shared" si="18"/>
        <v>327.38069323518783</v>
      </c>
      <c r="K121" s="95"/>
      <c r="L121" s="50"/>
      <c r="M121" s="15"/>
    </row>
    <row r="122" spans="1:13">
      <c r="A122" s="50">
        <v>3</v>
      </c>
      <c r="B122" s="50"/>
      <c r="C122" s="50" t="s">
        <v>244</v>
      </c>
      <c r="D122" s="50"/>
      <c r="E122" s="32">
        <f t="shared" si="18"/>
        <v>0</v>
      </c>
      <c r="F122" s="32">
        <f t="shared" si="18"/>
        <v>0</v>
      </c>
      <c r="G122" s="32">
        <f t="shared" si="18"/>
        <v>0</v>
      </c>
      <c r="H122" s="32">
        <f t="shared" si="18"/>
        <v>366.88422903328717</v>
      </c>
      <c r="I122" s="32">
        <f t="shared" si="18"/>
        <v>366.88422903328717</v>
      </c>
      <c r="J122" s="32">
        <f t="shared" si="18"/>
        <v>366.88422903328717</v>
      </c>
      <c r="K122" s="95"/>
      <c r="L122" s="50"/>
      <c r="M122" s="15"/>
    </row>
    <row r="123" spans="1:13">
      <c r="A123" s="50">
        <v>4</v>
      </c>
      <c r="B123" s="50"/>
      <c r="C123" s="50" t="s">
        <v>245</v>
      </c>
      <c r="D123" s="50"/>
      <c r="E123" s="32">
        <f t="shared" si="18"/>
        <v>0</v>
      </c>
      <c r="F123" s="32">
        <f t="shared" si="18"/>
        <v>0</v>
      </c>
      <c r="G123" s="32">
        <f t="shared" si="18"/>
        <v>0</v>
      </c>
      <c r="H123" s="32">
        <f t="shared" si="18"/>
        <v>0</v>
      </c>
      <c r="I123" s="32">
        <f t="shared" si="18"/>
        <v>345.77958462954115</v>
      </c>
      <c r="J123" s="32">
        <f t="shared" si="18"/>
        <v>345.77958462954115</v>
      </c>
      <c r="K123" s="95"/>
      <c r="L123" s="50"/>
      <c r="M123" s="15"/>
    </row>
    <row r="124" spans="1:13">
      <c r="A124" s="50">
        <v>5</v>
      </c>
      <c r="B124" s="50"/>
      <c r="C124" s="50" t="s">
        <v>246</v>
      </c>
      <c r="D124" s="50"/>
      <c r="E124" s="32">
        <f t="shared" si="18"/>
        <v>0</v>
      </c>
      <c r="F124" s="32">
        <f t="shared" si="18"/>
        <v>0</v>
      </c>
      <c r="G124" s="32">
        <f t="shared" si="18"/>
        <v>0</v>
      </c>
      <c r="H124" s="32">
        <f t="shared" si="18"/>
        <v>0</v>
      </c>
      <c r="I124" s="32">
        <f t="shared" si="18"/>
        <v>0</v>
      </c>
      <c r="J124" s="32">
        <f t="shared" si="18"/>
        <v>334.20607788844143</v>
      </c>
      <c r="K124" s="95"/>
      <c r="L124" s="50"/>
      <c r="M124" s="15"/>
    </row>
    <row r="125" spans="1:13">
      <c r="A125" s="50">
        <v>6</v>
      </c>
      <c r="B125" s="50"/>
      <c r="C125" s="50" t="s">
        <v>247</v>
      </c>
      <c r="D125" s="50"/>
      <c r="E125" s="32">
        <f t="shared" si="18"/>
        <v>0</v>
      </c>
      <c r="F125" s="32">
        <f t="shared" si="18"/>
        <v>0</v>
      </c>
      <c r="G125" s="32">
        <f t="shared" si="18"/>
        <v>0</v>
      </c>
      <c r="H125" s="32">
        <f t="shared" si="18"/>
        <v>0</v>
      </c>
      <c r="I125" s="32">
        <f t="shared" si="18"/>
        <v>0</v>
      </c>
      <c r="J125" s="32">
        <f t="shared" si="18"/>
        <v>0</v>
      </c>
      <c r="K125" s="95"/>
      <c r="L125" s="50"/>
      <c r="M125" s="15"/>
    </row>
    <row r="126" spans="1:13">
      <c r="A126" s="50">
        <v>1</v>
      </c>
      <c r="B126" s="50"/>
      <c r="C126" s="50" t="s">
        <v>248</v>
      </c>
      <c r="D126" s="50"/>
      <c r="E126" s="32">
        <f t="shared" ref="E126:J131" si="19">E108-E120+IF($A126=E$106,E$107,0)</f>
        <v>6452.6577421020011</v>
      </c>
      <c r="F126" s="32">
        <f t="shared" si="19"/>
        <v>6309.2653478330676</v>
      </c>
      <c r="G126" s="32">
        <f t="shared" si="19"/>
        <v>6165.8729535641341</v>
      </c>
      <c r="H126" s="32">
        <f t="shared" si="19"/>
        <v>6022.4805592952007</v>
      </c>
      <c r="I126" s="32">
        <f t="shared" si="19"/>
        <v>5879.0881650262672</v>
      </c>
      <c r="J126" s="32">
        <f t="shared" si="19"/>
        <v>5735.6957707573338</v>
      </c>
      <c r="K126" s="95"/>
      <c r="L126" s="50"/>
      <c r="M126" s="15"/>
    </row>
    <row r="127" spans="1:13">
      <c r="A127" s="50">
        <v>2</v>
      </c>
      <c r="B127" s="50"/>
      <c r="C127" s="50" t="s">
        <v>249</v>
      </c>
      <c r="D127" s="50"/>
      <c r="E127" s="32">
        <f t="shared" si="19"/>
        <v>0</v>
      </c>
      <c r="F127" s="32">
        <f t="shared" si="19"/>
        <v>14732.131195583452</v>
      </c>
      <c r="G127" s="32">
        <f t="shared" si="19"/>
        <v>14404.750502348264</v>
      </c>
      <c r="H127" s="32">
        <f t="shared" si="19"/>
        <v>14077.369809113077</v>
      </c>
      <c r="I127" s="32">
        <f t="shared" si="19"/>
        <v>13749.98911587789</v>
      </c>
      <c r="J127" s="32">
        <f t="shared" si="19"/>
        <v>13422.608422642703</v>
      </c>
      <c r="K127" s="95"/>
      <c r="L127" s="50"/>
      <c r="M127" s="15"/>
    </row>
    <row r="128" spans="1:13">
      <c r="A128" s="50">
        <v>3</v>
      </c>
      <c r="B128" s="50"/>
      <c r="C128" s="50" t="s">
        <v>250</v>
      </c>
      <c r="D128" s="50"/>
      <c r="E128" s="32">
        <f t="shared" si="19"/>
        <v>0</v>
      </c>
      <c r="F128" s="32">
        <f t="shared" si="19"/>
        <v>0</v>
      </c>
      <c r="G128" s="32">
        <f t="shared" si="19"/>
        <v>16509.790306497922</v>
      </c>
      <c r="H128" s="32">
        <f t="shared" si="19"/>
        <v>16142.906077464635</v>
      </c>
      <c r="I128" s="32">
        <f t="shared" si="19"/>
        <v>15776.021848431348</v>
      </c>
      <c r="J128" s="32">
        <f t="shared" si="19"/>
        <v>15409.137619398061</v>
      </c>
      <c r="K128" s="95"/>
      <c r="L128" s="50"/>
      <c r="M128" s="15"/>
    </row>
    <row r="129" spans="1:13">
      <c r="A129" s="50">
        <v>4</v>
      </c>
      <c r="B129" s="50"/>
      <c r="C129" s="50" t="s">
        <v>251</v>
      </c>
      <c r="D129" s="50"/>
      <c r="E129" s="32">
        <f t="shared" si="19"/>
        <v>0</v>
      </c>
      <c r="F129" s="32">
        <f t="shared" si="19"/>
        <v>0</v>
      </c>
      <c r="G129" s="32">
        <f t="shared" si="19"/>
        <v>0</v>
      </c>
      <c r="H129" s="32">
        <f t="shared" si="19"/>
        <v>15560.081308329351</v>
      </c>
      <c r="I129" s="32">
        <f t="shared" si="19"/>
        <v>15214.301723699809</v>
      </c>
      <c r="J129" s="32">
        <f t="shared" si="19"/>
        <v>14868.522139070268</v>
      </c>
      <c r="K129" s="95"/>
      <c r="L129" s="50"/>
      <c r="M129" s="15"/>
    </row>
    <row r="130" spans="1:13">
      <c r="A130" s="50">
        <v>5</v>
      </c>
      <c r="B130" s="50"/>
      <c r="C130" s="50" t="s">
        <v>252</v>
      </c>
      <c r="D130" s="50"/>
      <c r="E130" s="32">
        <f t="shared" si="19"/>
        <v>0</v>
      </c>
      <c r="F130" s="32">
        <f t="shared" si="19"/>
        <v>0</v>
      </c>
      <c r="G130" s="32">
        <f t="shared" si="19"/>
        <v>0</v>
      </c>
      <c r="H130" s="32">
        <f t="shared" si="19"/>
        <v>0</v>
      </c>
      <c r="I130" s="32">
        <f t="shared" si="19"/>
        <v>15039.273504979865</v>
      </c>
      <c r="J130" s="32">
        <f t="shared" si="19"/>
        <v>14705.067427091424</v>
      </c>
      <c r="K130" s="95"/>
      <c r="L130" s="50"/>
      <c r="M130" s="15"/>
    </row>
    <row r="131" spans="1:13">
      <c r="A131" s="50">
        <v>6</v>
      </c>
      <c r="B131" s="50"/>
      <c r="C131" s="50" t="s">
        <v>253</v>
      </c>
      <c r="D131" s="50"/>
      <c r="E131" s="32">
        <f t="shared" si="19"/>
        <v>0</v>
      </c>
      <c r="F131" s="32">
        <f t="shared" si="19"/>
        <v>0</v>
      </c>
      <c r="G131" s="32">
        <f t="shared" si="19"/>
        <v>0</v>
      </c>
      <c r="H131" s="32">
        <f t="shared" si="19"/>
        <v>0</v>
      </c>
      <c r="I131" s="32">
        <f t="shared" si="19"/>
        <v>0</v>
      </c>
      <c r="J131" s="32">
        <f t="shared" si="19"/>
        <v>15851.828430961748</v>
      </c>
      <c r="K131" s="95"/>
      <c r="L131" s="50"/>
      <c r="M131" s="15"/>
    </row>
    <row r="132" spans="1:13">
      <c r="A132" s="50"/>
      <c r="B132" s="50"/>
      <c r="C132" s="50" t="s">
        <v>62</v>
      </c>
      <c r="D132" s="50"/>
      <c r="E132" s="32">
        <f t="shared" ref="E132:J132" si="20">SUM(E120:E125)</f>
        <v>0</v>
      </c>
      <c r="F132" s="32">
        <f t="shared" si="20"/>
        <v>143.39239426893334</v>
      </c>
      <c r="G132" s="32">
        <f t="shared" si="20"/>
        <v>470.77308750412118</v>
      </c>
      <c r="H132" s="32">
        <f t="shared" si="20"/>
        <v>837.65731653740841</v>
      </c>
      <c r="I132" s="32">
        <f t="shared" si="20"/>
        <v>1183.4369011669496</v>
      </c>
      <c r="J132" s="32">
        <f t="shared" si="20"/>
        <v>1517.6429790553912</v>
      </c>
      <c r="K132" s="95"/>
      <c r="L132" s="27"/>
      <c r="M132" s="15"/>
    </row>
    <row r="133" spans="1:13" s="15" customFormat="1">
      <c r="A133" s="50"/>
      <c r="B133" s="50"/>
      <c r="C133" s="50"/>
      <c r="D133" s="50"/>
      <c r="E133" s="32"/>
      <c r="F133" s="32"/>
      <c r="G133" s="32"/>
      <c r="H133" s="32"/>
      <c r="I133" s="32"/>
      <c r="J133" s="32"/>
      <c r="K133" s="95"/>
      <c r="L133" s="50"/>
    </row>
    <row r="134" spans="1:13" ht="15.75">
      <c r="A134" s="50"/>
      <c r="B134" s="50"/>
      <c r="C134" s="162" t="s">
        <v>63</v>
      </c>
      <c r="D134" s="50"/>
      <c r="E134" s="50"/>
      <c r="F134" s="50"/>
      <c r="G134" s="50"/>
      <c r="H134" s="50"/>
      <c r="I134" s="50"/>
      <c r="J134" s="50"/>
      <c r="K134" s="95"/>
      <c r="L134" s="50"/>
      <c r="M134" s="15"/>
    </row>
    <row r="135" spans="1:13">
      <c r="A135" s="50"/>
      <c r="B135" s="50"/>
      <c r="C135" s="50" t="s">
        <v>65</v>
      </c>
      <c r="D135" s="50"/>
      <c r="E135" s="129">
        <f>E59</f>
        <v>137423</v>
      </c>
      <c r="F135" s="32">
        <f>E140</f>
        <v>132160</v>
      </c>
      <c r="G135" s="32">
        <f>F140</f>
        <v>126896.85289889721</v>
      </c>
      <c r="H135" s="32">
        <f>G140</f>
        <v>121634.47894727529</v>
      </c>
      <c r="I135" s="32">
        <f>H140</f>
        <v>116372.8730058339</v>
      </c>
      <c r="J135" s="32">
        <f>I140</f>
        <v>111112.11947094153</v>
      </c>
      <c r="K135" s="95"/>
      <c r="L135" s="50"/>
      <c r="M135" s="15"/>
    </row>
    <row r="136" spans="1:13">
      <c r="A136" s="50"/>
      <c r="B136" s="50"/>
      <c r="C136" s="50" t="s">
        <v>40</v>
      </c>
      <c r="D136" s="50"/>
      <c r="E136" s="32">
        <f t="shared" ref="E136:J136" si="21">E56</f>
        <v>29</v>
      </c>
      <c r="F136" s="32">
        <f t="shared" si="21"/>
        <v>30.295350957155879</v>
      </c>
      <c r="G136" s="32">
        <f t="shared" si="21"/>
        <v>30.771194165907019</v>
      </c>
      <c r="H136" s="32">
        <f t="shared" si="21"/>
        <v>31.326344576116679</v>
      </c>
      <c r="I136" s="32">
        <f t="shared" si="21"/>
        <v>31.881494986326345</v>
      </c>
      <c r="J136" s="32">
        <f t="shared" si="21"/>
        <v>32.621695533272558</v>
      </c>
      <c r="K136" s="95"/>
      <c r="L136" s="50"/>
      <c r="M136" s="15"/>
    </row>
    <row r="137" spans="1:13">
      <c r="A137" s="50"/>
      <c r="B137" s="50"/>
      <c r="C137" s="50" t="s">
        <v>312</v>
      </c>
      <c r="D137" s="50"/>
      <c r="E137" s="32">
        <f>Top!E12</f>
        <v>0</v>
      </c>
      <c r="F137" s="32"/>
      <c r="G137" s="32"/>
      <c r="H137" s="32"/>
      <c r="I137" s="32"/>
      <c r="J137" s="32"/>
      <c r="K137" s="95"/>
      <c r="L137" s="50"/>
      <c r="M137" s="15"/>
    </row>
    <row r="138" spans="1:13">
      <c r="A138" s="50"/>
      <c r="B138" s="50"/>
      <c r="C138" s="50" t="s">
        <v>313</v>
      </c>
      <c r="D138" s="50"/>
      <c r="E138" s="32">
        <f>Top!E13</f>
        <v>0</v>
      </c>
      <c r="F138" s="32"/>
      <c r="G138" s="32"/>
      <c r="H138" s="32"/>
      <c r="I138" s="32"/>
      <c r="J138" s="32"/>
      <c r="K138" s="95"/>
      <c r="L138" s="50"/>
      <c r="M138" s="15"/>
    </row>
    <row r="139" spans="1:13">
      <c r="A139" s="50"/>
      <c r="B139" s="50"/>
      <c r="C139" s="50" t="s">
        <v>64</v>
      </c>
      <c r="D139" s="50"/>
      <c r="E139" s="32">
        <f t="shared" ref="E139:J139" si="22">E135/E$54</f>
        <v>5234</v>
      </c>
      <c r="F139" s="32">
        <f t="shared" si="22"/>
        <v>5232.8517501456245</v>
      </c>
      <c r="G139" s="32">
        <f t="shared" si="22"/>
        <v>5231.6027574560121</v>
      </c>
      <c r="H139" s="32">
        <f t="shared" si="22"/>
        <v>5230.2795968652808</v>
      </c>
      <c r="I139" s="32">
        <f t="shared" si="22"/>
        <v>5228.8720399060376</v>
      </c>
      <c r="J139" s="32">
        <f t="shared" si="22"/>
        <v>5227.3721455682808</v>
      </c>
      <c r="K139" s="95"/>
      <c r="L139" s="50"/>
      <c r="M139" s="15"/>
    </row>
    <row r="140" spans="1:13">
      <c r="A140" s="50"/>
      <c r="B140" s="50"/>
      <c r="C140" s="50" t="s">
        <v>61</v>
      </c>
      <c r="D140" s="50"/>
      <c r="E140" s="129">
        <f>E135-E136-E137+E138-E139</f>
        <v>132160</v>
      </c>
      <c r="F140" s="32">
        <f>F135-F136-F139</f>
        <v>126896.85289889721</v>
      </c>
      <c r="G140" s="32">
        <f>G135-G136-G139</f>
        <v>121634.47894727529</v>
      </c>
      <c r="H140" s="32">
        <f>H135-H136-H139</f>
        <v>116372.8730058339</v>
      </c>
      <c r="I140" s="32">
        <f>I135-I136-I139</f>
        <v>111112.11947094153</v>
      </c>
      <c r="J140" s="32">
        <f>J135-J136-J139</f>
        <v>105852.12562983997</v>
      </c>
      <c r="K140" s="95"/>
      <c r="L140" s="50"/>
      <c r="M140" s="15"/>
    </row>
    <row r="141" spans="1:13">
      <c r="A141" s="50"/>
      <c r="B141" s="50"/>
      <c r="C141" s="50"/>
      <c r="D141" s="50"/>
      <c r="E141" s="32"/>
      <c r="F141" s="32"/>
      <c r="G141" s="32"/>
      <c r="H141" s="32"/>
      <c r="I141" s="32"/>
      <c r="J141" s="32"/>
      <c r="K141" s="95"/>
      <c r="L141" s="27"/>
      <c r="M141" s="15"/>
    </row>
    <row r="142" spans="1:13" ht="15.75">
      <c r="A142" s="50"/>
      <c r="B142" s="50"/>
      <c r="C142" s="162" t="s">
        <v>66</v>
      </c>
      <c r="D142" s="50"/>
      <c r="E142" s="50"/>
      <c r="F142" s="50"/>
      <c r="G142" s="50"/>
      <c r="H142" s="50"/>
      <c r="I142" s="50"/>
      <c r="J142" s="50"/>
      <c r="K142" s="95"/>
      <c r="L142" s="27"/>
      <c r="M142" s="15"/>
    </row>
    <row r="143" spans="1:13">
      <c r="A143" s="50"/>
      <c r="B143" s="50"/>
      <c r="C143" s="50" t="s">
        <v>155</v>
      </c>
      <c r="D143" s="50"/>
      <c r="E143" s="32">
        <f t="shared" ref="E143:J143" si="23">E59+E100</f>
        <v>137423</v>
      </c>
      <c r="F143" s="32">
        <f t="shared" si="23"/>
        <v>140978.11700468219</v>
      </c>
      <c r="G143" s="32">
        <f t="shared" si="23"/>
        <v>152999.87129346631</v>
      </c>
      <c r="H143" s="32">
        <f t="shared" si="23"/>
        <v>167290.2439837812</v>
      </c>
      <c r="I143" s="32">
        <f t="shared" si="23"/>
        <v>180221.28630446558</v>
      </c>
      <c r="J143" s="32">
        <f t="shared" si="23"/>
        <v>192169.11221410695</v>
      </c>
      <c r="K143" s="95"/>
      <c r="L143" s="27"/>
      <c r="M143" s="15"/>
    </row>
    <row r="144" spans="1:13">
      <c r="A144" s="50"/>
      <c r="B144" s="50"/>
      <c r="C144" s="50" t="s">
        <v>154</v>
      </c>
      <c r="D144" s="50"/>
      <c r="E144" s="32">
        <f t="shared" ref="E144:J146" si="24">E63+E101</f>
        <v>2365.4592625801938</v>
      </c>
      <c r="F144" s="32">
        <f t="shared" si="24"/>
        <v>2789.8225283581714</v>
      </c>
      <c r="G144" s="32">
        <f t="shared" si="24"/>
        <v>3720.0408946119915</v>
      </c>
      <c r="H144" s="32">
        <f t="shared" si="24"/>
        <v>3826.1345734271381</v>
      </c>
      <c r="I144" s="32">
        <f t="shared" si="24"/>
        <v>3861.7327244405315</v>
      </c>
      <c r="J144" s="32">
        <f t="shared" si="24"/>
        <v>3840.2515478002138</v>
      </c>
      <c r="K144" s="95"/>
      <c r="L144" s="50"/>
      <c r="M144" s="15"/>
    </row>
    <row r="145" spans="1:13">
      <c r="A145" s="50"/>
      <c r="B145" s="50"/>
      <c r="C145" s="50" t="s">
        <v>153</v>
      </c>
      <c r="D145" s="50"/>
      <c r="E145" s="32">
        <f t="shared" si="24"/>
        <v>5234</v>
      </c>
      <c r="F145" s="32">
        <f t="shared" si="24"/>
        <v>5469.904084200356</v>
      </c>
      <c r="G145" s="32">
        <f t="shared" si="24"/>
        <v>5908.6873166291407</v>
      </c>
      <c r="H145" s="32">
        <f t="shared" si="24"/>
        <v>6423.8472164959658</v>
      </c>
      <c r="I145" s="32">
        <f t="shared" si="24"/>
        <v>6921.2988247926769</v>
      </c>
      <c r="J145" s="32">
        <f t="shared" si="24"/>
        <v>7408.6491078299132</v>
      </c>
      <c r="K145" s="95"/>
      <c r="L145" s="50"/>
      <c r="M145" s="15"/>
    </row>
    <row r="146" spans="1:13">
      <c r="A146" s="50"/>
      <c r="B146" s="50"/>
      <c r="C146" s="50" t="s">
        <v>156</v>
      </c>
      <c r="D146" s="50"/>
      <c r="E146" s="32">
        <f t="shared" si="24"/>
        <v>140978.11700468219</v>
      </c>
      <c r="F146" s="32">
        <f t="shared" si="24"/>
        <v>152999.87129346631</v>
      </c>
      <c r="G146" s="32">
        <f t="shared" si="24"/>
        <v>167290.2439837812</v>
      </c>
      <c r="H146" s="32">
        <f t="shared" si="24"/>
        <v>180221.28630446558</v>
      </c>
      <c r="I146" s="32">
        <f t="shared" si="24"/>
        <v>192169.11221410695</v>
      </c>
      <c r="J146" s="32">
        <f t="shared" si="24"/>
        <v>204419.92138950573</v>
      </c>
      <c r="K146" s="95"/>
      <c r="L146" s="50"/>
      <c r="M146" s="15"/>
    </row>
    <row r="147" spans="1:13">
      <c r="A147" s="50"/>
      <c r="B147" s="50"/>
      <c r="C147" s="50" t="s">
        <v>45</v>
      </c>
      <c r="D147" s="50"/>
      <c r="E147" s="32">
        <f t="shared" ref="E147:J147" si="25">E132+E139</f>
        <v>5234</v>
      </c>
      <c r="F147" s="32">
        <f t="shared" si="25"/>
        <v>5376.2441444145579</v>
      </c>
      <c r="G147" s="32">
        <f t="shared" si="25"/>
        <v>5702.3758449601337</v>
      </c>
      <c r="H147" s="32">
        <f t="shared" si="25"/>
        <v>6067.9369134026892</v>
      </c>
      <c r="I147" s="32">
        <f t="shared" si="25"/>
        <v>6412.3089410729872</v>
      </c>
      <c r="J147" s="32">
        <f t="shared" si="25"/>
        <v>6745.0151246236719</v>
      </c>
      <c r="K147" s="95"/>
      <c r="L147" s="50"/>
      <c r="M147" s="15"/>
    </row>
    <row r="148" spans="1:13">
      <c r="A148" s="50"/>
      <c r="B148" s="50"/>
      <c r="C148" s="50" t="s">
        <v>178</v>
      </c>
      <c r="D148" s="50"/>
      <c r="E148" s="128"/>
      <c r="F148" s="165">
        <f>F143+F107+F144-F145-F56-F146</f>
        <v>0</v>
      </c>
      <c r="G148" s="165">
        <f>G143+G107+G144-G145-G56-G146</f>
        <v>0</v>
      </c>
      <c r="H148" s="165">
        <f>H143+H107+H144-H145-H56-H146</f>
        <v>0</v>
      </c>
      <c r="I148" s="165">
        <f>I143+I107+I144-I145-I56-I146</f>
        <v>0</v>
      </c>
      <c r="J148" s="165">
        <f>J143+J107+J144-J145-J56-J146</f>
        <v>0</v>
      </c>
      <c r="K148" s="95"/>
      <c r="L148" s="50"/>
      <c r="M148" s="15"/>
    </row>
    <row r="149" spans="1:13">
      <c r="A149" s="50"/>
      <c r="B149" s="50"/>
      <c r="C149" s="50"/>
      <c r="D149" s="50"/>
      <c r="E149" s="50"/>
      <c r="F149" s="32"/>
      <c r="G149" s="32"/>
      <c r="H149" s="50"/>
      <c r="I149" s="50"/>
      <c r="J149" s="50"/>
      <c r="K149" s="95"/>
      <c r="L149" s="50"/>
      <c r="M149" s="15"/>
    </row>
    <row r="150" spans="1:13" ht="15.75">
      <c r="A150" s="50"/>
      <c r="B150" s="50"/>
      <c r="C150" s="162" t="s">
        <v>90</v>
      </c>
      <c r="D150" s="50"/>
      <c r="E150" s="50"/>
      <c r="F150" s="50"/>
      <c r="G150" s="50"/>
      <c r="H150" s="50"/>
      <c r="I150" s="50"/>
      <c r="J150" s="50"/>
      <c r="K150" s="95"/>
      <c r="L150" s="50"/>
      <c r="M150" s="15"/>
    </row>
    <row r="151" spans="1:13" ht="15.75">
      <c r="A151" s="50"/>
      <c r="B151" s="50"/>
      <c r="C151" s="158" t="s">
        <v>160</v>
      </c>
      <c r="D151" s="50"/>
      <c r="E151" s="129"/>
      <c r="F151" s="166">
        <f>F143/$E143</f>
        <v>1.0258698835324669</v>
      </c>
      <c r="G151" s="166">
        <f>G143/$E143</f>
        <v>1.1133498125747969</v>
      </c>
      <c r="H151" s="166">
        <f>H143/$E143</f>
        <v>1.2173380291783851</v>
      </c>
      <c r="I151" s="166">
        <f>I143/$E143</f>
        <v>1.3114346674462469</v>
      </c>
      <c r="J151" s="166">
        <f>J143/$E143</f>
        <v>1.3983766342905259</v>
      </c>
      <c r="K151" s="95"/>
      <c r="L151" s="50"/>
      <c r="M151" s="15"/>
    </row>
    <row r="152" spans="1:13">
      <c r="A152" s="50"/>
      <c r="B152" s="50"/>
      <c r="C152" s="50" t="s">
        <v>90</v>
      </c>
      <c r="D152" s="50"/>
      <c r="E152" s="129">
        <f>IF(E20&gt;0,E20,0)</f>
        <v>0</v>
      </c>
      <c r="F152" s="32">
        <f>$E152*F151</f>
        <v>0</v>
      </c>
      <c r="G152" s="32">
        <f>$E152*G151</f>
        <v>0</v>
      </c>
      <c r="H152" s="32">
        <f>$E152*H151</f>
        <v>0</v>
      </c>
      <c r="I152" s="32">
        <f>$E152*I151</f>
        <v>0</v>
      </c>
      <c r="J152" s="32">
        <f>$E152*J151</f>
        <v>0</v>
      </c>
      <c r="K152" s="95"/>
      <c r="L152" s="50"/>
      <c r="M152" s="15"/>
    </row>
    <row r="153" spans="1:13">
      <c r="A153" s="50"/>
      <c r="B153" s="50"/>
      <c r="C153" s="50"/>
      <c r="D153" s="50"/>
      <c r="E153" s="50"/>
      <c r="F153" s="50"/>
      <c r="G153" s="50"/>
      <c r="H153" s="50"/>
      <c r="I153" s="50"/>
      <c r="J153" s="50"/>
      <c r="K153" s="95"/>
      <c r="L153" s="50"/>
      <c r="M153" s="15"/>
    </row>
    <row r="154" spans="1:13" ht="15.75">
      <c r="A154" s="50"/>
      <c r="B154" s="50"/>
      <c r="C154" s="162" t="s">
        <v>46</v>
      </c>
      <c r="D154" s="50"/>
      <c r="E154" s="50"/>
      <c r="F154" s="50"/>
      <c r="G154" s="50"/>
      <c r="H154" s="50"/>
      <c r="I154" s="50"/>
      <c r="J154" s="50"/>
      <c r="K154" s="95"/>
      <c r="L154" s="27"/>
      <c r="M154" s="15"/>
    </row>
    <row r="155" spans="1:13">
      <c r="A155" s="50"/>
      <c r="B155" s="50"/>
      <c r="C155" s="50" t="s">
        <v>157</v>
      </c>
      <c r="D155" s="49">
        <f>E17/E18</f>
        <v>8.3175386785383706E-2</v>
      </c>
      <c r="E155" s="50"/>
      <c r="F155" s="50"/>
      <c r="G155" s="50"/>
      <c r="H155" s="50"/>
      <c r="I155" s="50"/>
      <c r="J155" s="50"/>
      <c r="K155" s="95"/>
      <c r="L155" s="125"/>
      <c r="M155" s="15"/>
    </row>
    <row r="156" spans="1:13">
      <c r="A156" s="50"/>
      <c r="B156" s="50"/>
      <c r="C156" s="50" t="s">
        <v>167</v>
      </c>
      <c r="D156" s="50"/>
      <c r="E156" s="129">
        <f>E18</f>
        <v>45374</v>
      </c>
      <c r="F156" s="32">
        <f>E159</f>
        <v>48052.657742102005</v>
      </c>
      <c r="G156" s="32">
        <f>F159</f>
        <v>58787.990543920459</v>
      </c>
      <c r="H156" s="32">
        <f>G159</f>
        <v>70408.066998592316</v>
      </c>
      <c r="I156" s="32">
        <f>H159</f>
        <v>80111.930101502541</v>
      </c>
      <c r="J156" s="32">
        <f>I159</f>
        <v>88487.862834166313</v>
      </c>
      <c r="K156" s="95"/>
      <c r="L156" s="125"/>
      <c r="M156" s="15"/>
    </row>
    <row r="157" spans="1:13">
      <c r="A157" s="50"/>
      <c r="B157" s="50"/>
      <c r="C157" s="50" t="s">
        <v>34</v>
      </c>
      <c r="D157" s="50"/>
      <c r="E157" s="129">
        <f>E17</f>
        <v>3774</v>
      </c>
      <c r="F157" s="32">
        <f>F156*$D155</f>
        <v>3996.7983937649969</v>
      </c>
      <c r="G157" s="32">
        <f>G156*$D155</f>
        <v>4889.7138518260645</v>
      </c>
      <c r="H157" s="32">
        <f>H156*$D155</f>
        <v>5856.2182054191262</v>
      </c>
      <c r="I157" s="32">
        <f>I156*$D155</f>
        <v>6663.3407723160981</v>
      </c>
      <c r="J157" s="32">
        <f>J156*$D155</f>
        <v>7360.0122170437626</v>
      </c>
      <c r="K157" s="95"/>
      <c r="L157" s="50"/>
      <c r="M157" s="15"/>
    </row>
    <row r="158" spans="1:13">
      <c r="A158" s="50"/>
      <c r="B158" s="50"/>
      <c r="C158" s="50" t="s">
        <v>98</v>
      </c>
      <c r="D158" s="50"/>
      <c r="E158" s="32">
        <f t="shared" ref="E158:J158" si="26">E29</f>
        <v>6452.6577421020011</v>
      </c>
      <c r="F158" s="32">
        <f t="shared" si="26"/>
        <v>14732.131195583452</v>
      </c>
      <c r="G158" s="32">
        <f t="shared" si="26"/>
        <v>16509.790306497922</v>
      </c>
      <c r="H158" s="32">
        <f t="shared" si="26"/>
        <v>15560.081308329351</v>
      </c>
      <c r="I158" s="32">
        <f t="shared" si="26"/>
        <v>15039.273504979865</v>
      </c>
      <c r="J158" s="32">
        <f t="shared" si="26"/>
        <v>15851.828430961748</v>
      </c>
      <c r="K158" s="95"/>
      <c r="L158" s="125"/>
      <c r="M158" s="15"/>
    </row>
    <row r="159" spans="1:13">
      <c r="A159" s="50"/>
      <c r="B159" s="50"/>
      <c r="C159" s="50" t="s">
        <v>127</v>
      </c>
      <c r="D159" s="50"/>
      <c r="E159" s="32">
        <f t="shared" ref="E159:J159" si="27">E156-E157+E158</f>
        <v>48052.657742102005</v>
      </c>
      <c r="F159" s="32">
        <f t="shared" si="27"/>
        <v>58787.990543920459</v>
      </c>
      <c r="G159" s="32">
        <f t="shared" si="27"/>
        <v>70408.066998592316</v>
      </c>
      <c r="H159" s="32">
        <f t="shared" si="27"/>
        <v>80111.930101502541</v>
      </c>
      <c r="I159" s="32">
        <f t="shared" si="27"/>
        <v>88487.862834166313</v>
      </c>
      <c r="J159" s="32">
        <f t="shared" si="27"/>
        <v>96979.67904808429</v>
      </c>
      <c r="K159" s="95"/>
      <c r="L159" s="125"/>
      <c r="M159" s="15"/>
    </row>
    <row r="160" spans="1:13">
      <c r="A160" s="50"/>
      <c r="B160" s="50"/>
      <c r="C160" s="50"/>
      <c r="D160" s="50"/>
      <c r="E160" s="50"/>
      <c r="F160" s="50"/>
      <c r="G160" s="50"/>
      <c r="H160" s="50"/>
      <c r="I160" s="50"/>
      <c r="J160" s="50"/>
      <c r="K160" s="95"/>
      <c r="L160" s="27"/>
      <c r="M160" s="15"/>
    </row>
    <row r="161" spans="1:13" ht="15.75">
      <c r="A161" s="50"/>
      <c r="B161" s="50"/>
      <c r="C161" s="162" t="s">
        <v>128</v>
      </c>
      <c r="D161" s="50"/>
      <c r="E161" s="50"/>
      <c r="F161" s="50"/>
      <c r="G161" s="50"/>
      <c r="H161" s="50"/>
      <c r="I161" s="50"/>
      <c r="J161" s="50"/>
      <c r="K161" s="95"/>
      <c r="L161" s="27"/>
      <c r="M161" s="15"/>
    </row>
    <row r="162" spans="1:13">
      <c r="A162" s="50"/>
      <c r="B162" s="50"/>
      <c r="C162" s="50" t="s">
        <v>126</v>
      </c>
      <c r="D162" s="50"/>
      <c r="E162" s="32">
        <f t="shared" ref="E162:J162" si="28">E147-E157</f>
        <v>1460</v>
      </c>
      <c r="F162" s="32">
        <f t="shared" si="28"/>
        <v>1379.445750649561</v>
      </c>
      <c r="G162" s="32">
        <f t="shared" si="28"/>
        <v>812.66199313406923</v>
      </c>
      <c r="H162" s="32">
        <f t="shared" si="28"/>
        <v>211.71870798356304</v>
      </c>
      <c r="I162" s="32">
        <f t="shared" si="28"/>
        <v>-251.0318312431109</v>
      </c>
      <c r="J162" s="32">
        <f t="shared" si="28"/>
        <v>-614.99709242009067</v>
      </c>
      <c r="K162" s="95"/>
      <c r="L162" s="50"/>
      <c r="M162" s="15"/>
    </row>
    <row r="163" spans="1:13">
      <c r="A163" s="50"/>
      <c r="B163" s="50"/>
      <c r="C163" s="50"/>
      <c r="D163" s="50"/>
      <c r="E163" s="50"/>
      <c r="F163" s="50"/>
      <c r="G163" s="50"/>
      <c r="H163" s="50"/>
      <c r="I163" s="50"/>
      <c r="J163" s="50"/>
      <c r="K163" s="95"/>
      <c r="L163" s="50"/>
      <c r="M163" s="15"/>
    </row>
    <row r="164" spans="1:13" ht="15.75">
      <c r="A164" s="50"/>
      <c r="B164" s="50"/>
      <c r="C164" s="162" t="s">
        <v>47</v>
      </c>
      <c r="D164" s="50"/>
      <c r="E164" s="50"/>
      <c r="F164" s="50"/>
      <c r="G164" s="50"/>
      <c r="H164" s="50"/>
      <c r="I164" s="50"/>
      <c r="J164" s="50"/>
      <c r="K164" s="95"/>
      <c r="L164" s="50"/>
      <c r="M164" s="15"/>
    </row>
    <row r="165" spans="1:13">
      <c r="A165" s="50"/>
      <c r="B165" s="50"/>
      <c r="C165" s="50" t="s">
        <v>151</v>
      </c>
      <c r="D165" s="50"/>
      <c r="E165" s="193">
        <v>0</v>
      </c>
      <c r="F165" s="31">
        <f>E168</f>
        <v>-624.10384615384612</v>
      </c>
      <c r="G165" s="31">
        <f>F168</f>
        <v>-1272.3739671128239</v>
      </c>
      <c r="H165" s="31">
        <f>G168</f>
        <v>-2036.1255321122076</v>
      </c>
      <c r="I165" s="31">
        <f>H168</f>
        <v>-2968.141216953733</v>
      </c>
      <c r="J165" s="31">
        <f>I168</f>
        <v>-4029.7270527787273</v>
      </c>
      <c r="K165" s="95"/>
      <c r="L165" s="50"/>
      <c r="M165" s="15"/>
    </row>
    <row r="166" spans="1:13">
      <c r="A166" s="50"/>
      <c r="B166" s="50"/>
      <c r="C166" s="50" t="s">
        <v>126</v>
      </c>
      <c r="D166" s="50"/>
      <c r="E166" s="32">
        <f t="shared" ref="E166:J166" si="29">E162</f>
        <v>1460</v>
      </c>
      <c r="F166" s="32">
        <f t="shared" si="29"/>
        <v>1379.445750649561</v>
      </c>
      <c r="G166" s="32">
        <f t="shared" si="29"/>
        <v>812.66199313406923</v>
      </c>
      <c r="H166" s="32">
        <f t="shared" si="29"/>
        <v>211.71870798356304</v>
      </c>
      <c r="I166" s="32">
        <f t="shared" si="29"/>
        <v>-251.0318312431109</v>
      </c>
      <c r="J166" s="32">
        <f t="shared" si="29"/>
        <v>-614.99709242009067</v>
      </c>
      <c r="K166" s="95"/>
      <c r="L166" s="50"/>
      <c r="M166" s="15"/>
    </row>
    <row r="167" spans="1:13">
      <c r="A167" s="50"/>
      <c r="B167" s="50"/>
      <c r="C167" s="50" t="s">
        <v>48</v>
      </c>
      <c r="D167" s="50"/>
      <c r="E167" s="129">
        <f>(E11-E18)/E19</f>
        <v>3540.3461538461538</v>
      </c>
      <c r="F167" s="32">
        <f>E167</f>
        <v>3540.3461538461538</v>
      </c>
      <c r="G167" s="32">
        <f>F167</f>
        <v>3540.3461538461538</v>
      </c>
      <c r="H167" s="32">
        <f>G167</f>
        <v>3540.3461538461538</v>
      </c>
      <c r="I167" s="32">
        <f>H167</f>
        <v>3540.3461538461538</v>
      </c>
      <c r="J167" s="32">
        <f>I167</f>
        <v>3540.3461538461538</v>
      </c>
      <c r="K167" s="95"/>
      <c r="L167" s="50"/>
      <c r="M167" s="15"/>
    </row>
    <row r="168" spans="1:13">
      <c r="A168" s="50"/>
      <c r="B168" s="50"/>
      <c r="C168" s="50" t="s">
        <v>152</v>
      </c>
      <c r="D168" s="50"/>
      <c r="E168" s="31">
        <f t="shared" ref="E168:J168" si="30">E165+(E166-E167)*E53</f>
        <v>-624.10384615384612</v>
      </c>
      <c r="F168" s="31">
        <f t="shared" si="30"/>
        <v>-1272.3739671128239</v>
      </c>
      <c r="G168" s="31">
        <f t="shared" si="30"/>
        <v>-2036.1255321122076</v>
      </c>
      <c r="H168" s="31">
        <f t="shared" si="30"/>
        <v>-2968.141216953733</v>
      </c>
      <c r="I168" s="31">
        <f t="shared" si="30"/>
        <v>-4029.7270527787273</v>
      </c>
      <c r="J168" s="31">
        <f t="shared" si="30"/>
        <v>-5193.2231617332754</v>
      </c>
      <c r="K168" s="95"/>
      <c r="L168" s="50"/>
      <c r="M168" s="15"/>
    </row>
    <row r="169" spans="1:13">
      <c r="A169" s="50"/>
      <c r="B169" s="50"/>
      <c r="C169" s="50"/>
      <c r="D169" s="50"/>
      <c r="E169" s="31"/>
      <c r="F169" s="31"/>
      <c r="G169" s="31"/>
      <c r="H169" s="31"/>
      <c r="I169" s="31"/>
      <c r="J169" s="31"/>
      <c r="K169" s="95"/>
      <c r="L169" s="27"/>
      <c r="M169" s="15"/>
    </row>
    <row r="170" spans="1:13" ht="15.75">
      <c r="A170" s="50"/>
      <c r="B170" s="50"/>
      <c r="C170" s="162" t="s">
        <v>196</v>
      </c>
      <c r="D170" s="50"/>
      <c r="E170" s="50"/>
      <c r="F170" s="50"/>
      <c r="G170" s="50"/>
      <c r="H170" s="50"/>
      <c r="I170" s="50"/>
      <c r="J170" s="50"/>
      <c r="K170" s="95"/>
      <c r="L170" s="27"/>
      <c r="M170" s="15"/>
    </row>
    <row r="171" spans="1:13">
      <c r="A171" s="50"/>
      <c r="B171" s="50"/>
      <c r="C171" s="50" t="s">
        <v>106</v>
      </c>
      <c r="D171" s="50"/>
      <c r="E171" s="32">
        <f t="shared" ref="E171:J171" si="31">E143+E165</f>
        <v>137423</v>
      </c>
      <c r="F171" s="32">
        <f t="shared" si="31"/>
        <v>140354.01315852834</v>
      </c>
      <c r="G171" s="32">
        <f t="shared" si="31"/>
        <v>151727.49732635348</v>
      </c>
      <c r="H171" s="32">
        <f t="shared" si="31"/>
        <v>165254.118451669</v>
      </c>
      <c r="I171" s="32">
        <f t="shared" si="31"/>
        <v>177253.14508751186</v>
      </c>
      <c r="J171" s="32">
        <f t="shared" si="31"/>
        <v>188139.38516132822</v>
      </c>
      <c r="K171" s="95"/>
      <c r="L171" s="50"/>
      <c r="M171" s="15"/>
    </row>
    <row r="172" spans="1:13">
      <c r="A172" s="50"/>
      <c r="B172" s="50"/>
      <c r="C172" s="50" t="s">
        <v>98</v>
      </c>
      <c r="D172" s="50"/>
      <c r="E172" s="32">
        <f t="shared" ref="E172:J172" si="32">E29</f>
        <v>6452.6577421020011</v>
      </c>
      <c r="F172" s="32">
        <f t="shared" si="32"/>
        <v>14732.131195583452</v>
      </c>
      <c r="G172" s="32">
        <f t="shared" si="32"/>
        <v>16509.790306497922</v>
      </c>
      <c r="H172" s="32">
        <f t="shared" si="32"/>
        <v>15560.081308329351</v>
      </c>
      <c r="I172" s="32">
        <f t="shared" si="32"/>
        <v>15039.273504979865</v>
      </c>
      <c r="J172" s="32">
        <f t="shared" si="32"/>
        <v>15851.828430961748</v>
      </c>
      <c r="K172" s="95"/>
      <c r="L172" s="50"/>
      <c r="M172" s="15"/>
    </row>
    <row r="173" spans="1:13">
      <c r="A173" s="50"/>
      <c r="B173" s="50"/>
      <c r="C173" s="50" t="s">
        <v>111</v>
      </c>
      <c r="D173" s="50"/>
      <c r="E173" s="96">
        <f t="shared" ref="E173:J173" si="33">E152</f>
        <v>0</v>
      </c>
      <c r="F173" s="96">
        <f t="shared" si="33"/>
        <v>0</v>
      </c>
      <c r="G173" s="96">
        <f t="shared" si="33"/>
        <v>0</v>
      </c>
      <c r="H173" s="96">
        <f t="shared" si="33"/>
        <v>0</v>
      </c>
      <c r="I173" s="96">
        <f t="shared" si="33"/>
        <v>0</v>
      </c>
      <c r="J173" s="96">
        <f t="shared" si="33"/>
        <v>0</v>
      </c>
      <c r="K173" s="95"/>
      <c r="L173" s="50"/>
      <c r="M173" s="15"/>
    </row>
    <row r="174" spans="1:13">
      <c r="A174" s="50"/>
      <c r="B174" s="50"/>
      <c r="C174" s="50" t="s">
        <v>44</v>
      </c>
      <c r="D174" s="50"/>
      <c r="E174" s="96">
        <f t="shared" ref="E174:J174" si="34">E144</f>
        <v>2365.4592625801938</v>
      </c>
      <c r="F174" s="96">
        <f t="shared" si="34"/>
        <v>2789.8225283581714</v>
      </c>
      <c r="G174" s="96">
        <f t="shared" si="34"/>
        <v>3720.0408946119915</v>
      </c>
      <c r="H174" s="96">
        <f t="shared" si="34"/>
        <v>3826.1345734271381</v>
      </c>
      <c r="I174" s="96">
        <f t="shared" si="34"/>
        <v>3861.7327244405315</v>
      </c>
      <c r="J174" s="96">
        <f t="shared" si="34"/>
        <v>3840.2515478002138</v>
      </c>
      <c r="K174" s="95"/>
      <c r="L174" s="50"/>
      <c r="M174" s="15"/>
    </row>
    <row r="175" spans="1:13">
      <c r="A175" s="50"/>
      <c r="B175" s="50"/>
      <c r="C175" s="50" t="s">
        <v>196</v>
      </c>
      <c r="D175" s="50"/>
      <c r="E175" s="32">
        <f t="shared" ref="E175:J175" si="35">E171*WACC+E172*($D$48-1)+E173-E174</f>
        <v>9962.7662704057384</v>
      </c>
      <c r="F175" s="32">
        <f t="shared" si="35"/>
        <v>10149.884485010247</v>
      </c>
      <c r="G175" s="32">
        <f t="shared" si="35"/>
        <v>10293.219554601646</v>
      </c>
      <c r="H175" s="32">
        <f t="shared" si="35"/>
        <v>11332.754955255745</v>
      </c>
      <c r="I175" s="32">
        <f t="shared" si="35"/>
        <v>12327.176452751624</v>
      </c>
      <c r="J175" s="32">
        <f t="shared" si="35"/>
        <v>13338.165120515056</v>
      </c>
      <c r="K175" s="95"/>
      <c r="L175" s="50"/>
      <c r="M175" s="15"/>
    </row>
    <row r="176" spans="1:13">
      <c r="A176" s="50"/>
      <c r="B176" s="50"/>
      <c r="C176" s="50"/>
      <c r="D176" s="50"/>
      <c r="E176" s="31"/>
      <c r="F176" s="31"/>
      <c r="G176" s="31"/>
      <c r="H176" s="31"/>
      <c r="I176" s="31"/>
      <c r="J176" s="31"/>
      <c r="K176" s="95"/>
      <c r="L176" s="27"/>
      <c r="M176" s="15"/>
    </row>
    <row r="177" spans="1:13" ht="15.75">
      <c r="A177" s="50"/>
      <c r="B177" s="50"/>
      <c r="C177" s="162" t="s">
        <v>49</v>
      </c>
      <c r="D177" s="50"/>
      <c r="E177" s="50"/>
      <c r="F177" s="50"/>
      <c r="G177" s="50"/>
      <c r="H177" s="50"/>
      <c r="I177" s="50"/>
      <c r="J177" s="50"/>
      <c r="K177" s="95"/>
      <c r="L177" s="27"/>
      <c r="M177" s="15"/>
    </row>
    <row r="178" spans="1:13">
      <c r="A178" s="50"/>
      <c r="B178" s="50"/>
      <c r="C178" s="50" t="s">
        <v>50</v>
      </c>
      <c r="D178" s="50"/>
      <c r="E178" s="31">
        <f t="shared" ref="E178:J178" si="36">E171*Leverage*Debt+E152</f>
        <v>4794.9633160000003</v>
      </c>
      <c r="F178" s="31">
        <f t="shared" si="36"/>
        <v>4897.2322271273706</v>
      </c>
      <c r="G178" s="31">
        <f t="shared" si="36"/>
        <v>5294.0758367111248</v>
      </c>
      <c r="H178" s="31">
        <f t="shared" si="36"/>
        <v>5766.0467010156344</v>
      </c>
      <c r="I178" s="31">
        <f t="shared" si="36"/>
        <v>6184.7167383934639</v>
      </c>
      <c r="J178" s="31">
        <f t="shared" si="36"/>
        <v>6564.5594270490637</v>
      </c>
      <c r="K178" s="95"/>
      <c r="L178" s="50"/>
      <c r="M178" s="15"/>
    </row>
    <row r="179" spans="1:13">
      <c r="A179" s="50"/>
      <c r="B179" s="50"/>
      <c r="C179" s="50" t="s">
        <v>51</v>
      </c>
      <c r="D179" s="50"/>
      <c r="E179" s="31">
        <f t="shared" ref="E179:J179" si="37">E145-E147</f>
        <v>0</v>
      </c>
      <c r="F179" s="31">
        <f t="shared" si="37"/>
        <v>93.659939785798088</v>
      </c>
      <c r="G179" s="31">
        <f t="shared" si="37"/>
        <v>206.31147166900701</v>
      </c>
      <c r="H179" s="31">
        <f t="shared" si="37"/>
        <v>355.91030309327653</v>
      </c>
      <c r="I179" s="31">
        <f t="shared" si="37"/>
        <v>508.98988371968971</v>
      </c>
      <c r="J179" s="31">
        <f t="shared" si="37"/>
        <v>663.63398320624128</v>
      </c>
      <c r="K179" s="95"/>
      <c r="L179" s="50"/>
      <c r="M179" s="15"/>
    </row>
    <row r="180" spans="1:13">
      <c r="A180" s="50"/>
      <c r="B180" s="50"/>
      <c r="C180" s="50" t="s">
        <v>52</v>
      </c>
      <c r="D180" s="50"/>
      <c r="E180" s="31">
        <f t="shared" ref="E180:J180" si="38">E167+E179-E178</f>
        <v>-1254.6171621538465</v>
      </c>
      <c r="F180" s="31">
        <f t="shared" si="38"/>
        <v>-1263.2261334954187</v>
      </c>
      <c r="G180" s="31">
        <f t="shared" si="38"/>
        <v>-1547.418211195964</v>
      </c>
      <c r="H180" s="31">
        <f t="shared" si="38"/>
        <v>-1869.7902440762041</v>
      </c>
      <c r="I180" s="31">
        <f t="shared" si="38"/>
        <v>-2135.3807008276203</v>
      </c>
      <c r="J180" s="31">
        <f t="shared" si="38"/>
        <v>-2360.5792899966691</v>
      </c>
      <c r="K180" s="95"/>
      <c r="L180" s="50"/>
      <c r="M180" s="15"/>
    </row>
    <row r="181" spans="1:13">
      <c r="A181" s="50"/>
      <c r="B181" s="50"/>
      <c r="C181" s="50"/>
      <c r="D181" s="50"/>
      <c r="E181" s="50"/>
      <c r="F181" s="167"/>
      <c r="G181" s="32"/>
      <c r="H181" s="32"/>
      <c r="I181" s="32"/>
      <c r="J181" s="32"/>
      <c r="K181" s="95"/>
      <c r="L181" s="50"/>
      <c r="M181" s="15"/>
    </row>
    <row r="182" spans="1:13" ht="15.75">
      <c r="A182" s="50"/>
      <c r="B182" s="50"/>
      <c r="C182" s="162" t="s">
        <v>107</v>
      </c>
      <c r="D182" s="50"/>
      <c r="E182" s="50"/>
      <c r="F182" s="167"/>
      <c r="G182" s="32"/>
      <c r="H182" s="32"/>
      <c r="I182" s="32"/>
      <c r="J182" s="32"/>
      <c r="K182" s="95"/>
      <c r="L182" s="27"/>
      <c r="M182" s="15"/>
    </row>
    <row r="183" spans="1:13">
      <c r="A183" s="50"/>
      <c r="B183" s="50"/>
      <c r="C183" s="50" t="s">
        <v>153</v>
      </c>
      <c r="D183" s="50"/>
      <c r="E183" s="32">
        <f t="shared" ref="E183:J183" si="39">E145</f>
        <v>5234</v>
      </c>
      <c r="F183" s="32">
        <f t="shared" si="39"/>
        <v>5469.904084200356</v>
      </c>
      <c r="G183" s="32">
        <f t="shared" si="39"/>
        <v>5908.6873166291407</v>
      </c>
      <c r="H183" s="32">
        <f t="shared" si="39"/>
        <v>6423.8472164959658</v>
      </c>
      <c r="I183" s="32">
        <f t="shared" si="39"/>
        <v>6921.2988247926769</v>
      </c>
      <c r="J183" s="32">
        <f t="shared" si="39"/>
        <v>7408.6491078299132</v>
      </c>
      <c r="K183" s="95"/>
      <c r="L183" s="50"/>
      <c r="M183" s="15"/>
    </row>
    <row r="184" spans="1:13">
      <c r="A184" s="50"/>
      <c r="B184" s="50"/>
      <c r="C184" s="50" t="s">
        <v>107</v>
      </c>
      <c r="D184" s="50"/>
      <c r="E184" s="96">
        <f t="shared" ref="E184:J184" si="40">E183</f>
        <v>5234</v>
      </c>
      <c r="F184" s="96">
        <f t="shared" si="40"/>
        <v>5469.904084200356</v>
      </c>
      <c r="G184" s="96">
        <f t="shared" si="40"/>
        <v>5908.6873166291407</v>
      </c>
      <c r="H184" s="96">
        <f t="shared" si="40"/>
        <v>6423.8472164959658</v>
      </c>
      <c r="I184" s="96">
        <f t="shared" si="40"/>
        <v>6921.2988247926769</v>
      </c>
      <c r="J184" s="96">
        <f t="shared" si="40"/>
        <v>7408.6491078299132</v>
      </c>
      <c r="K184" s="95"/>
      <c r="L184" s="50"/>
      <c r="M184" s="15"/>
    </row>
    <row r="185" spans="1:13">
      <c r="A185" s="50"/>
      <c r="B185" s="50"/>
      <c r="C185" s="50"/>
      <c r="D185" s="50"/>
      <c r="E185" s="50"/>
      <c r="F185" s="96"/>
      <c r="G185" s="96"/>
      <c r="H185" s="96"/>
      <c r="I185" s="96"/>
      <c r="J185" s="96"/>
      <c r="K185" s="95"/>
      <c r="L185" s="50"/>
      <c r="M185" s="15"/>
    </row>
    <row r="186" spans="1:13" ht="15.75">
      <c r="A186" s="50"/>
      <c r="B186" s="50"/>
      <c r="C186" s="121" t="s">
        <v>122</v>
      </c>
      <c r="D186" s="50"/>
      <c r="E186" s="50"/>
      <c r="F186" s="96"/>
      <c r="G186" s="96"/>
      <c r="H186" s="96"/>
      <c r="I186" s="96"/>
      <c r="J186" s="96"/>
      <c r="K186" s="95"/>
      <c r="L186" s="27"/>
      <c r="M186" s="15"/>
    </row>
    <row r="187" spans="1:13">
      <c r="A187" s="50"/>
      <c r="B187" s="50"/>
      <c r="C187" s="50" t="s">
        <v>122</v>
      </c>
      <c r="D187" s="50"/>
      <c r="E187" s="32">
        <f t="shared" ref="E187:J187" si="41">E43</f>
        <v>0</v>
      </c>
      <c r="F187" s="32">
        <f t="shared" si="41"/>
        <v>0</v>
      </c>
      <c r="G187" s="32">
        <f t="shared" si="41"/>
        <v>0</v>
      </c>
      <c r="H187" s="32">
        <f t="shared" si="41"/>
        <v>0</v>
      </c>
      <c r="I187" s="32">
        <f t="shared" si="41"/>
        <v>0</v>
      </c>
      <c r="J187" s="32">
        <f t="shared" si="41"/>
        <v>0</v>
      </c>
      <c r="K187" s="95"/>
      <c r="L187" s="125"/>
      <c r="M187" s="15"/>
    </row>
    <row r="188" spans="1:13">
      <c r="A188" s="50"/>
      <c r="B188" s="50"/>
      <c r="C188" s="50"/>
      <c r="D188" s="50"/>
      <c r="E188" s="50"/>
      <c r="F188" s="96"/>
      <c r="G188" s="96"/>
      <c r="H188" s="96"/>
      <c r="I188" s="96"/>
      <c r="J188" s="96"/>
      <c r="K188" s="95"/>
      <c r="L188" s="27"/>
      <c r="M188" s="15"/>
    </row>
    <row r="189" spans="1:13" ht="15.75">
      <c r="A189" s="50"/>
      <c r="B189" s="50"/>
      <c r="C189" s="162" t="s">
        <v>179</v>
      </c>
      <c r="D189" s="50"/>
      <c r="E189" s="32">
        <f t="shared" ref="E189:J189" si="42">E28</f>
        <v>11132.692409059506</v>
      </c>
      <c r="F189" s="32">
        <f t="shared" si="42"/>
        <v>11455.313947654389</v>
      </c>
      <c r="G189" s="32">
        <f t="shared" si="42"/>
        <v>11810.885137932219</v>
      </c>
      <c r="H189" s="32">
        <f t="shared" si="42"/>
        <v>12076.669012581377</v>
      </c>
      <c r="I189" s="32">
        <f t="shared" si="42"/>
        <v>12398.844298537073</v>
      </c>
      <c r="J189" s="32">
        <f t="shared" si="42"/>
        <v>12757.926710288963</v>
      </c>
      <c r="K189" s="95"/>
      <c r="L189" s="125"/>
      <c r="M189" s="15"/>
    </row>
    <row r="190" spans="1:13">
      <c r="A190" s="50"/>
      <c r="B190" s="50"/>
      <c r="C190" s="50" t="s">
        <v>180</v>
      </c>
      <c r="D190" s="50"/>
      <c r="E190" s="32">
        <f t="shared" ref="E190:J190" si="43">E189*$D$46</f>
        <v>11609.265985712145</v>
      </c>
      <c r="F190" s="32">
        <f t="shared" si="43"/>
        <v>11945.698460143918</v>
      </c>
      <c r="G190" s="32">
        <f t="shared" si="43"/>
        <v>12316.491110575216</v>
      </c>
      <c r="H190" s="32">
        <f t="shared" si="43"/>
        <v>12593.652787386147</v>
      </c>
      <c r="I190" s="32">
        <f t="shared" si="43"/>
        <v>12929.619905784106</v>
      </c>
      <c r="J190" s="32">
        <f t="shared" si="43"/>
        <v>13304.074087723628</v>
      </c>
      <c r="K190" s="95"/>
      <c r="L190" s="125"/>
      <c r="M190" s="15"/>
    </row>
    <row r="191" spans="1:13">
      <c r="A191" s="50"/>
      <c r="B191" s="50"/>
      <c r="C191" s="50"/>
      <c r="D191" s="50"/>
      <c r="E191" s="50"/>
      <c r="F191" s="96"/>
      <c r="G191" s="32"/>
      <c r="H191" s="32"/>
      <c r="I191" s="32"/>
      <c r="J191" s="32"/>
      <c r="K191" s="95"/>
      <c r="L191" s="27"/>
      <c r="M191" s="15"/>
    </row>
    <row r="192" spans="1:13" ht="15.75">
      <c r="A192" s="50"/>
      <c r="B192" s="50"/>
      <c r="C192" s="162" t="s">
        <v>229</v>
      </c>
      <c r="D192" s="50"/>
      <c r="E192" s="50"/>
      <c r="F192" s="50"/>
      <c r="G192" s="50"/>
      <c r="H192" s="50"/>
      <c r="I192" s="50"/>
      <c r="J192" s="50"/>
      <c r="K192" s="95"/>
      <c r="L192" s="125"/>
      <c r="M192" s="15"/>
    </row>
    <row r="193" spans="1:15">
      <c r="A193" s="50"/>
      <c r="B193" s="50"/>
      <c r="C193" s="50" t="s">
        <v>169</v>
      </c>
      <c r="D193" s="50"/>
      <c r="E193" s="31">
        <f t="shared" ref="E193:J193" si="44">E168-E165</f>
        <v>-624.10384615384612</v>
      </c>
      <c r="F193" s="31">
        <f t="shared" si="44"/>
        <v>-648.27012095897783</v>
      </c>
      <c r="G193" s="31">
        <f t="shared" si="44"/>
        <v>-763.75156499938362</v>
      </c>
      <c r="H193" s="31">
        <f t="shared" si="44"/>
        <v>-932.0156848415254</v>
      </c>
      <c r="I193" s="31">
        <f t="shared" si="44"/>
        <v>-1061.5858358249943</v>
      </c>
      <c r="J193" s="31">
        <f t="shared" si="44"/>
        <v>-1163.4961089545482</v>
      </c>
      <c r="K193" s="95"/>
      <c r="L193" s="125"/>
      <c r="M193" s="15"/>
    </row>
    <row r="194" spans="1:15">
      <c r="A194" s="50"/>
      <c r="B194" s="50"/>
      <c r="C194" s="50" t="s">
        <v>170</v>
      </c>
      <c r="D194" s="50"/>
      <c r="E194" s="50"/>
      <c r="F194" s="31">
        <f>(F175+F184+F190+((F187-F189-F145-F152+F180)*F53+F193)*$D47-F193-F187*$D49)/($D50-F53*$D47)</f>
        <v>30266.905518078613</v>
      </c>
      <c r="G194" s="31">
        <f>(G175+G184+G190+((G187-G189-G145-G152+G180)*G53+G193)*$D47-G193-G187*$D49)/($D50-G53*$D47)</f>
        <v>30780.090111608184</v>
      </c>
      <c r="H194" s="31">
        <f>(H175+H184+H190+((H187-H189-H145-H152+H180)*H53+H193)*$D47-H193-H187*$D49)/($D50-H53*$D47)</f>
        <v>32803.147738969463</v>
      </c>
      <c r="I194" s="31">
        <f>(I175+I184+I190+((I187-I189-I145-I152+I180)*I53+I193)*$D47-I193-I187*$D49)/($D50-I53*$D47)</f>
        <v>34830.142657872246</v>
      </c>
      <c r="J194" s="31">
        <f>(J175+J184+J190+((J187-J189-J145-J152+J180)*J53+J193)*$D47-J193-J187*$D49)/($D50-J53*$D47)</f>
        <v>36924.600536609032</v>
      </c>
      <c r="K194" s="95"/>
      <c r="L194" s="125"/>
      <c r="M194" s="15"/>
    </row>
    <row r="195" spans="1:15">
      <c r="A195" s="50"/>
      <c r="B195" s="50"/>
      <c r="C195" s="50" t="s">
        <v>177</v>
      </c>
      <c r="D195" s="50"/>
      <c r="E195" s="50"/>
      <c r="F195" s="31">
        <f>(F194+F187-F189-F183-F152+F180)*F53</f>
        <v>3623.5384058185341</v>
      </c>
      <c r="G195" s="31">
        <f>(G194+G187-G189-G183-G152+G180)*G53</f>
        <v>3223.6678448382413</v>
      </c>
      <c r="H195" s="31">
        <f>(H194+H187-H189-H183-H152+H180)*H53</f>
        <v>3481.1955544284569</v>
      </c>
      <c r="I195" s="31">
        <f>(I194+I187-I189-I183-I152+I180)*I53</f>
        <v>3744.893273440166</v>
      </c>
      <c r="J195" s="31">
        <f>(J194+J187-J189-J183-J152+J180)*J53</f>
        <v>4031.2847199781759</v>
      </c>
      <c r="K195" s="95"/>
      <c r="L195" s="125"/>
      <c r="M195" s="15"/>
    </row>
    <row r="196" spans="1:15">
      <c r="A196" s="50"/>
      <c r="B196" s="50"/>
      <c r="C196" s="50" t="s">
        <v>162</v>
      </c>
      <c r="D196" s="50"/>
      <c r="E196" s="50"/>
      <c r="F196" s="31">
        <f>IF(F195&lt;0,#N/A,F195)</f>
        <v>3623.5384058185341</v>
      </c>
      <c r="G196" s="31">
        <f>IF(G195&lt;0,#N/A,G195)</f>
        <v>3223.6678448382413</v>
      </c>
      <c r="H196" s="31">
        <f>IF(H195&lt;0,#N/A,H195)</f>
        <v>3481.1955544284569</v>
      </c>
      <c r="I196" s="31">
        <f>IF(I195&lt;0,#N/A,I195)</f>
        <v>3744.893273440166</v>
      </c>
      <c r="J196" s="31">
        <f>IF(J195&lt;0,#N/A,J195)</f>
        <v>4031.2847199781759</v>
      </c>
      <c r="K196" s="95"/>
      <c r="L196" s="50"/>
      <c r="M196" s="15"/>
    </row>
    <row r="197" spans="1:15">
      <c r="A197" s="50"/>
      <c r="B197" s="50"/>
      <c r="C197" s="50" t="s">
        <v>171</v>
      </c>
      <c r="D197" s="50"/>
      <c r="E197" s="50"/>
      <c r="F197" s="31">
        <f>F175+F184+F190+(F196+F193)*$D$47-F193-F187*$D$49</f>
        <v>31316.3921310195</v>
      </c>
      <c r="G197" s="31">
        <f>G175+G184+G190+(G196+G193)*$D$47-G193-G187*$D$49</f>
        <v>31847.37108943897</v>
      </c>
      <c r="H197" s="31">
        <f>H175+H184+H190+(H196+H193)*$D$47-H193-H187*$D$49</f>
        <v>33940.577014446848</v>
      </c>
      <c r="I197" s="31">
        <f>I175+I184+I190+(I196+I193)*$D$47-I193-I187*$D$49</f>
        <v>36037.856754195192</v>
      </c>
      <c r="J197" s="31">
        <f>J175+J184+J190+(J196+J193)*$D$47-J193-J187*$D$49</f>
        <v>38204.938691040261</v>
      </c>
      <c r="K197" s="95"/>
      <c r="L197" s="27"/>
      <c r="M197" s="15"/>
    </row>
    <row r="198" spans="1:15">
      <c r="A198" s="50"/>
      <c r="B198" s="50"/>
      <c r="C198" s="50" t="s">
        <v>172</v>
      </c>
      <c r="D198" s="50"/>
      <c r="E198" s="50"/>
      <c r="F198" s="31">
        <f>F197/$D$50</f>
        <v>30266.905518078613</v>
      </c>
      <c r="G198" s="31">
        <f>G197/$D$50</f>
        <v>30780.090111608184</v>
      </c>
      <c r="H198" s="31">
        <f>H197/$D$50</f>
        <v>32803.147738969463</v>
      </c>
      <c r="I198" s="31">
        <f>I197/$D$50</f>
        <v>34830.142657872246</v>
      </c>
      <c r="J198" s="31">
        <f>J197/$D$50</f>
        <v>36924.600536609032</v>
      </c>
      <c r="K198" s="95"/>
      <c r="L198" s="50"/>
      <c r="M198" s="15"/>
    </row>
    <row r="199" spans="1:15">
      <c r="A199" s="50"/>
      <c r="B199" s="50"/>
      <c r="C199" s="50" t="s">
        <v>173</v>
      </c>
      <c r="D199" s="50"/>
      <c r="E199" s="50"/>
      <c r="F199" s="31">
        <f>F194-F198</f>
        <v>0</v>
      </c>
      <c r="G199" s="31">
        <f>G194-G198</f>
        <v>0</v>
      </c>
      <c r="H199" s="31">
        <f>H194-H198</f>
        <v>0</v>
      </c>
      <c r="I199" s="31">
        <f>I194-I198</f>
        <v>0</v>
      </c>
      <c r="J199" s="31">
        <f>J194-J198</f>
        <v>0</v>
      </c>
      <c r="K199" s="95"/>
      <c r="L199" s="27"/>
      <c r="M199" s="15"/>
    </row>
    <row r="200" spans="1:15">
      <c r="A200" s="50"/>
      <c r="B200" s="50"/>
      <c r="C200" s="50"/>
      <c r="D200" s="50"/>
      <c r="E200" s="50"/>
      <c r="F200" s="50"/>
      <c r="G200" s="50"/>
      <c r="H200" s="50"/>
      <c r="I200" s="50"/>
      <c r="J200" s="50"/>
      <c r="K200" s="50"/>
      <c r="L200" s="50"/>
      <c r="M200" s="15"/>
    </row>
    <row r="201" spans="1:15" ht="15.75">
      <c r="A201" s="50"/>
      <c r="B201" s="50"/>
      <c r="C201" s="162" t="s">
        <v>174</v>
      </c>
      <c r="D201" s="50"/>
      <c r="E201" s="50"/>
      <c r="F201" s="31"/>
      <c r="G201" s="31"/>
      <c r="H201" s="31"/>
      <c r="I201" s="31"/>
      <c r="J201" s="50"/>
      <c r="K201" s="95"/>
      <c r="L201" s="27"/>
      <c r="M201" s="15"/>
    </row>
    <row r="202" spans="1:15">
      <c r="A202" s="50"/>
      <c r="B202" s="50"/>
      <c r="C202" s="95" t="s">
        <v>103</v>
      </c>
      <c r="D202" s="50"/>
      <c r="E202" s="50"/>
      <c r="F202" s="31"/>
      <c r="G202" s="31"/>
      <c r="H202" s="31"/>
      <c r="I202" s="31"/>
      <c r="J202" s="50"/>
      <c r="K202" s="95"/>
      <c r="L202" s="50"/>
      <c r="M202" s="15"/>
      <c r="O202" s="8"/>
    </row>
    <row r="203" spans="1:15">
      <c r="A203" s="50"/>
      <c r="B203" s="50"/>
      <c r="C203" s="50" t="s">
        <v>175</v>
      </c>
      <c r="D203" s="50"/>
      <c r="E203" s="50"/>
      <c r="F203" s="50"/>
      <c r="G203" s="50"/>
      <c r="H203" s="31">
        <v>1</v>
      </c>
      <c r="I203" s="31">
        <v>2</v>
      </c>
      <c r="J203" s="31">
        <v>3</v>
      </c>
      <c r="K203" s="95"/>
      <c r="L203" s="27"/>
      <c r="M203" s="15"/>
    </row>
    <row r="204" spans="1:15">
      <c r="A204" s="50"/>
      <c r="B204" s="50" t="s">
        <v>135</v>
      </c>
      <c r="C204" s="50" t="s">
        <v>136</v>
      </c>
      <c r="D204" s="50"/>
      <c r="E204" s="50"/>
      <c r="F204" s="31"/>
      <c r="G204" s="31"/>
      <c r="H204" s="31">
        <f>H197</f>
        <v>33940.577014446848</v>
      </c>
      <c r="I204" s="31">
        <f>I197</f>
        <v>36037.856754195192</v>
      </c>
      <c r="J204" s="31">
        <f>J197</f>
        <v>38204.938691040261</v>
      </c>
      <c r="K204" s="95"/>
      <c r="L204" s="50"/>
      <c r="M204" s="15"/>
    </row>
    <row r="205" spans="1:15">
      <c r="A205" s="50"/>
      <c r="B205" s="50" t="s">
        <v>135</v>
      </c>
      <c r="C205" s="50" t="s">
        <v>137</v>
      </c>
      <c r="D205" s="50"/>
      <c r="E205" s="50"/>
      <c r="F205" s="31"/>
      <c r="G205" s="31"/>
      <c r="H205" s="31">
        <f>H204/(1+WACC)^H$203</f>
        <v>31203.987325960148</v>
      </c>
      <c r="I205" s="31">
        <f>I204/(1+WACC)^I$203</f>
        <v>30460.757389394017</v>
      </c>
      <c r="J205" s="31">
        <f>J204/(1+WACC)^J$203</f>
        <v>29688.764275455233</v>
      </c>
      <c r="K205" s="95"/>
      <c r="L205" s="50"/>
      <c r="M205" s="15"/>
    </row>
    <row r="206" spans="1:15">
      <c r="A206" s="50"/>
      <c r="B206" s="50" t="s">
        <v>135</v>
      </c>
      <c r="C206" s="50" t="s">
        <v>101</v>
      </c>
      <c r="D206" s="31">
        <f>SUM(H205:J205)</f>
        <v>91353.508990809394</v>
      </c>
      <c r="E206" s="50"/>
      <c r="F206" s="31"/>
      <c r="G206" s="31"/>
      <c r="H206" s="31"/>
      <c r="I206" s="31"/>
      <c r="J206" s="31"/>
      <c r="K206" s="95"/>
      <c r="L206" s="50"/>
      <c r="M206" s="15"/>
    </row>
    <row r="207" spans="1:15">
      <c r="A207" s="50"/>
      <c r="B207" s="50"/>
      <c r="C207" s="50"/>
      <c r="D207" s="50"/>
      <c r="E207" s="50"/>
      <c r="F207" s="123"/>
      <c r="G207" s="50"/>
      <c r="H207" s="50"/>
      <c r="I207" s="50"/>
      <c r="J207" s="50"/>
      <c r="K207" s="95"/>
      <c r="L207" s="50"/>
      <c r="M207" s="15"/>
    </row>
    <row r="208" spans="1:15" ht="21">
      <c r="A208" s="50"/>
      <c r="B208" s="50"/>
      <c r="C208" s="155" t="s">
        <v>104</v>
      </c>
      <c r="D208" s="50"/>
      <c r="E208" s="50"/>
      <c r="F208" s="123"/>
      <c r="G208" s="50"/>
      <c r="H208" s="50"/>
      <c r="I208" s="50"/>
      <c r="J208" s="50"/>
      <c r="K208" s="95"/>
      <c r="L208" s="50"/>
      <c r="M208" s="15"/>
    </row>
    <row r="209" spans="1:13" ht="15.75">
      <c r="A209" s="50"/>
      <c r="B209" s="50"/>
      <c r="C209" s="50"/>
      <c r="D209" s="50"/>
      <c r="E209" s="162" t="str">
        <f>Inputs!D$11</f>
        <v>2009/10</v>
      </c>
      <c r="F209" s="168" t="str">
        <f>Inputs!E$11</f>
        <v>2010/11</v>
      </c>
      <c r="G209" s="162" t="str">
        <f>Inputs!F$11</f>
        <v>2011/12</v>
      </c>
      <c r="H209" s="162" t="str">
        <f>Inputs!G$11</f>
        <v>2012/13</v>
      </c>
      <c r="I209" s="162" t="str">
        <f>Inputs!H$11</f>
        <v>2013/14</v>
      </c>
      <c r="J209" s="162" t="str">
        <f>Inputs!I$11</f>
        <v>2014/15</v>
      </c>
      <c r="K209" s="95"/>
      <c r="L209" s="50"/>
      <c r="M209" s="15"/>
    </row>
    <row r="210" spans="1:13">
      <c r="A210" s="50"/>
      <c r="B210" s="50"/>
      <c r="C210" s="50" t="s">
        <v>53</v>
      </c>
      <c r="D210" s="32">
        <f>D206</f>
        <v>91353.508990809394</v>
      </c>
      <c r="E210" s="50"/>
      <c r="F210" s="169"/>
      <c r="G210" s="32"/>
      <c r="H210" s="32"/>
      <c r="I210" s="32"/>
      <c r="J210" s="32"/>
      <c r="K210" s="95"/>
      <c r="L210" s="50"/>
      <c r="M210" s="15"/>
    </row>
    <row r="211" spans="1:13">
      <c r="A211" s="50"/>
      <c r="B211" s="50"/>
      <c r="C211" s="50" t="s">
        <v>143</v>
      </c>
      <c r="D211" s="50"/>
      <c r="E211" s="50"/>
      <c r="F211" s="113"/>
      <c r="G211" s="113"/>
      <c r="H211" s="170">
        <v>1</v>
      </c>
      <c r="I211" s="113">
        <f>H211*(1+I$35)*(1+I$30)*(1-X_industry_wide)</f>
        <v>1.0269100815451042</v>
      </c>
      <c r="J211" s="113">
        <f>I211*(1+J$35)*(1+J$30)*(1-X_industry_wide)</f>
        <v>1.0529009676923735</v>
      </c>
      <c r="K211" s="95"/>
      <c r="L211" s="50" t="s">
        <v>290</v>
      </c>
    </row>
    <row r="212" spans="1:13">
      <c r="A212" s="50"/>
      <c r="B212" s="50"/>
      <c r="C212" s="50" t="s">
        <v>102</v>
      </c>
      <c r="D212" s="50"/>
      <c r="E212" s="50"/>
      <c r="F212" s="171"/>
      <c r="G212" s="113"/>
      <c r="H212" s="113">
        <f>H211/(1+WACC)^H$203</f>
        <v>0.91937115013330895</v>
      </c>
      <c r="I212" s="113">
        <f>I211/(1+WACC)^I$203</f>
        <v>0.86798887814067538</v>
      </c>
      <c r="J212" s="113">
        <f>J211/(1+WACC)^J$203</f>
        <v>0.81820125110025244</v>
      </c>
      <c r="K212" s="95"/>
      <c r="L212" s="50" t="s">
        <v>165</v>
      </c>
    </row>
    <row r="213" spans="1:13">
      <c r="A213" s="50"/>
      <c r="B213" s="50"/>
      <c r="C213" s="50" t="s">
        <v>91</v>
      </c>
      <c r="D213" s="113">
        <f>SUM(H212:J212)</f>
        <v>2.6055612793742369</v>
      </c>
      <c r="E213" s="50"/>
      <c r="F213" s="171"/>
      <c r="G213" s="113"/>
      <c r="H213" s="113"/>
      <c r="I213" s="113"/>
      <c r="J213" s="113"/>
      <c r="K213" s="95"/>
      <c r="L213" s="50" t="s">
        <v>279</v>
      </c>
    </row>
    <row r="214" spans="1:13">
      <c r="A214" s="50"/>
      <c r="B214" s="50"/>
      <c r="C214" s="50" t="s">
        <v>142</v>
      </c>
      <c r="D214" s="32">
        <f>D210/D213</f>
        <v>35060.971205693255</v>
      </c>
      <c r="E214" s="50"/>
      <c r="F214" s="171"/>
      <c r="G214" s="113"/>
      <c r="H214" s="31"/>
      <c r="I214" s="31"/>
      <c r="J214" s="31"/>
      <c r="K214" s="95"/>
      <c r="L214" s="31"/>
    </row>
    <row r="215" spans="1:13">
      <c r="A215" s="50"/>
      <c r="B215" s="50"/>
      <c r="C215" s="50" t="s">
        <v>138</v>
      </c>
      <c r="D215" s="32"/>
      <c r="E215" s="50"/>
      <c r="F215" s="171"/>
      <c r="G215" s="113"/>
      <c r="H215" s="31">
        <f>$D214*H211</f>
        <v>35060.971205693255</v>
      </c>
      <c r="I215" s="31">
        <f>$D214*I211</f>
        <v>36004.464799889014</v>
      </c>
      <c r="J215" s="31">
        <f>$D214*J211</f>
        <v>36915.730510708869</v>
      </c>
      <c r="K215" s="95"/>
      <c r="L215" s="50" t="s">
        <v>131</v>
      </c>
    </row>
    <row r="216" spans="1:13">
      <c r="A216" s="50"/>
      <c r="B216" s="50"/>
      <c r="C216" s="50" t="s">
        <v>139</v>
      </c>
      <c r="D216" s="32"/>
      <c r="E216" s="50"/>
      <c r="F216" s="171"/>
      <c r="G216" s="113"/>
      <c r="H216" s="54">
        <f>H215/$D$50</f>
        <v>33885.994862213578</v>
      </c>
      <c r="I216" s="54">
        <f>I215/$D$50</f>
        <v>34797.86974719273</v>
      </c>
      <c r="J216" s="54">
        <f>J215/$D$50</f>
        <v>35678.596781643471</v>
      </c>
      <c r="K216" s="95"/>
      <c r="L216" s="50" t="s">
        <v>133</v>
      </c>
    </row>
    <row r="217" spans="1:13">
      <c r="A217" s="50"/>
      <c r="B217" s="50"/>
      <c r="C217" s="50" t="s">
        <v>140</v>
      </c>
      <c r="D217" s="50"/>
      <c r="E217" s="50"/>
      <c r="F217" s="171"/>
      <c r="G217" s="113"/>
      <c r="H217" s="31">
        <f>H215/(1+WACC)^H$203</f>
        <v>32234.045422169034</v>
      </c>
      <c r="I217" s="31">
        <f>I215/(1+WACC)^I$203</f>
        <v>30432.533063352214</v>
      </c>
      <c r="J217" s="31">
        <f>J215/(1+WACC)^J$203</f>
        <v>28686.930505288146</v>
      </c>
      <c r="K217" s="95"/>
      <c r="L217" s="50" t="s">
        <v>181</v>
      </c>
    </row>
    <row r="218" spans="1:13">
      <c r="A218" s="50"/>
      <c r="B218" s="50"/>
      <c r="C218" s="50" t="s">
        <v>141</v>
      </c>
      <c r="D218" s="32">
        <f>SUM(H217:J217)</f>
        <v>91353.508990809394</v>
      </c>
      <c r="E218" s="50"/>
      <c r="F218" s="171"/>
      <c r="G218" s="113"/>
      <c r="H218" s="31"/>
      <c r="I218" s="31"/>
      <c r="J218" s="31"/>
      <c r="K218" s="95"/>
      <c r="L218" s="50" t="s">
        <v>134</v>
      </c>
      <c r="M218" s="15"/>
    </row>
    <row r="219" spans="1:13">
      <c r="A219" s="50"/>
      <c r="B219" s="50"/>
      <c r="C219" s="50" t="s">
        <v>132</v>
      </c>
      <c r="D219" s="172">
        <f>D210-D218</f>
        <v>0</v>
      </c>
      <c r="E219" s="50"/>
      <c r="F219" s="171"/>
      <c r="G219" s="113"/>
      <c r="H219" s="31"/>
      <c r="I219" s="31"/>
      <c r="J219" s="31"/>
      <c r="K219" s="95"/>
      <c r="L219" s="50"/>
      <c r="M219" s="15"/>
    </row>
    <row r="220" spans="1:13">
      <c r="A220" s="50"/>
      <c r="B220" s="50"/>
      <c r="C220" s="50" t="s">
        <v>202</v>
      </c>
      <c r="D220" s="32">
        <f>SUM(I217:J217)</f>
        <v>59119.463568640364</v>
      </c>
      <c r="E220" s="50"/>
      <c r="F220" s="171"/>
      <c r="G220" s="113"/>
      <c r="H220" s="31"/>
      <c r="I220" s="31"/>
      <c r="J220" s="31"/>
      <c r="K220" s="95"/>
      <c r="L220" s="27"/>
      <c r="M220" s="15"/>
    </row>
    <row r="221" spans="1:13">
      <c r="A221" s="50"/>
      <c r="B221" s="50"/>
      <c r="C221" s="50"/>
      <c r="D221" s="31"/>
      <c r="E221" s="50"/>
      <c r="F221" s="123"/>
      <c r="G221" s="50"/>
      <c r="H221" s="50"/>
      <c r="I221" s="50"/>
      <c r="J221" s="50"/>
      <c r="K221" s="95"/>
      <c r="L221" s="50"/>
      <c r="M221" s="15"/>
    </row>
    <row r="222" spans="1:13" ht="21">
      <c r="A222" s="50"/>
      <c r="B222" s="50"/>
      <c r="C222" s="155" t="s">
        <v>113</v>
      </c>
      <c r="D222" s="155"/>
      <c r="E222" s="155"/>
      <c r="F222" s="155"/>
      <c r="G222" s="155"/>
      <c r="H222" s="50"/>
      <c r="I222" s="50"/>
      <c r="J222" s="50"/>
      <c r="K222" s="173"/>
      <c r="L222" s="174"/>
      <c r="M222" s="53"/>
    </row>
    <row r="223" spans="1:13" ht="15.75">
      <c r="A223" s="50"/>
      <c r="B223" s="50"/>
      <c r="C223" s="50"/>
      <c r="D223" s="50"/>
      <c r="E223" s="162" t="str">
        <f>Inputs!D$11</f>
        <v>2009/10</v>
      </c>
      <c r="F223" s="168" t="str">
        <f>Inputs!E$11</f>
        <v>2010/11</v>
      </c>
      <c r="G223" s="162" t="str">
        <f>Inputs!F$11</f>
        <v>2011/12</v>
      </c>
      <c r="H223" s="162" t="str">
        <f>Inputs!G$11</f>
        <v>2012/13</v>
      </c>
      <c r="I223" s="162" t="str">
        <f>Inputs!H$11</f>
        <v>2013/14</v>
      </c>
      <c r="J223" s="162" t="str">
        <f>Inputs!I$11</f>
        <v>2014/15</v>
      </c>
      <c r="K223" s="95"/>
      <c r="L223" s="50"/>
      <c r="M223" s="15"/>
    </row>
    <row r="224" spans="1:13" ht="15.75">
      <c r="A224" s="50"/>
      <c r="B224" s="50"/>
      <c r="C224" s="175" t="s">
        <v>318</v>
      </c>
      <c r="D224" s="50"/>
      <c r="E224" s="162"/>
      <c r="F224" s="95"/>
      <c r="G224" s="95"/>
      <c r="H224" s="95"/>
      <c r="I224" s="95"/>
      <c r="J224" s="95"/>
      <c r="K224" s="95"/>
      <c r="L224" s="50"/>
      <c r="M224" s="15"/>
    </row>
    <row r="225" spans="1:13" ht="15.75">
      <c r="A225" s="50"/>
      <c r="B225" s="50"/>
      <c r="C225" s="175" t="s">
        <v>204</v>
      </c>
      <c r="D225" s="50"/>
      <c r="E225" s="162"/>
      <c r="F225" s="95"/>
      <c r="G225" s="95"/>
      <c r="H225" s="95"/>
      <c r="I225" s="95"/>
      <c r="J225" s="95"/>
      <c r="K225" s="95"/>
      <c r="L225" s="50"/>
      <c r="M225" s="15"/>
    </row>
    <row r="226" spans="1:13">
      <c r="A226" s="50"/>
      <c r="B226" s="50" t="s">
        <v>150</v>
      </c>
      <c r="C226" s="50" t="s">
        <v>203</v>
      </c>
      <c r="D226" s="32">
        <f>D220</f>
        <v>59119.463568640364</v>
      </c>
      <c r="E226" s="50"/>
      <c r="F226" s="169"/>
      <c r="G226" s="32"/>
      <c r="H226" s="32"/>
      <c r="I226" s="32"/>
      <c r="J226" s="32"/>
      <c r="K226" s="95"/>
      <c r="L226" s="50"/>
      <c r="M226" s="15"/>
    </row>
    <row r="227" spans="1:13">
      <c r="A227" s="32"/>
      <c r="B227" s="50" t="s">
        <v>150</v>
      </c>
      <c r="C227" s="50" t="s">
        <v>319</v>
      </c>
      <c r="D227" s="49">
        <f>IF(E26="IWX",X_industry_wide,E26)</f>
        <v>-0.1</v>
      </c>
      <c r="E227" s="32"/>
      <c r="F227" s="49"/>
      <c r="G227" s="49"/>
      <c r="H227" s="49"/>
      <c r="I227" s="49"/>
      <c r="J227" s="49"/>
      <c r="K227" s="95"/>
      <c r="L227" s="50"/>
      <c r="M227" s="15"/>
    </row>
    <row r="228" spans="1:13">
      <c r="A228" s="50"/>
      <c r="B228" s="50" t="s">
        <v>150</v>
      </c>
      <c r="C228" s="50" t="s">
        <v>143</v>
      </c>
      <c r="D228" s="50"/>
      <c r="E228" s="50"/>
      <c r="F228" s="171"/>
      <c r="G228" s="113"/>
      <c r="H228" s="113"/>
      <c r="I228" s="113">
        <v>1</v>
      </c>
      <c r="J228" s="113">
        <f>I228*(1+J$35)*(1+J$30)*(1-D227)</f>
        <v>1.1278407771778609</v>
      </c>
      <c r="K228" s="95"/>
      <c r="L228" s="50" t="s">
        <v>278</v>
      </c>
    </row>
    <row r="229" spans="1:13">
      <c r="A229" s="50"/>
      <c r="B229" s="50" t="s">
        <v>150</v>
      </c>
      <c r="C229" s="50" t="s">
        <v>102</v>
      </c>
      <c r="D229" s="50"/>
      <c r="E229" s="50"/>
      <c r="F229" s="171"/>
      <c r="G229" s="113"/>
      <c r="H229" s="113"/>
      <c r="I229" s="113">
        <f>I228/(1+WACC)^I$203</f>
        <v>0.84524331169744327</v>
      </c>
      <c r="J229" s="113">
        <f>J228/(1+WACC)^J$203</f>
        <v>0.8764364011852841</v>
      </c>
      <c r="K229" s="95"/>
      <c r="L229" s="50" t="s">
        <v>165</v>
      </c>
    </row>
    <row r="230" spans="1:13">
      <c r="A230" s="50"/>
      <c r="B230" s="50" t="s">
        <v>150</v>
      </c>
      <c r="C230" s="50" t="s">
        <v>91</v>
      </c>
      <c r="D230" s="113">
        <f>SUM(I229:J229)</f>
        <v>1.7216797128827275</v>
      </c>
      <c r="E230" s="50"/>
      <c r="F230" s="171"/>
      <c r="G230" s="113"/>
      <c r="H230" s="113"/>
      <c r="I230" s="113"/>
      <c r="J230" s="113"/>
      <c r="K230" s="95"/>
      <c r="L230" s="50" t="s">
        <v>279</v>
      </c>
    </row>
    <row r="231" spans="1:13">
      <c r="A231" s="50"/>
      <c r="B231" s="50" t="s">
        <v>150</v>
      </c>
      <c r="C231" s="50" t="s">
        <v>142</v>
      </c>
      <c r="D231" s="32">
        <f>D226/D230</f>
        <v>34338.247193290415</v>
      </c>
      <c r="E231" s="50"/>
      <c r="F231" s="171"/>
      <c r="G231" s="113"/>
      <c r="H231" s="31"/>
      <c r="I231" s="31"/>
      <c r="J231" s="31"/>
      <c r="K231" s="95"/>
      <c r="L231" s="50"/>
    </row>
    <row r="232" spans="1:13">
      <c r="A232" s="50"/>
      <c r="B232" s="50" t="s">
        <v>150</v>
      </c>
      <c r="C232" s="50" t="s">
        <v>138</v>
      </c>
      <c r="D232" s="32"/>
      <c r="E232" s="50"/>
      <c r="F232" s="171"/>
      <c r="G232" s="113"/>
      <c r="H232" s="31">
        <f>H215</f>
        <v>35060.971205693255</v>
      </c>
      <c r="I232" s="31">
        <f>$D231*I228</f>
        <v>34338.247193290415</v>
      </c>
      <c r="J232" s="31">
        <f>$D231*J228</f>
        <v>38728.07540140616</v>
      </c>
      <c r="K232" s="95"/>
      <c r="L232" s="50" t="s">
        <v>131</v>
      </c>
    </row>
    <row r="233" spans="1:13">
      <c r="A233" s="50"/>
      <c r="B233" s="50" t="s">
        <v>150</v>
      </c>
      <c r="C233" s="50" t="s">
        <v>139</v>
      </c>
      <c r="D233" s="32"/>
      <c r="E233" s="50"/>
      <c r="F233" s="171"/>
      <c r="G233" s="113"/>
      <c r="H233" s="54">
        <f>H232/$D$50</f>
        <v>33885.994862213578</v>
      </c>
      <c r="I233" s="54">
        <f>I232/$D$50</f>
        <v>33187.491046463481</v>
      </c>
      <c r="J233" s="54">
        <f>J232/$D$50</f>
        <v>37430.205694426673</v>
      </c>
      <c r="K233" s="95"/>
      <c r="L233" s="50" t="s">
        <v>133</v>
      </c>
    </row>
    <row r="234" spans="1:13">
      <c r="A234" s="50"/>
      <c r="B234" s="50" t="s">
        <v>150</v>
      </c>
      <c r="C234" s="50" t="s">
        <v>209</v>
      </c>
      <c r="D234" s="50"/>
      <c r="E234" s="50"/>
      <c r="F234" s="171"/>
      <c r="G234" s="113"/>
      <c r="H234" s="31"/>
      <c r="I234" s="31">
        <f>I232/(1+WACC)^I$203</f>
        <v>29024.173775542229</v>
      </c>
      <c r="J234" s="31">
        <f>J232/(1+WACC)^J$203</f>
        <v>30095.289793098131</v>
      </c>
      <c r="K234" s="95"/>
      <c r="L234" s="50" t="s">
        <v>181</v>
      </c>
    </row>
    <row r="235" spans="1:13">
      <c r="A235" s="50"/>
      <c r="B235" s="50" t="s">
        <v>150</v>
      </c>
      <c r="C235" s="50" t="s">
        <v>390</v>
      </c>
      <c r="D235" s="32">
        <f>SUM(I234:J234)</f>
        <v>59119.463568640364</v>
      </c>
      <c r="E235" s="50"/>
      <c r="F235" s="50"/>
      <c r="G235" s="113"/>
      <c r="H235" s="31"/>
      <c r="I235" s="31"/>
      <c r="J235" s="31"/>
      <c r="K235" s="95"/>
      <c r="L235" s="50" t="s">
        <v>134</v>
      </c>
    </row>
    <row r="236" spans="1:13">
      <c r="A236" s="50"/>
      <c r="B236" s="50" t="s">
        <v>150</v>
      </c>
      <c r="C236" s="50" t="s">
        <v>132</v>
      </c>
      <c r="D236" s="172">
        <f>D226-D235</f>
        <v>0</v>
      </c>
      <c r="E236" s="50"/>
      <c r="F236" s="171"/>
      <c r="G236" s="113"/>
      <c r="H236" s="31"/>
      <c r="I236" s="31"/>
      <c r="J236" s="31"/>
      <c r="K236" s="95"/>
      <c r="L236" s="50"/>
      <c r="M236" s="15"/>
    </row>
    <row r="237" spans="1:13">
      <c r="A237" s="50"/>
      <c r="B237" s="119" t="s">
        <v>150</v>
      </c>
      <c r="C237" s="119" t="s">
        <v>190</v>
      </c>
      <c r="D237" s="119"/>
      <c r="E237" s="50"/>
      <c r="F237" s="176"/>
      <c r="G237" s="177"/>
      <c r="H237" s="178">
        <f>(H233+H187-H$189-H$183-H152+H$180)*H$53</f>
        <v>3784.3927489368089</v>
      </c>
      <c r="I237" s="178">
        <f>(I233+I187-I$189-I$183-I152+I$180)*I$53</f>
        <v>3284.9508222457121</v>
      </c>
      <c r="J237" s="178">
        <f>(J233+J187-J$189-J$183-J152+J$180)*J$53</f>
        <v>4172.8541641671154</v>
      </c>
      <c r="K237" s="54"/>
      <c r="L237" s="50"/>
      <c r="M237" s="15"/>
    </row>
    <row r="238" spans="1:13">
      <c r="A238" s="50"/>
      <c r="B238" s="119"/>
      <c r="C238" s="119"/>
      <c r="D238" s="119"/>
      <c r="E238" s="178"/>
      <c r="F238" s="176"/>
      <c r="G238" s="177"/>
      <c r="H238" s="178"/>
      <c r="I238" s="178"/>
      <c r="J238" s="178"/>
      <c r="K238" s="95"/>
      <c r="L238" s="50"/>
      <c r="M238" s="15"/>
    </row>
    <row r="239" spans="1:13" ht="21">
      <c r="A239" s="50"/>
      <c r="B239" s="50"/>
      <c r="C239" s="155" t="s">
        <v>199</v>
      </c>
      <c r="D239" s="155"/>
      <c r="E239" s="155"/>
      <c r="F239" s="155"/>
      <c r="G239" s="155"/>
      <c r="H239" s="155"/>
      <c r="I239" s="155"/>
      <c r="J239" s="50"/>
      <c r="K239" s="50"/>
      <c r="L239" s="50"/>
      <c r="M239" s="15"/>
    </row>
    <row r="240" spans="1:13">
      <c r="A240" s="50"/>
      <c r="B240" s="50"/>
      <c r="C240" s="50" t="s">
        <v>197</v>
      </c>
      <c r="D240" s="179"/>
      <c r="E240" s="50"/>
      <c r="F240" s="31">
        <f>G240/((1+G35)*(1+G30)*(1-X_industry_wide))</f>
        <v>32442.79950933484</v>
      </c>
      <c r="G240" s="31">
        <f>H240/((1+H35)*(1+H30)*(1-X_industry_wide))</f>
        <v>33095.589798753907</v>
      </c>
      <c r="H240" s="31">
        <f>H233</f>
        <v>33885.994862213578</v>
      </c>
      <c r="I240" s="50"/>
      <c r="J240" s="50"/>
      <c r="K240" s="50"/>
      <c r="L240" s="50"/>
      <c r="M240" s="15"/>
    </row>
    <row r="241" spans="1:13">
      <c r="A241" s="50"/>
      <c r="B241" s="50"/>
      <c r="C241" s="50"/>
      <c r="D241" s="179"/>
      <c r="E241" s="50"/>
      <c r="F241" s="31"/>
      <c r="G241" s="31"/>
      <c r="H241" s="31"/>
      <c r="I241" s="50"/>
      <c r="J241" s="50"/>
      <c r="K241" s="50"/>
      <c r="L241" s="50"/>
      <c r="M241" s="15"/>
    </row>
    <row r="242" spans="1:13" ht="21">
      <c r="A242" s="50"/>
      <c r="B242" s="50"/>
      <c r="C242" s="155" t="s">
        <v>198</v>
      </c>
      <c r="D242" s="179"/>
      <c r="E242" s="50"/>
      <c r="F242" s="123"/>
      <c r="G242" s="50"/>
      <c r="H242" s="50"/>
      <c r="I242" s="50"/>
      <c r="J242" s="50"/>
      <c r="K242" s="50"/>
      <c r="L242" s="27"/>
      <c r="M242" s="15"/>
    </row>
    <row r="243" spans="1:13">
      <c r="A243" s="50"/>
      <c r="B243" s="50"/>
      <c r="C243" s="180" t="s">
        <v>212</v>
      </c>
      <c r="D243" s="179"/>
      <c r="E243" s="181">
        <f>(1+H30)*(1+I30)</f>
        <v>1.0061637692564938</v>
      </c>
      <c r="F243" s="123"/>
      <c r="G243" s="50"/>
      <c r="H243" s="50"/>
      <c r="I243" s="50"/>
      <c r="J243" s="50"/>
      <c r="K243" s="50"/>
      <c r="L243" s="27"/>
      <c r="M243" s="15"/>
    </row>
    <row r="244" spans="1:13">
      <c r="A244" s="50"/>
      <c r="B244" s="50"/>
      <c r="C244" s="50"/>
      <c r="D244" s="127"/>
      <c r="E244" s="50"/>
      <c r="F244" s="123"/>
      <c r="G244" s="50"/>
      <c r="H244" s="50"/>
      <c r="I244" s="50"/>
      <c r="J244" s="50"/>
      <c r="K244" s="50"/>
      <c r="L244" s="27"/>
    </row>
    <row r="245" spans="1:13" ht="21">
      <c r="A245" s="50"/>
      <c r="B245" s="50"/>
      <c r="C245" s="155" t="s">
        <v>315</v>
      </c>
      <c r="D245" s="162" t="s">
        <v>342</v>
      </c>
      <c r="E245" s="50"/>
      <c r="F245" s="123"/>
      <c r="G245" s="50"/>
      <c r="H245" s="50"/>
      <c r="I245" s="50"/>
      <c r="J245" s="50"/>
      <c r="K245" s="50"/>
      <c r="L245" s="27"/>
    </row>
    <row r="246" spans="1:13">
      <c r="A246" s="50"/>
      <c r="B246" s="50"/>
      <c r="C246" s="50"/>
      <c r="D246" s="50"/>
      <c r="E246" s="99" t="str">
        <f>Inputs!D$11</f>
        <v>2009/10</v>
      </c>
      <c r="F246" s="99" t="str">
        <f>Inputs!E$11</f>
        <v>2010/11</v>
      </c>
      <c r="G246" s="99" t="str">
        <f>Inputs!F$11</f>
        <v>2011/12</v>
      </c>
      <c r="H246" s="99" t="str">
        <f>Inputs!G$11</f>
        <v>2012/13</v>
      </c>
      <c r="I246" s="99" t="str">
        <f>Inputs!H$11</f>
        <v>2013/14</v>
      </c>
      <c r="J246" s="99" t="str">
        <f>Inputs!I$11</f>
        <v>2014/15</v>
      </c>
      <c r="K246" s="50"/>
      <c r="L246" s="27"/>
    </row>
    <row r="247" spans="1:13">
      <c r="A247" s="50"/>
      <c r="B247" s="50"/>
      <c r="C247" s="122" t="str">
        <f>C35</f>
        <v>2009 ΔCPI, 8 index, lagged, no GST adjustment</v>
      </c>
      <c r="D247" s="50"/>
      <c r="E247" s="50"/>
      <c r="F247" s="50"/>
      <c r="G247" s="50"/>
      <c r="H247" s="50"/>
      <c r="I247" s="100">
        <f>I35</f>
        <v>2.3759818812291389E-2</v>
      </c>
      <c r="J247" s="100">
        <f>J35</f>
        <v>2.2164443909808984E-2</v>
      </c>
      <c r="K247" s="50"/>
      <c r="L247" s="27"/>
    </row>
    <row r="248" spans="1:13">
      <c r="A248" s="50"/>
      <c r="B248" s="50"/>
      <c r="C248" s="122" t="str">
        <f>C37</f>
        <v>2012 ΔCPI, 8 index, lagged, with GST adjustment</v>
      </c>
      <c r="D248" s="50"/>
      <c r="E248" s="99"/>
      <c r="F248" s="100"/>
      <c r="G248" s="100"/>
      <c r="H248" s="100"/>
      <c r="I248" s="100">
        <f>I$37</f>
        <v>1.2820512820512775E-2</v>
      </c>
      <c r="J248" s="101">
        <f>J$37</f>
        <v>1.9725095732576747E-2</v>
      </c>
      <c r="K248" s="50"/>
      <c r="L248" s="27"/>
    </row>
    <row r="249" spans="1:13">
      <c r="A249" s="50"/>
      <c r="B249" s="50"/>
      <c r="C249" s="50" t="s">
        <v>200</v>
      </c>
      <c r="D249" s="50"/>
      <c r="E249" s="99"/>
      <c r="F249" s="100"/>
      <c r="G249" s="100">
        <f>G$30</f>
        <v>3.0771502015654343E-3</v>
      </c>
      <c r="H249" s="100">
        <f>H$30</f>
        <v>3.0771502015654343E-3</v>
      </c>
      <c r="I249" s="100">
        <f>I$30</f>
        <v>3.0771502015654343E-3</v>
      </c>
      <c r="J249" s="100">
        <f>J$30</f>
        <v>3.0771502015654343E-3</v>
      </c>
      <c r="K249" s="50"/>
      <c r="L249" s="27"/>
    </row>
    <row r="250" spans="1:13">
      <c r="A250" s="50"/>
      <c r="B250" s="50"/>
      <c r="C250" s="50" t="s">
        <v>309</v>
      </c>
      <c r="D250" s="54">
        <f>E25</f>
        <v>8596.3459999999995</v>
      </c>
      <c r="E250" s="50"/>
      <c r="F250" s="123"/>
      <c r="G250" s="50"/>
      <c r="H250" s="50"/>
      <c r="I250" s="50"/>
      <c r="J250" s="50"/>
      <c r="K250" s="50"/>
      <c r="L250" s="27"/>
    </row>
    <row r="251" spans="1:13">
      <c r="A251" s="50"/>
      <c r="B251" s="50"/>
      <c r="C251" s="119" t="s">
        <v>335</v>
      </c>
      <c r="D251" s="32">
        <f>E24</f>
        <v>28049</v>
      </c>
      <c r="E251" s="50"/>
      <c r="F251" s="123"/>
      <c r="G251" s="50"/>
      <c r="H251" s="50"/>
      <c r="I251" s="50"/>
      <c r="J251" s="50"/>
      <c r="K251" s="50"/>
      <c r="L251" s="27"/>
    </row>
    <row r="252" spans="1:13">
      <c r="A252" s="50"/>
      <c r="B252" s="50"/>
      <c r="C252" s="50" t="s">
        <v>383</v>
      </c>
      <c r="D252" s="50"/>
      <c r="E252" s="50"/>
      <c r="F252" s="123"/>
      <c r="G252" s="50"/>
      <c r="H252" s="124">
        <f>(D251+D250)*(1+G$249)*(1+H$249)-D250</f>
        <v>28274.873457068381</v>
      </c>
      <c r="I252" s="124">
        <f>H252*(1+I249)*(1+I248)</f>
        <v>28725.493329236626</v>
      </c>
      <c r="J252" s="124">
        <f>I252*(1+J249)*(1+J248)</f>
        <v>29382.242646342424</v>
      </c>
      <c r="K252" s="50"/>
      <c r="L252" s="27"/>
    </row>
    <row r="253" spans="1:13">
      <c r="A253" s="50"/>
      <c r="B253" s="50"/>
      <c r="C253" s="50" t="s">
        <v>314</v>
      </c>
      <c r="D253" s="50"/>
      <c r="E253" s="50"/>
      <c r="F253" s="123"/>
      <c r="G253" s="50"/>
      <c r="H253" s="124">
        <f>$D$250</f>
        <v>8596.3459999999995</v>
      </c>
      <c r="I253" s="124">
        <f>H253*(1+I34)</f>
        <v>8748.6863088607606</v>
      </c>
      <c r="J253" s="124"/>
      <c r="K253" s="50"/>
      <c r="L253" s="27"/>
    </row>
    <row r="254" spans="1:13">
      <c r="A254" s="50"/>
      <c r="B254" s="50"/>
      <c r="C254" s="119" t="s">
        <v>336</v>
      </c>
      <c r="D254" s="50"/>
      <c r="E254" s="50"/>
      <c r="F254" s="123"/>
      <c r="G254" s="50"/>
      <c r="H254" s="124">
        <f>D251</f>
        <v>28049</v>
      </c>
      <c r="I254" s="124">
        <f>((H254+H253)*(1+G249)-H253)*(1+I248)*(1-X_industry_wide)</f>
        <v>28522.811480417906</v>
      </c>
      <c r="J254" s="97"/>
      <c r="K254" s="50"/>
      <c r="L254" s="27"/>
    </row>
    <row r="255" spans="1:13">
      <c r="A255" s="50"/>
      <c r="B255" s="50"/>
      <c r="C255" s="50" t="s">
        <v>337</v>
      </c>
      <c r="D255" s="50"/>
      <c r="E255" s="50"/>
      <c r="F255" s="123"/>
      <c r="G255" s="50"/>
      <c r="H255" s="124">
        <f>H216</f>
        <v>33885.994862213578</v>
      </c>
      <c r="I255" s="124">
        <f>I216</f>
        <v>34797.86974719273</v>
      </c>
      <c r="J255" s="124">
        <f>J216</f>
        <v>35678.596781643471</v>
      </c>
      <c r="K255" s="50"/>
      <c r="L255" s="27"/>
    </row>
    <row r="256" spans="1:13">
      <c r="A256" s="50"/>
      <c r="B256" s="50"/>
      <c r="C256" s="119" t="s">
        <v>371</v>
      </c>
      <c r="D256" s="50"/>
      <c r="E256" s="50"/>
      <c r="F256" s="123"/>
      <c r="G256" s="50"/>
      <c r="H256" s="124"/>
      <c r="I256" s="124">
        <f>(I255+I253)/((1+H249)*(1+I249))-I253</f>
        <v>34531.103111734541</v>
      </c>
      <c r="J256" s="124"/>
      <c r="K256" s="50"/>
      <c r="L256" s="27"/>
    </row>
    <row r="257" spans="1:12">
      <c r="A257" s="50"/>
      <c r="B257" s="50"/>
      <c r="C257" s="50" t="s">
        <v>344</v>
      </c>
      <c r="D257" s="50"/>
      <c r="E257" s="50"/>
      <c r="F257" s="123"/>
      <c r="G257" s="50"/>
      <c r="H257" s="124">
        <f>H255</f>
        <v>33885.994862213578</v>
      </c>
      <c r="I257" s="124">
        <f>I255*(1+I248)/(1+I247)</f>
        <v>34426.039814007599</v>
      </c>
      <c r="J257" s="124">
        <f>I257*(1+J$248)*(1+J$249)*(1-X_industry_wide)</f>
        <v>35213.120400557345</v>
      </c>
      <c r="K257" s="50"/>
      <c r="L257" s="27"/>
    </row>
    <row r="258" spans="1:12">
      <c r="A258" s="50"/>
      <c r="B258" s="50"/>
      <c r="C258" s="119" t="s">
        <v>346</v>
      </c>
      <c r="D258" s="50"/>
      <c r="E258" s="50"/>
      <c r="F258" s="123"/>
      <c r="G258" s="50"/>
      <c r="H258" s="124"/>
      <c r="I258" s="124">
        <f>(I257+I253)/((1+H249)*(1+I249))-I253</f>
        <v>34161.551012417855</v>
      </c>
      <c r="J258" s="97"/>
      <c r="K258" s="50"/>
      <c r="L258" s="27"/>
    </row>
    <row r="259" spans="1:12">
      <c r="A259" s="50"/>
      <c r="B259" s="50"/>
      <c r="C259" s="50" t="s">
        <v>338</v>
      </c>
      <c r="D259" s="50"/>
      <c r="E259" s="50"/>
      <c r="F259" s="123"/>
      <c r="G259" s="50"/>
      <c r="H259" s="124">
        <f>H233</f>
        <v>33885.994862213578</v>
      </c>
      <c r="I259" s="124">
        <f>I233</f>
        <v>33187.491046463481</v>
      </c>
      <c r="J259" s="124">
        <f>J233</f>
        <v>37430.205694426673</v>
      </c>
      <c r="K259" s="50"/>
      <c r="L259" s="27"/>
    </row>
    <row r="260" spans="1:12">
      <c r="A260" s="50"/>
      <c r="B260" s="50"/>
      <c r="C260" s="50" t="s">
        <v>345</v>
      </c>
      <c r="D260" s="50"/>
      <c r="E260" s="50"/>
      <c r="F260" s="123"/>
      <c r="G260" s="50"/>
      <c r="H260" s="124">
        <f>H259</f>
        <v>33885.994862213578</v>
      </c>
      <c r="I260" s="124">
        <f>I259*(1+I248)/(1+I247)</f>
        <v>32832.868689749128</v>
      </c>
      <c r="J260" s="124">
        <f>I260*(1+J$248)*(1+J$249)*(1-D227)</f>
        <v>36941.877165236452</v>
      </c>
      <c r="K260" s="50"/>
      <c r="L260" s="27"/>
    </row>
    <row r="261" spans="1:12">
      <c r="A261" s="50"/>
      <c r="B261" s="50"/>
      <c r="C261" s="119" t="s">
        <v>347</v>
      </c>
      <c r="D261" s="50"/>
      <c r="E261" s="50"/>
      <c r="F261" s="123"/>
      <c r="G261" s="50"/>
      <c r="H261" s="97"/>
      <c r="I261" s="124">
        <f>(I260+I253)/((1+H249)*(1+I249))-I253</f>
        <v>32578.139670310247</v>
      </c>
      <c r="J261" s="97"/>
      <c r="K261" s="50"/>
      <c r="L261" s="27"/>
    </row>
    <row r="262" spans="1:12">
      <c r="A262" s="50"/>
      <c r="B262" s="50"/>
      <c r="C262" s="50" t="s">
        <v>317</v>
      </c>
      <c r="D262" s="126">
        <f>E27</f>
        <v>0.1</v>
      </c>
      <c r="E262" s="50"/>
      <c r="F262" s="123"/>
      <c r="G262" s="50"/>
      <c r="H262" s="125"/>
      <c r="I262" s="125"/>
      <c r="J262" s="125"/>
      <c r="K262" s="50"/>
      <c r="L262" s="27"/>
    </row>
    <row r="263" spans="1:12" ht="18">
      <c r="A263" s="50"/>
      <c r="B263" s="50"/>
      <c r="C263" s="50" t="s">
        <v>339</v>
      </c>
      <c r="D263" s="127"/>
      <c r="E263" s="50"/>
      <c r="F263" s="123"/>
      <c r="G263" s="50"/>
      <c r="H263" s="124">
        <f>(D251+H253)*(1+G$249)*(1+H$249)-H253</f>
        <v>28274.873457068381</v>
      </c>
      <c r="I263" s="124">
        <f>H263*(1+$D262)*(1+I$247)*(1+I$249)</f>
        <v>31939.327868223154</v>
      </c>
      <c r="J263" s="124">
        <f>I264*(1+$D262)*(1+J247)*(1+J249)</f>
        <v>36022.476365435316</v>
      </c>
      <c r="K263" s="50"/>
      <c r="L263" s="27"/>
    </row>
    <row r="264" spans="1:12">
      <c r="A264" s="50"/>
      <c r="B264" s="50"/>
      <c r="C264" s="50" t="s">
        <v>367</v>
      </c>
      <c r="D264" s="127"/>
      <c r="E264" s="50"/>
      <c r="F264" s="123"/>
      <c r="G264" s="50"/>
      <c r="H264" s="124">
        <f>H260</f>
        <v>33885.994862213578</v>
      </c>
      <c r="I264" s="124">
        <f>MIN(I260,I263)</f>
        <v>31939.327868223154</v>
      </c>
      <c r="J264" s="124">
        <f>MIN(J260,J263)</f>
        <v>36022.476365435316</v>
      </c>
      <c r="K264" s="50"/>
      <c r="L264" s="27"/>
    </row>
    <row r="265" spans="1:12">
      <c r="A265" s="50"/>
      <c r="B265" s="50"/>
      <c r="C265" s="50" t="s">
        <v>373</v>
      </c>
      <c r="D265" s="31">
        <f>NPV(WACC,H255:J255)*D50</f>
        <v>91353.508990809394</v>
      </c>
      <c r="E265" s="50"/>
      <c r="F265" s="123"/>
      <c r="G265" s="50"/>
      <c r="H265" s="50"/>
      <c r="I265" s="50"/>
      <c r="J265" s="50"/>
      <c r="K265" s="50"/>
      <c r="L265" s="27"/>
    </row>
    <row r="266" spans="1:12">
      <c r="A266" s="50"/>
      <c r="B266" s="50"/>
      <c r="C266" s="50" t="s">
        <v>372</v>
      </c>
      <c r="D266" s="31">
        <f>NPV(WACC,H252:J252)*D50</f>
        <v>75642.81939339645</v>
      </c>
      <c r="E266" s="50"/>
      <c r="F266" s="123"/>
      <c r="G266" s="50"/>
      <c r="H266" s="50"/>
      <c r="I266" s="50"/>
      <c r="J266" s="50"/>
      <c r="K266" s="50"/>
      <c r="L266" s="27"/>
    </row>
    <row r="267" spans="1:12">
      <c r="A267" s="50"/>
      <c r="B267" s="50"/>
      <c r="C267" s="50" t="s">
        <v>340</v>
      </c>
      <c r="D267" s="31">
        <f>NPV(WACC,H259:J259)*D50</f>
        <v>91353.50899080938</v>
      </c>
      <c r="E267" s="50"/>
      <c r="F267" s="123"/>
      <c r="G267" s="50"/>
      <c r="H267" s="50"/>
      <c r="I267" s="50"/>
      <c r="J267" s="50"/>
      <c r="K267" s="50"/>
      <c r="L267" s="27"/>
    </row>
    <row r="268" spans="1:12">
      <c r="A268" s="50"/>
      <c r="B268" s="50"/>
      <c r="C268" s="50" t="s">
        <v>351</v>
      </c>
      <c r="D268" s="31">
        <f>NPV(WACC,H264:J264)*D50</f>
        <v>89130.058672121901</v>
      </c>
      <c r="E268" s="50"/>
      <c r="F268" s="123"/>
      <c r="G268" s="50"/>
      <c r="H268" s="50"/>
      <c r="I268" s="50"/>
      <c r="J268" s="50"/>
      <c r="K268" s="50"/>
      <c r="L268" s="27"/>
    </row>
    <row r="269" spans="1:12">
      <c r="A269" s="50"/>
      <c r="B269" s="50"/>
      <c r="C269" s="50" t="s">
        <v>348</v>
      </c>
      <c r="D269" s="31">
        <f>NPV(WACC,H257:J257)*D50</f>
        <v>90654.064048064</v>
      </c>
      <c r="E269" s="50"/>
      <c r="F269" s="123"/>
      <c r="G269" s="50"/>
      <c r="H269" s="50"/>
      <c r="I269" s="50"/>
      <c r="J269" s="50"/>
      <c r="K269" s="50"/>
      <c r="L269" s="27"/>
    </row>
    <row r="270" spans="1:12">
      <c r="A270" s="50"/>
      <c r="B270" s="50"/>
      <c r="C270" s="50" t="s">
        <v>349</v>
      </c>
      <c r="D270" s="31">
        <f>NPV(WACC,H260:J260)*D50</f>
        <v>90650.738977287401</v>
      </c>
      <c r="E270" s="50"/>
      <c r="F270" s="123"/>
      <c r="G270" s="50"/>
      <c r="H270" s="50"/>
      <c r="I270" s="50"/>
      <c r="J270" s="50"/>
      <c r="K270" s="50"/>
      <c r="L270" s="27"/>
    </row>
    <row r="271" spans="1:12">
      <c r="A271" s="50"/>
      <c r="B271" s="50"/>
      <c r="C271" s="50" t="s">
        <v>368</v>
      </c>
      <c r="D271" s="31" t="b">
        <f>OR(I260&gt;I263,J260&gt;J263)</f>
        <v>1</v>
      </c>
      <c r="E271" s="50"/>
      <c r="F271" s="123"/>
      <c r="G271" s="50"/>
      <c r="H271" s="50"/>
      <c r="I271" s="50"/>
      <c r="J271" s="50"/>
      <c r="K271" s="50"/>
      <c r="L271" s="27"/>
    </row>
    <row r="272" spans="1:12">
      <c r="A272" s="50"/>
      <c r="B272" s="50"/>
      <c r="C272" s="50"/>
      <c r="D272" s="31"/>
      <c r="E272" s="50"/>
      <c r="F272" s="123"/>
      <c r="G272" s="50"/>
      <c r="H272" s="50"/>
      <c r="I272" s="50"/>
      <c r="J272" s="50"/>
      <c r="K272" s="50"/>
      <c r="L272" s="27"/>
    </row>
    <row r="273" spans="1:12" ht="21">
      <c r="A273" s="50"/>
      <c r="B273" s="50"/>
      <c r="C273" s="155" t="s">
        <v>343</v>
      </c>
      <c r="D273" s="127"/>
      <c r="E273" s="50"/>
      <c r="F273" s="123"/>
      <c r="G273" s="50"/>
      <c r="H273" s="50"/>
      <c r="I273" s="50"/>
      <c r="J273" s="50"/>
      <c r="K273" s="50"/>
      <c r="L273" s="27"/>
    </row>
    <row r="274" spans="1:12" ht="30">
      <c r="A274" s="50"/>
      <c r="B274" s="50"/>
      <c r="C274" s="123" t="s">
        <v>370</v>
      </c>
      <c r="D274" s="126">
        <f>I$261/(D$251*(1+I$249)*(1+I$248))-1</f>
        <v>0.14325227012765152</v>
      </c>
      <c r="E274" s="50"/>
      <c r="F274" s="123"/>
      <c r="G274" s="50"/>
      <c r="H274" s="50"/>
      <c r="I274" s="50"/>
      <c r="J274" s="50"/>
      <c r="K274" s="50"/>
      <c r="L274" s="27"/>
    </row>
    <row r="275" spans="1:12" ht="30">
      <c r="A275" s="50"/>
      <c r="B275" s="50"/>
      <c r="C275" s="123" t="s">
        <v>350</v>
      </c>
      <c r="D275" s="31">
        <f>D265-D268</f>
        <v>2223.4503186874936</v>
      </c>
      <c r="E275" s="50"/>
      <c r="F275" s="123"/>
      <c r="G275" s="50"/>
      <c r="H275" s="50"/>
      <c r="I275" s="50"/>
      <c r="J275" s="50"/>
      <c r="K275" s="50"/>
      <c r="L275" s="27"/>
    </row>
    <row r="276" spans="1:12">
      <c r="A276" s="50"/>
      <c r="B276" s="50"/>
      <c r="C276" s="123" t="s">
        <v>366</v>
      </c>
      <c r="D276" s="31">
        <f>ROUNDUP(I264,0)</f>
        <v>31940</v>
      </c>
      <c r="E276" s="50"/>
      <c r="F276" s="123"/>
      <c r="G276" s="50"/>
      <c r="H276" s="50"/>
      <c r="I276" s="50"/>
      <c r="J276" s="50"/>
      <c r="K276" s="50"/>
      <c r="L276" s="27"/>
    </row>
    <row r="277" spans="1:12">
      <c r="A277" s="50"/>
      <c r="B277" s="50"/>
      <c r="C277" s="123" t="s">
        <v>378</v>
      </c>
      <c r="D277" s="31">
        <f>ROUNDUP(H233,0)</f>
        <v>33886</v>
      </c>
      <c r="E277" s="50"/>
      <c r="F277" s="123"/>
      <c r="G277" s="50"/>
      <c r="H277" s="50"/>
      <c r="I277" s="50"/>
      <c r="J277" s="50"/>
      <c r="K277" s="50"/>
      <c r="L277" s="27"/>
    </row>
    <row r="278" spans="1:12">
      <c r="A278" s="50"/>
      <c r="B278" s="50"/>
      <c r="C278" s="114" t="s">
        <v>382</v>
      </c>
      <c r="D278" s="31">
        <f>D269-D266</f>
        <v>15011.244654667549</v>
      </c>
      <c r="E278" s="50"/>
      <c r="F278" s="123"/>
      <c r="G278" s="50"/>
      <c r="H278" s="50"/>
      <c r="I278" s="50"/>
      <c r="J278" s="50"/>
      <c r="K278" s="50"/>
      <c r="L278" s="27"/>
    </row>
    <row r="279" spans="1:12">
      <c r="A279" s="15"/>
      <c r="B279" s="15"/>
      <c r="C279" s="15"/>
      <c r="D279" s="15"/>
      <c r="E279" s="120"/>
      <c r="F279" s="15"/>
      <c r="G279" s="15"/>
      <c r="H279" s="15"/>
      <c r="I279" s="15"/>
      <c r="J279" s="15"/>
      <c r="K279" s="15"/>
    </row>
    <row r="280" spans="1:12">
      <c r="A280" s="15"/>
      <c r="B280" s="15"/>
      <c r="C280" s="15"/>
      <c r="D280" s="15"/>
      <c r="E280" s="120"/>
      <c r="F280" s="15"/>
      <c r="G280" s="15"/>
      <c r="H280" s="15"/>
      <c r="I280" s="15"/>
      <c r="J280" s="15"/>
      <c r="K280" s="15"/>
    </row>
    <row r="281" spans="1:12">
      <c r="A281" s="15"/>
      <c r="B281" s="15"/>
      <c r="C281" s="15"/>
      <c r="D281" s="15"/>
      <c r="E281" s="120"/>
      <c r="F281" s="15"/>
      <c r="G281" s="15"/>
      <c r="H281" s="15"/>
      <c r="I281" s="15"/>
      <c r="J281" s="15"/>
      <c r="K281" s="15"/>
    </row>
    <row r="282" spans="1:12">
      <c r="A282" s="15"/>
      <c r="B282" s="15"/>
      <c r="C282" s="15"/>
      <c r="D282" s="15"/>
      <c r="E282" s="120"/>
      <c r="F282" s="15"/>
      <c r="G282" s="15"/>
      <c r="H282" s="15"/>
      <c r="I282" s="15"/>
      <c r="J282" s="15"/>
      <c r="K282" s="15"/>
    </row>
    <row r="283" spans="1:12">
      <c r="A283" s="15"/>
      <c r="B283" s="15"/>
      <c r="C283" s="15"/>
      <c r="D283" s="15"/>
      <c r="E283" s="120"/>
      <c r="F283" s="15"/>
      <c r="G283" s="15"/>
      <c r="H283" s="15"/>
      <c r="I283" s="15"/>
      <c r="J283" s="15"/>
      <c r="K283" s="15"/>
    </row>
    <row r="284" spans="1:12">
      <c r="A284" s="15"/>
      <c r="B284" s="15"/>
      <c r="C284" s="15"/>
      <c r="D284" s="15"/>
      <c r="E284" s="120"/>
      <c r="F284" s="15"/>
      <c r="G284" s="15"/>
      <c r="H284" s="15"/>
      <c r="I284" s="15"/>
      <c r="J284" s="15"/>
      <c r="K284" s="15"/>
    </row>
    <row r="285" spans="1:12">
      <c r="A285" s="15"/>
      <c r="B285" s="15"/>
      <c r="C285" s="15"/>
      <c r="D285" s="15"/>
      <c r="E285" s="120"/>
      <c r="F285" s="15"/>
      <c r="G285" s="15"/>
      <c r="H285" s="15"/>
      <c r="I285" s="15"/>
      <c r="J285" s="15"/>
      <c r="K285" s="15"/>
    </row>
    <row r="286" spans="1:12">
      <c r="A286" s="15"/>
      <c r="B286" s="15"/>
      <c r="C286" s="15"/>
      <c r="D286" s="15"/>
      <c r="E286" s="120"/>
      <c r="F286" s="15"/>
      <c r="G286" s="15"/>
      <c r="H286" s="15"/>
      <c r="I286" s="15"/>
      <c r="J286" s="15"/>
      <c r="K286" s="15"/>
    </row>
    <row r="287" spans="1:12">
      <c r="A287" s="15"/>
      <c r="B287" s="15"/>
      <c r="C287" s="15"/>
      <c r="D287" s="15"/>
      <c r="E287" s="120"/>
      <c r="F287" s="15"/>
      <c r="G287" s="15"/>
      <c r="H287" s="15"/>
      <c r="I287" s="15"/>
      <c r="J287" s="15"/>
      <c r="K287" s="15"/>
    </row>
    <row r="288" spans="1:12">
      <c r="A288" s="15"/>
      <c r="B288" s="15"/>
      <c r="C288" s="15"/>
      <c r="D288" s="15"/>
      <c r="E288" s="120"/>
      <c r="F288" s="15"/>
      <c r="G288" s="15"/>
      <c r="H288" s="15"/>
      <c r="I288" s="15"/>
      <c r="J288" s="15"/>
      <c r="K288" s="15"/>
    </row>
    <row r="289" spans="1:11">
      <c r="A289" s="15"/>
      <c r="B289" s="15"/>
      <c r="C289" s="15"/>
      <c r="D289" s="15"/>
      <c r="E289" s="120"/>
      <c r="F289" s="15"/>
      <c r="G289" s="15"/>
      <c r="H289" s="15"/>
      <c r="I289" s="15"/>
      <c r="J289" s="15"/>
      <c r="K289" s="15"/>
    </row>
    <row r="290" spans="1:11">
      <c r="A290" s="15"/>
      <c r="B290" s="15"/>
      <c r="C290" s="15"/>
      <c r="D290" s="15"/>
      <c r="E290" s="120"/>
      <c r="F290" s="15"/>
      <c r="G290" s="15"/>
      <c r="H290" s="15"/>
      <c r="I290" s="15"/>
      <c r="J290" s="15"/>
      <c r="K290" s="15"/>
    </row>
    <row r="291" spans="1:11">
      <c r="A291" s="15"/>
      <c r="B291" s="15"/>
      <c r="C291" s="15"/>
      <c r="D291" s="15"/>
      <c r="E291" s="120"/>
      <c r="F291" s="15"/>
      <c r="G291" s="15"/>
      <c r="H291" s="15"/>
      <c r="I291" s="15"/>
      <c r="J291" s="15"/>
      <c r="K291" s="15"/>
    </row>
    <row r="292" spans="1:11">
      <c r="A292" s="15"/>
      <c r="B292" s="15"/>
      <c r="C292" s="15"/>
      <c r="D292" s="15"/>
      <c r="E292" s="120"/>
      <c r="F292" s="15"/>
      <c r="G292" s="15"/>
      <c r="H292" s="15"/>
      <c r="I292" s="15"/>
      <c r="J292" s="15"/>
      <c r="K292" s="15"/>
    </row>
    <row r="293" spans="1:11">
      <c r="A293" s="15"/>
      <c r="B293" s="15"/>
      <c r="C293" s="15"/>
      <c r="D293" s="15"/>
      <c r="E293" s="120"/>
      <c r="F293" s="15"/>
      <c r="G293" s="15"/>
      <c r="H293" s="15"/>
      <c r="I293" s="15"/>
      <c r="J293" s="15"/>
      <c r="K293" s="15"/>
    </row>
    <row r="294" spans="1:11">
      <c r="A294" s="15"/>
      <c r="B294" s="15"/>
      <c r="C294" s="15"/>
      <c r="D294" s="15"/>
      <c r="E294" s="120"/>
      <c r="F294" s="15"/>
      <c r="G294" s="15"/>
      <c r="H294" s="15"/>
      <c r="I294" s="15"/>
      <c r="J294" s="15"/>
      <c r="K294" s="15"/>
    </row>
    <row r="295" spans="1:11">
      <c r="A295" s="15"/>
      <c r="B295" s="15"/>
      <c r="C295" s="15"/>
      <c r="D295" s="15"/>
      <c r="E295" s="120"/>
      <c r="F295" s="15"/>
      <c r="G295" s="15"/>
      <c r="H295" s="15"/>
      <c r="I295" s="15"/>
      <c r="J295" s="15"/>
      <c r="K295" s="15"/>
    </row>
    <row r="296" spans="1:11">
      <c r="A296" s="15"/>
      <c r="B296" s="15"/>
      <c r="C296" s="15"/>
      <c r="D296" s="15"/>
      <c r="E296" s="120"/>
      <c r="F296" s="15"/>
      <c r="G296" s="15"/>
      <c r="H296" s="15"/>
      <c r="I296" s="15"/>
      <c r="J296" s="15"/>
      <c r="K296" s="15"/>
    </row>
    <row r="297" spans="1:11">
      <c r="A297" s="15"/>
      <c r="B297" s="15"/>
      <c r="C297" s="15"/>
      <c r="D297" s="15"/>
      <c r="E297" s="120"/>
      <c r="F297" s="15"/>
      <c r="G297" s="15"/>
      <c r="H297" s="15"/>
      <c r="I297" s="15"/>
      <c r="J297" s="15"/>
      <c r="K297" s="15"/>
    </row>
    <row r="298" spans="1:11">
      <c r="A298" s="15"/>
      <c r="B298" s="15"/>
      <c r="C298" s="15"/>
      <c r="D298" s="15"/>
      <c r="E298" s="120"/>
      <c r="F298" s="15"/>
      <c r="G298" s="15"/>
      <c r="H298" s="15"/>
      <c r="I298" s="15"/>
      <c r="J298" s="15"/>
      <c r="K298" s="15"/>
    </row>
    <row r="299" spans="1:11">
      <c r="A299" s="15"/>
      <c r="B299" s="15"/>
      <c r="C299" s="15"/>
      <c r="D299" s="15"/>
      <c r="E299" s="120"/>
      <c r="F299" s="15"/>
      <c r="G299" s="15"/>
      <c r="H299" s="15"/>
      <c r="I299" s="15"/>
      <c r="J299" s="15"/>
    </row>
    <row r="300" spans="1:11">
      <c r="A300" s="15"/>
      <c r="B300" s="15"/>
      <c r="C300" s="15"/>
      <c r="D300" s="15"/>
      <c r="E300" s="120"/>
      <c r="F300" s="15"/>
      <c r="G300" s="15"/>
      <c r="H300" s="15"/>
      <c r="I300" s="15"/>
      <c r="J300" s="15"/>
    </row>
    <row r="301" spans="1:11">
      <c r="A301" s="15"/>
      <c r="B301" s="15"/>
      <c r="C301" s="15"/>
      <c r="D301" s="15"/>
      <c r="E301" s="120"/>
      <c r="F301" s="15"/>
      <c r="G301" s="15"/>
      <c r="H301" s="15"/>
      <c r="I301" s="15"/>
      <c r="J301" s="15"/>
    </row>
    <row r="302" spans="1:11">
      <c r="A302" s="15"/>
      <c r="B302" s="15"/>
      <c r="C302" s="15"/>
      <c r="D302" s="15"/>
      <c r="E302" s="120"/>
      <c r="F302" s="15"/>
      <c r="G302" s="15"/>
      <c r="H302" s="15"/>
      <c r="I302" s="15"/>
      <c r="J302" s="15"/>
    </row>
    <row r="303" spans="1:11">
      <c r="A303" s="15"/>
      <c r="B303" s="15"/>
      <c r="C303" s="15"/>
      <c r="D303" s="15"/>
      <c r="E303" s="120"/>
      <c r="F303" s="15"/>
      <c r="G303" s="15"/>
      <c r="H303" s="15"/>
      <c r="I303" s="15"/>
      <c r="J303" s="15"/>
    </row>
    <row r="304" spans="1:11">
      <c r="A304" s="15"/>
      <c r="B304" s="15"/>
      <c r="C304" s="15"/>
      <c r="D304" s="15"/>
      <c r="E304" s="120"/>
      <c r="F304" s="15"/>
      <c r="G304" s="15"/>
      <c r="H304" s="15"/>
      <c r="I304" s="15"/>
      <c r="J304" s="15"/>
    </row>
    <row r="305" spans="1:10">
      <c r="A305" s="15"/>
      <c r="B305" s="15"/>
      <c r="C305" s="15"/>
      <c r="D305" s="15"/>
      <c r="E305" s="120"/>
      <c r="F305" s="15"/>
      <c r="G305" s="15"/>
      <c r="H305" s="15"/>
      <c r="I305" s="15"/>
      <c r="J305" s="15"/>
    </row>
    <row r="306" spans="1:10">
      <c r="A306" s="15"/>
      <c r="B306" s="15"/>
      <c r="C306" s="15"/>
      <c r="D306" s="15"/>
      <c r="E306" s="120"/>
      <c r="F306" s="15"/>
      <c r="G306" s="15"/>
      <c r="H306" s="15"/>
      <c r="I306" s="15"/>
      <c r="J306" s="15"/>
    </row>
    <row r="307" spans="1:10">
      <c r="A307" s="15"/>
      <c r="B307" s="15"/>
      <c r="C307" s="15"/>
      <c r="D307" s="15"/>
      <c r="E307" s="120"/>
      <c r="F307" s="15"/>
      <c r="G307" s="15"/>
      <c r="H307" s="15"/>
      <c r="I307" s="15"/>
      <c r="J307" s="15"/>
    </row>
    <row r="308" spans="1:10">
      <c r="A308" s="15"/>
      <c r="B308" s="15"/>
      <c r="C308" s="15"/>
      <c r="D308" s="15"/>
      <c r="E308" s="120"/>
      <c r="F308" s="15"/>
      <c r="G308" s="15"/>
      <c r="H308" s="15"/>
      <c r="I308" s="15"/>
      <c r="J308" s="15"/>
    </row>
    <row r="309" spans="1:10">
      <c r="A309" s="15"/>
      <c r="B309" s="15"/>
      <c r="C309" s="15"/>
      <c r="D309" s="15"/>
      <c r="E309" s="120"/>
      <c r="F309" s="15"/>
      <c r="G309" s="15"/>
      <c r="H309" s="15"/>
      <c r="I309" s="15"/>
      <c r="J309" s="15"/>
    </row>
    <row r="310" spans="1:10">
      <c r="A310" s="15"/>
      <c r="B310" s="15"/>
      <c r="C310" s="15"/>
      <c r="D310" s="15"/>
      <c r="E310" s="120"/>
      <c r="F310" s="15"/>
      <c r="G310" s="15"/>
      <c r="H310" s="15"/>
      <c r="I310" s="15"/>
      <c r="J310" s="15"/>
    </row>
    <row r="311" spans="1:10">
      <c r="A311" s="15"/>
      <c r="B311" s="15"/>
      <c r="C311" s="15"/>
      <c r="D311" s="15"/>
      <c r="E311" s="120"/>
      <c r="F311" s="15"/>
      <c r="G311" s="15"/>
      <c r="H311" s="15"/>
      <c r="I311" s="15"/>
      <c r="J311" s="15"/>
    </row>
    <row r="312" spans="1:10">
      <c r="A312" s="15"/>
      <c r="B312" s="15"/>
      <c r="C312" s="15"/>
      <c r="D312" s="15"/>
      <c r="E312" s="120"/>
      <c r="F312" s="15"/>
      <c r="G312" s="15"/>
      <c r="H312" s="15"/>
      <c r="I312" s="15"/>
      <c r="J312" s="15"/>
    </row>
    <row r="313" spans="1:10">
      <c r="E313" s="19"/>
    </row>
    <row r="314" spans="1:10">
      <c r="E314" s="19"/>
    </row>
    <row r="315" spans="1:10">
      <c r="E315" s="19"/>
    </row>
    <row r="316" spans="1:10">
      <c r="E316" s="19"/>
    </row>
    <row r="317" spans="1:10">
      <c r="E317" s="19"/>
    </row>
    <row r="318" spans="1:10">
      <c r="E318" s="19"/>
    </row>
    <row r="319" spans="1:10">
      <c r="E319" s="19"/>
    </row>
    <row r="320" spans="1:10">
      <c r="E320" s="19"/>
    </row>
    <row r="321" spans="5:5">
      <c r="E321" s="19"/>
    </row>
    <row r="322" spans="5:5">
      <c r="E322" s="19"/>
    </row>
    <row r="323" spans="5:5">
      <c r="E323" s="19"/>
    </row>
    <row r="324" spans="5:5">
      <c r="E324" s="19"/>
    </row>
    <row r="325" spans="5:5">
      <c r="E325" s="19"/>
    </row>
    <row r="326" spans="5:5">
      <c r="E326" s="19"/>
    </row>
    <row r="327" spans="5:5">
      <c r="E327" s="19"/>
    </row>
    <row r="328" spans="5:5">
      <c r="E328" s="19"/>
    </row>
    <row r="329" spans="5:5">
      <c r="E329" s="19"/>
    </row>
    <row r="330" spans="5:5">
      <c r="E330" s="19"/>
    </row>
    <row r="331" spans="5:5">
      <c r="E331" s="19"/>
    </row>
    <row r="332" spans="5:5">
      <c r="E332" s="19"/>
    </row>
    <row r="333" spans="5:5">
      <c r="E333" s="19"/>
    </row>
    <row r="334" spans="5:5">
      <c r="E334" s="19"/>
    </row>
    <row r="335" spans="5:5">
      <c r="E335" s="19"/>
    </row>
    <row r="336" spans="5:5">
      <c r="E336" s="19"/>
    </row>
    <row r="337" spans="5:5">
      <c r="E337" s="19"/>
    </row>
    <row r="338" spans="5:5">
      <c r="E338" s="19"/>
    </row>
    <row r="339" spans="5:5">
      <c r="E339" s="19"/>
    </row>
    <row r="340" spans="5:5">
      <c r="E340" s="19"/>
    </row>
    <row r="341" spans="5:5">
      <c r="E341" s="19"/>
    </row>
    <row r="342" spans="5:5">
      <c r="E342" s="19"/>
    </row>
    <row r="343" spans="5:5">
      <c r="E343" s="19"/>
    </row>
    <row r="344" spans="5:5">
      <c r="E344" s="19"/>
    </row>
    <row r="345" spans="5:5">
      <c r="E345" s="19"/>
    </row>
    <row r="346" spans="5:5">
      <c r="E346" s="19"/>
    </row>
    <row r="347" spans="5:5">
      <c r="E347" s="19"/>
    </row>
    <row r="348" spans="5:5">
      <c r="E348" s="19"/>
    </row>
    <row r="349" spans="5:5">
      <c r="E349" s="19"/>
    </row>
    <row r="350" spans="5:5">
      <c r="E350" s="19"/>
    </row>
    <row r="351" spans="5:5">
      <c r="E351" s="19"/>
    </row>
    <row r="352" spans="5:5">
      <c r="E352" s="19"/>
    </row>
    <row r="353" spans="5:5">
      <c r="E353" s="19"/>
    </row>
    <row r="354" spans="5:5">
      <c r="E354" s="19"/>
    </row>
    <row r="355" spans="5:5">
      <c r="E355" s="19"/>
    </row>
    <row r="356" spans="5:5">
      <c r="E356" s="19"/>
    </row>
    <row r="357" spans="5:5">
      <c r="E357" s="19"/>
    </row>
    <row r="358" spans="5:5">
      <c r="E358" s="19"/>
    </row>
    <row r="359" spans="5:5">
      <c r="E359" s="19"/>
    </row>
    <row r="360" spans="5:5">
      <c r="E360" s="19"/>
    </row>
    <row r="361" spans="5:5">
      <c r="E361" s="19"/>
    </row>
    <row r="362" spans="5:5">
      <c r="E362" s="19"/>
    </row>
    <row r="363" spans="5:5">
      <c r="E363" s="19"/>
    </row>
    <row r="364" spans="5:5">
      <c r="E364" s="19"/>
    </row>
    <row r="365" spans="5:5">
      <c r="E365" s="19"/>
    </row>
    <row r="366" spans="5:5">
      <c r="E366" s="19"/>
    </row>
    <row r="367" spans="5:5">
      <c r="E367" s="19"/>
    </row>
    <row r="368" spans="5:5">
      <c r="E368" s="19"/>
    </row>
    <row r="369" spans="5:5">
      <c r="E369" s="19"/>
    </row>
    <row r="370" spans="5:5">
      <c r="E370" s="19"/>
    </row>
    <row r="371" spans="5:5">
      <c r="E371" s="19"/>
    </row>
    <row r="372" spans="5:5">
      <c r="E372" s="19"/>
    </row>
    <row r="373" spans="5:5">
      <c r="E373" s="19"/>
    </row>
    <row r="374" spans="5:5">
      <c r="E374" s="19"/>
    </row>
    <row r="375" spans="5:5">
      <c r="E375" s="19"/>
    </row>
    <row r="376" spans="5:5">
      <c r="E376" s="19"/>
    </row>
    <row r="377" spans="5:5">
      <c r="E377" s="19"/>
    </row>
    <row r="378" spans="5:5">
      <c r="E378" s="19"/>
    </row>
    <row r="379" spans="5:5">
      <c r="E379" s="19"/>
    </row>
    <row r="380" spans="5:5">
      <c r="E380" s="19"/>
    </row>
    <row r="381" spans="5:5">
      <c r="E381" s="19"/>
    </row>
    <row r="382" spans="5:5">
      <c r="E382" s="19"/>
    </row>
    <row r="383" spans="5:5">
      <c r="E383" s="19"/>
    </row>
    <row r="384" spans="5:5">
      <c r="E384" s="19"/>
    </row>
    <row r="385" spans="5:5">
      <c r="E385" s="19"/>
    </row>
    <row r="386" spans="5:5">
      <c r="E386" s="19"/>
    </row>
    <row r="387" spans="5:5">
      <c r="E387" s="19"/>
    </row>
    <row r="388" spans="5:5">
      <c r="E388" s="19"/>
    </row>
    <row r="389" spans="5:5">
      <c r="E389" s="19"/>
    </row>
    <row r="390" spans="5:5">
      <c r="E390" s="19"/>
    </row>
    <row r="391" spans="5:5">
      <c r="E391" s="19"/>
    </row>
    <row r="392" spans="5:5">
      <c r="E392" s="19"/>
    </row>
    <row r="393" spans="5:5">
      <c r="E393" s="19"/>
    </row>
    <row r="394" spans="5:5">
      <c r="E394" s="19"/>
    </row>
    <row r="395" spans="5:5">
      <c r="E395" s="19"/>
    </row>
    <row r="396" spans="5:5">
      <c r="E396" s="19"/>
    </row>
    <row r="397" spans="5:5">
      <c r="E397" s="19"/>
    </row>
    <row r="398" spans="5:5">
      <c r="E398" s="19"/>
    </row>
    <row r="399" spans="5:5">
      <c r="E399" s="19"/>
    </row>
    <row r="400" spans="5:5">
      <c r="E400" s="19"/>
    </row>
    <row r="401" spans="5:5">
      <c r="E401" s="19"/>
    </row>
    <row r="402" spans="5:5">
      <c r="E402" s="19"/>
    </row>
    <row r="403" spans="5:5">
      <c r="E403" s="19"/>
    </row>
    <row r="404" spans="5:5">
      <c r="E404" s="19"/>
    </row>
    <row r="405" spans="5:5">
      <c r="E405" s="19"/>
    </row>
    <row r="406" spans="5:5">
      <c r="E406" s="19"/>
    </row>
    <row r="407" spans="5:5">
      <c r="E407" s="19"/>
    </row>
    <row r="408" spans="5:5">
      <c r="E408" s="19"/>
    </row>
    <row r="409" spans="5:5">
      <c r="E409" s="19"/>
    </row>
    <row r="410" spans="5:5">
      <c r="E410" s="19"/>
    </row>
    <row r="411" spans="5:5">
      <c r="E411" s="19"/>
    </row>
    <row r="412" spans="5:5">
      <c r="E412" s="19"/>
    </row>
    <row r="413" spans="5:5">
      <c r="E413" s="19"/>
    </row>
    <row r="414" spans="5:5">
      <c r="E414" s="19"/>
    </row>
    <row r="415" spans="5:5">
      <c r="E415" s="19"/>
    </row>
    <row r="416" spans="5:5">
      <c r="E416" s="19"/>
    </row>
    <row r="417" spans="5:5">
      <c r="E417" s="19"/>
    </row>
    <row r="418" spans="5:5">
      <c r="E418" s="19"/>
    </row>
    <row r="419" spans="5:5">
      <c r="E419" s="19"/>
    </row>
    <row r="420" spans="5:5">
      <c r="E420" s="19"/>
    </row>
    <row r="421" spans="5:5">
      <c r="E421" s="19"/>
    </row>
    <row r="422" spans="5:5">
      <c r="E422" s="19"/>
    </row>
    <row r="423" spans="5:5">
      <c r="E423" s="19"/>
    </row>
    <row r="424" spans="5:5">
      <c r="E424" s="19"/>
    </row>
    <row r="425" spans="5:5">
      <c r="E425" s="19"/>
    </row>
    <row r="426" spans="5:5">
      <c r="E426" s="19"/>
    </row>
    <row r="427" spans="5:5">
      <c r="E427" s="19"/>
    </row>
    <row r="428" spans="5:5">
      <c r="E428" s="19"/>
    </row>
    <row r="429" spans="5:5">
      <c r="E429" s="19"/>
    </row>
    <row r="430" spans="5:5">
      <c r="E430" s="19"/>
    </row>
    <row r="431" spans="5:5">
      <c r="E431" s="19"/>
    </row>
    <row r="432" spans="5:5">
      <c r="E432" s="19"/>
    </row>
    <row r="433" spans="5:5">
      <c r="E433" s="19"/>
    </row>
    <row r="434" spans="5:5">
      <c r="E434" s="19"/>
    </row>
    <row r="435" spans="5:5">
      <c r="E435" s="19"/>
    </row>
    <row r="436" spans="5:5">
      <c r="E436" s="19"/>
    </row>
    <row r="437" spans="5:5">
      <c r="E437" s="19"/>
    </row>
    <row r="438" spans="5:5">
      <c r="E438" s="19"/>
    </row>
    <row r="439" spans="5:5">
      <c r="E439" s="19"/>
    </row>
    <row r="440" spans="5:5">
      <c r="E440" s="19"/>
    </row>
    <row r="441" spans="5:5">
      <c r="E441" s="19"/>
    </row>
    <row r="442" spans="5:5">
      <c r="E442" s="19"/>
    </row>
    <row r="443" spans="5:5">
      <c r="E443" s="19"/>
    </row>
    <row r="444" spans="5:5">
      <c r="E444" s="19"/>
    </row>
    <row r="445" spans="5:5">
      <c r="E445" s="19"/>
    </row>
    <row r="446" spans="5:5">
      <c r="E446" s="19"/>
    </row>
    <row r="447" spans="5:5">
      <c r="E447" s="19"/>
    </row>
    <row r="448" spans="5:5">
      <c r="E448" s="19"/>
    </row>
    <row r="449" spans="5:5">
      <c r="E449" s="19"/>
    </row>
    <row r="450" spans="5:5">
      <c r="E450" s="19"/>
    </row>
    <row r="451" spans="5:5">
      <c r="E451" s="19"/>
    </row>
    <row r="452" spans="5:5">
      <c r="E452" s="19"/>
    </row>
    <row r="453" spans="5:5">
      <c r="E453" s="19"/>
    </row>
    <row r="454" spans="5:5">
      <c r="E454" s="19"/>
    </row>
    <row r="455" spans="5:5">
      <c r="E455" s="19"/>
    </row>
    <row r="456" spans="5:5">
      <c r="E456" s="19"/>
    </row>
    <row r="457" spans="5:5">
      <c r="E457" s="19"/>
    </row>
    <row r="458" spans="5:5">
      <c r="E458" s="19"/>
    </row>
    <row r="459" spans="5:5">
      <c r="E459" s="19"/>
    </row>
    <row r="460" spans="5:5">
      <c r="E460" s="19"/>
    </row>
    <row r="461" spans="5:5">
      <c r="E461" s="19"/>
    </row>
    <row r="462" spans="5:5">
      <c r="E462" s="19"/>
    </row>
    <row r="463" spans="5:5">
      <c r="E463" s="19"/>
    </row>
    <row r="464" spans="5:5">
      <c r="E464" s="19"/>
    </row>
    <row r="465" spans="5:5">
      <c r="E465" s="19"/>
    </row>
    <row r="466" spans="5:5">
      <c r="E466" s="19"/>
    </row>
    <row r="467" spans="5:5">
      <c r="E467" s="19"/>
    </row>
    <row r="468" spans="5:5">
      <c r="E468" s="19"/>
    </row>
    <row r="469" spans="5:5">
      <c r="E469" s="19"/>
    </row>
    <row r="470" spans="5:5">
      <c r="E470" s="19"/>
    </row>
    <row r="471" spans="5:5">
      <c r="E471" s="19"/>
    </row>
    <row r="472" spans="5:5">
      <c r="E472" s="19"/>
    </row>
    <row r="473" spans="5:5">
      <c r="E473" s="19"/>
    </row>
    <row r="474" spans="5:5">
      <c r="E474" s="19"/>
    </row>
    <row r="475" spans="5:5">
      <c r="E475" s="19"/>
    </row>
    <row r="476" spans="5:5">
      <c r="E476" s="19"/>
    </row>
    <row r="477" spans="5:5">
      <c r="E477" s="19"/>
    </row>
    <row r="478" spans="5:5">
      <c r="E478" s="19"/>
    </row>
    <row r="479" spans="5:5">
      <c r="E479" s="19"/>
    </row>
    <row r="480" spans="5:5">
      <c r="E480" s="19"/>
    </row>
    <row r="481" spans="5:5">
      <c r="E481" s="19"/>
    </row>
    <row r="482" spans="5:5">
      <c r="E482" s="19"/>
    </row>
    <row r="483" spans="5:5">
      <c r="E483" s="19"/>
    </row>
    <row r="484" spans="5:5">
      <c r="E484" s="19"/>
    </row>
    <row r="485" spans="5:5">
      <c r="E485" s="19"/>
    </row>
    <row r="486" spans="5:5">
      <c r="E486" s="19"/>
    </row>
    <row r="487" spans="5:5">
      <c r="E487" s="19"/>
    </row>
    <row r="488" spans="5:5">
      <c r="E488" s="19"/>
    </row>
    <row r="489" spans="5:5">
      <c r="E489" s="19"/>
    </row>
    <row r="490" spans="5:5">
      <c r="E490" s="19"/>
    </row>
    <row r="491" spans="5:5">
      <c r="E491" s="19"/>
    </row>
    <row r="492" spans="5:5">
      <c r="E492" s="19"/>
    </row>
    <row r="493" spans="5:5">
      <c r="E493" s="19"/>
    </row>
    <row r="494" spans="5:5">
      <c r="E494" s="19"/>
    </row>
    <row r="495" spans="5:5">
      <c r="E495" s="19"/>
    </row>
    <row r="496" spans="5:5">
      <c r="E496" s="19"/>
    </row>
    <row r="497" spans="5:5">
      <c r="E497" s="19"/>
    </row>
    <row r="498" spans="5:5">
      <c r="E498" s="19"/>
    </row>
    <row r="499" spans="5:5">
      <c r="E499" s="19"/>
    </row>
    <row r="500" spans="5:5">
      <c r="E500" s="19"/>
    </row>
    <row r="501" spans="5:5">
      <c r="E501" s="19"/>
    </row>
    <row r="502" spans="5:5">
      <c r="E502" s="19"/>
    </row>
    <row r="503" spans="5:5">
      <c r="E503" s="19"/>
    </row>
    <row r="504" spans="5:5">
      <c r="E504" s="19"/>
    </row>
    <row r="505" spans="5:5">
      <c r="E505" s="19"/>
    </row>
    <row r="506" spans="5:5">
      <c r="E506" s="19"/>
    </row>
    <row r="507" spans="5:5">
      <c r="E507" s="19"/>
    </row>
    <row r="508" spans="5:5">
      <c r="E508" s="19"/>
    </row>
    <row r="509" spans="5:5">
      <c r="E509" s="19"/>
    </row>
    <row r="510" spans="5:5">
      <c r="E510" s="19"/>
    </row>
    <row r="511" spans="5:5">
      <c r="E511" s="19"/>
    </row>
    <row r="512" spans="5:5">
      <c r="E512" s="19"/>
    </row>
    <row r="513" spans="5:5">
      <c r="E513" s="19"/>
    </row>
    <row r="514" spans="5:5">
      <c r="E514" s="19"/>
    </row>
    <row r="515" spans="5:5">
      <c r="E515" s="19"/>
    </row>
    <row r="516" spans="5:5">
      <c r="E516" s="19"/>
    </row>
    <row r="517" spans="5:5">
      <c r="E517" s="19"/>
    </row>
    <row r="518" spans="5:5">
      <c r="E518" s="19"/>
    </row>
    <row r="519" spans="5:5">
      <c r="E519" s="19"/>
    </row>
    <row r="520" spans="5:5">
      <c r="E520" s="19"/>
    </row>
    <row r="521" spans="5:5">
      <c r="E521" s="19"/>
    </row>
    <row r="522" spans="5:5">
      <c r="E522" s="19"/>
    </row>
    <row r="523" spans="5:5">
      <c r="E523" s="19"/>
    </row>
    <row r="524" spans="5:5">
      <c r="E524" s="19"/>
    </row>
    <row r="525" spans="5:5">
      <c r="E525" s="19"/>
    </row>
    <row r="526" spans="5:5">
      <c r="E526" s="19"/>
    </row>
    <row r="527" spans="5:5">
      <c r="E527" s="19"/>
    </row>
    <row r="528" spans="5:5">
      <c r="E528" s="19"/>
    </row>
    <row r="529" spans="5:5">
      <c r="E529" s="19"/>
    </row>
    <row r="530" spans="5:5">
      <c r="E530" s="19"/>
    </row>
    <row r="531" spans="5:5">
      <c r="E531" s="19"/>
    </row>
    <row r="532" spans="5:5">
      <c r="E532" s="19"/>
    </row>
    <row r="533" spans="5:5">
      <c r="E533" s="19"/>
    </row>
    <row r="534" spans="5:5">
      <c r="E534" s="19"/>
    </row>
    <row r="535" spans="5:5">
      <c r="E535" s="19"/>
    </row>
    <row r="536" spans="5:5">
      <c r="E536" s="19"/>
    </row>
    <row r="537" spans="5:5">
      <c r="E537" s="19"/>
    </row>
    <row r="538" spans="5:5">
      <c r="E538" s="19"/>
    </row>
    <row r="539" spans="5:5">
      <c r="E539" s="19"/>
    </row>
    <row r="540" spans="5:5">
      <c r="E540" s="19"/>
    </row>
    <row r="541" spans="5:5">
      <c r="E541" s="19"/>
    </row>
    <row r="542" spans="5:5">
      <c r="E542" s="19"/>
    </row>
    <row r="543" spans="5:5">
      <c r="E543" s="19"/>
    </row>
    <row r="544" spans="5:5">
      <c r="E544" s="19"/>
    </row>
    <row r="545" spans="5:5">
      <c r="E545" s="19"/>
    </row>
    <row r="546" spans="5:5">
      <c r="E546" s="19"/>
    </row>
    <row r="547" spans="5:5">
      <c r="E547" s="19"/>
    </row>
    <row r="548" spans="5:5">
      <c r="E548" s="19"/>
    </row>
    <row r="549" spans="5:5">
      <c r="E549" s="19"/>
    </row>
    <row r="550" spans="5:5">
      <c r="E550" s="19"/>
    </row>
    <row r="551" spans="5:5">
      <c r="E551" s="19"/>
    </row>
    <row r="552" spans="5:5">
      <c r="E552" s="19"/>
    </row>
    <row r="553" spans="5:5">
      <c r="E553" s="19"/>
    </row>
    <row r="554" spans="5:5">
      <c r="E554" s="19"/>
    </row>
    <row r="555" spans="5:5">
      <c r="E555" s="19"/>
    </row>
    <row r="556" spans="5:5">
      <c r="E556" s="19"/>
    </row>
    <row r="557" spans="5:5">
      <c r="E557" s="19"/>
    </row>
    <row r="558" spans="5:5">
      <c r="E558" s="19"/>
    </row>
    <row r="559" spans="5:5">
      <c r="E559" s="19"/>
    </row>
    <row r="560" spans="5:5">
      <c r="E560" s="19"/>
    </row>
    <row r="561" spans="5:5">
      <c r="E561" s="19"/>
    </row>
    <row r="562" spans="5:5">
      <c r="E562" s="19"/>
    </row>
    <row r="563" spans="5:5">
      <c r="E563" s="19"/>
    </row>
    <row r="564" spans="5:5">
      <c r="E564" s="19"/>
    </row>
    <row r="565" spans="5:5">
      <c r="E565" s="19"/>
    </row>
    <row r="566" spans="5:5">
      <c r="E566" s="19"/>
    </row>
    <row r="567" spans="5:5">
      <c r="E567" s="19"/>
    </row>
    <row r="568" spans="5:5">
      <c r="E568" s="19"/>
    </row>
    <row r="569" spans="5:5">
      <c r="E569" s="19"/>
    </row>
    <row r="570" spans="5:5">
      <c r="E570" s="19"/>
    </row>
    <row r="571" spans="5:5">
      <c r="E571" s="19"/>
    </row>
    <row r="572" spans="5:5">
      <c r="E572" s="19"/>
    </row>
    <row r="573" spans="5:5">
      <c r="E573" s="19"/>
    </row>
    <row r="574" spans="5:5">
      <c r="E574" s="19"/>
    </row>
    <row r="575" spans="5:5">
      <c r="E575" s="19"/>
    </row>
    <row r="576" spans="5:5">
      <c r="E576" s="19"/>
    </row>
    <row r="577" spans="5:5">
      <c r="E577" s="19"/>
    </row>
    <row r="578" spans="5:5">
      <c r="E578" s="19"/>
    </row>
    <row r="579" spans="5:5">
      <c r="E579" s="19"/>
    </row>
    <row r="580" spans="5:5">
      <c r="E580" s="19"/>
    </row>
    <row r="581" spans="5:5">
      <c r="E581" s="19"/>
    </row>
    <row r="582" spans="5:5">
      <c r="E582" s="19"/>
    </row>
    <row r="583" spans="5:5">
      <c r="E583" s="19"/>
    </row>
    <row r="584" spans="5:5">
      <c r="E584" s="19"/>
    </row>
    <row r="585" spans="5:5">
      <c r="E585" s="19"/>
    </row>
    <row r="586" spans="5:5">
      <c r="E586" s="19"/>
    </row>
    <row r="587" spans="5:5">
      <c r="E587" s="19"/>
    </row>
    <row r="588" spans="5:5">
      <c r="E588" s="19"/>
    </row>
    <row r="589" spans="5:5">
      <c r="E589" s="19"/>
    </row>
    <row r="590" spans="5:5">
      <c r="E590" s="19"/>
    </row>
    <row r="591" spans="5:5">
      <c r="E591" s="19"/>
    </row>
    <row r="592" spans="5:5">
      <c r="E592" s="19"/>
    </row>
    <row r="593" spans="5:5">
      <c r="E593" s="19"/>
    </row>
    <row r="594" spans="5:5">
      <c r="E594" s="19"/>
    </row>
    <row r="595" spans="5:5">
      <c r="E595" s="19"/>
    </row>
    <row r="596" spans="5:5">
      <c r="E596" s="19"/>
    </row>
    <row r="597" spans="5:5">
      <c r="E597" s="19"/>
    </row>
    <row r="598" spans="5:5">
      <c r="E598" s="19"/>
    </row>
    <row r="599" spans="5:5">
      <c r="E599" s="19"/>
    </row>
    <row r="600" spans="5:5">
      <c r="E600" s="19"/>
    </row>
    <row r="601" spans="5:5">
      <c r="E601" s="19"/>
    </row>
    <row r="602" spans="5:5">
      <c r="E602" s="19"/>
    </row>
    <row r="603" spans="5:5">
      <c r="E603" s="19"/>
    </row>
    <row r="604" spans="5:5">
      <c r="E604" s="19"/>
    </row>
    <row r="605" spans="5:5">
      <c r="E605" s="19"/>
    </row>
    <row r="606" spans="5:5">
      <c r="E606" s="19"/>
    </row>
    <row r="607" spans="5:5">
      <c r="E607" s="19"/>
    </row>
    <row r="608" spans="5:5">
      <c r="E608" s="19"/>
    </row>
    <row r="609" spans="5:5">
      <c r="E609" s="19"/>
    </row>
    <row r="610" spans="5:5">
      <c r="E610" s="19"/>
    </row>
    <row r="611" spans="5:5">
      <c r="E611" s="19"/>
    </row>
    <row r="612" spans="5:5">
      <c r="E612" s="19"/>
    </row>
    <row r="613" spans="5:5">
      <c r="E613" s="19"/>
    </row>
    <row r="614" spans="5:5">
      <c r="E614" s="19"/>
    </row>
    <row r="615" spans="5:5">
      <c r="E615" s="19"/>
    </row>
    <row r="616" spans="5:5">
      <c r="E616" s="19"/>
    </row>
    <row r="617" spans="5:5">
      <c r="E617" s="19"/>
    </row>
    <row r="618" spans="5:5">
      <c r="E618" s="19"/>
    </row>
    <row r="619" spans="5:5">
      <c r="E619" s="19"/>
    </row>
    <row r="620" spans="5:5">
      <c r="E620" s="19"/>
    </row>
    <row r="621" spans="5:5">
      <c r="E621" s="19"/>
    </row>
    <row r="622" spans="5:5">
      <c r="E622" s="19"/>
    </row>
    <row r="623" spans="5:5">
      <c r="E623" s="19"/>
    </row>
    <row r="624" spans="5:5">
      <c r="E624" s="19"/>
    </row>
    <row r="625" spans="5:5">
      <c r="E625" s="19"/>
    </row>
    <row r="626" spans="5:5">
      <c r="E626" s="19"/>
    </row>
    <row r="627" spans="5:5">
      <c r="E627" s="19"/>
    </row>
    <row r="628" spans="5:5">
      <c r="E628" s="19"/>
    </row>
    <row r="629" spans="5:5">
      <c r="E629" s="19"/>
    </row>
    <row r="630" spans="5:5">
      <c r="E630" s="19"/>
    </row>
    <row r="631" spans="5:5">
      <c r="E631" s="19"/>
    </row>
    <row r="632" spans="5:5">
      <c r="E632" s="19"/>
    </row>
    <row r="633" spans="5:5">
      <c r="E633" s="19"/>
    </row>
    <row r="634" spans="5:5">
      <c r="E634" s="19"/>
    </row>
    <row r="635" spans="5:5">
      <c r="E635" s="19"/>
    </row>
    <row r="636" spans="5:5">
      <c r="E636" s="19"/>
    </row>
    <row r="637" spans="5:5">
      <c r="E637" s="19"/>
    </row>
    <row r="638" spans="5:5">
      <c r="E638" s="19"/>
    </row>
    <row r="639" spans="5:5">
      <c r="E639" s="19"/>
    </row>
    <row r="640" spans="5:5">
      <c r="E640" s="19"/>
    </row>
    <row r="641" spans="5:5">
      <c r="E641" s="19"/>
    </row>
    <row r="642" spans="5:5">
      <c r="E642" s="19"/>
    </row>
    <row r="643" spans="5:5">
      <c r="E643" s="19"/>
    </row>
    <row r="644" spans="5:5">
      <c r="E644" s="19"/>
    </row>
    <row r="645" spans="5:5">
      <c r="E645" s="19"/>
    </row>
    <row r="646" spans="5:5">
      <c r="E646" s="19"/>
    </row>
    <row r="647" spans="5:5">
      <c r="E647" s="19"/>
    </row>
    <row r="648" spans="5:5">
      <c r="E648" s="19"/>
    </row>
    <row r="649" spans="5:5">
      <c r="E649" s="19"/>
    </row>
    <row r="650" spans="5:5">
      <c r="E650" s="19"/>
    </row>
    <row r="651" spans="5:5">
      <c r="E651" s="19"/>
    </row>
    <row r="652" spans="5:5">
      <c r="E652" s="19"/>
    </row>
    <row r="653" spans="5:5">
      <c r="E653" s="19"/>
    </row>
    <row r="654" spans="5:5">
      <c r="E654" s="19"/>
    </row>
    <row r="655" spans="5:5">
      <c r="E655" s="19"/>
    </row>
    <row r="656" spans="5:5">
      <c r="E656" s="19"/>
    </row>
    <row r="657" spans="5:5">
      <c r="E657" s="19"/>
    </row>
    <row r="658" spans="5:5">
      <c r="E658" s="19"/>
    </row>
    <row r="659" spans="5:5">
      <c r="E659" s="19"/>
    </row>
    <row r="660" spans="5:5">
      <c r="E660" s="19"/>
    </row>
    <row r="661" spans="5:5">
      <c r="E661" s="19"/>
    </row>
    <row r="662" spans="5:5">
      <c r="E662" s="19"/>
    </row>
    <row r="663" spans="5:5">
      <c r="E663" s="19"/>
    </row>
    <row r="664" spans="5:5">
      <c r="E664" s="19"/>
    </row>
    <row r="665" spans="5:5">
      <c r="E665" s="19"/>
    </row>
    <row r="666" spans="5:5">
      <c r="E666" s="19"/>
    </row>
    <row r="667" spans="5:5">
      <c r="E667" s="19"/>
    </row>
    <row r="668" spans="5:5">
      <c r="E668" s="19"/>
    </row>
    <row r="669" spans="5:5">
      <c r="E669" s="19"/>
    </row>
    <row r="670" spans="5:5">
      <c r="E670" s="19"/>
    </row>
    <row r="671" spans="5:5">
      <c r="E671" s="19"/>
    </row>
    <row r="672" spans="5:5">
      <c r="E672" s="19"/>
    </row>
    <row r="673" spans="5:5">
      <c r="E673" s="19"/>
    </row>
    <row r="674" spans="5:5">
      <c r="E674" s="19"/>
    </row>
    <row r="675" spans="5:5">
      <c r="E675" s="19"/>
    </row>
    <row r="676" spans="5:5">
      <c r="E676" s="19"/>
    </row>
    <row r="677" spans="5:5">
      <c r="E677" s="19"/>
    </row>
    <row r="678" spans="5:5">
      <c r="E678" s="19"/>
    </row>
    <row r="679" spans="5:5">
      <c r="E679" s="19"/>
    </row>
    <row r="680" spans="5:5">
      <c r="E680" s="19"/>
    </row>
    <row r="681" spans="5:5">
      <c r="E681" s="19"/>
    </row>
    <row r="682" spans="5:5">
      <c r="E682" s="19"/>
    </row>
    <row r="683" spans="5:5">
      <c r="E683" s="19"/>
    </row>
    <row r="684" spans="5:5">
      <c r="E684" s="19"/>
    </row>
    <row r="685" spans="5:5">
      <c r="E685" s="19"/>
    </row>
    <row r="686" spans="5:5">
      <c r="E686" s="19"/>
    </row>
    <row r="687" spans="5:5">
      <c r="E687" s="19"/>
    </row>
    <row r="688" spans="5:5">
      <c r="E688" s="19"/>
    </row>
    <row r="689" spans="5:5">
      <c r="E689" s="19"/>
    </row>
    <row r="690" spans="5:5">
      <c r="E690" s="19"/>
    </row>
    <row r="691" spans="5:5">
      <c r="E691" s="19"/>
    </row>
    <row r="692" spans="5:5">
      <c r="E692" s="19"/>
    </row>
    <row r="693" spans="5:5">
      <c r="E693" s="19"/>
    </row>
    <row r="694" spans="5:5">
      <c r="E694" s="19"/>
    </row>
    <row r="695" spans="5:5">
      <c r="E695" s="19"/>
    </row>
    <row r="696" spans="5:5">
      <c r="E696" s="19"/>
    </row>
    <row r="697" spans="5:5">
      <c r="E697" s="19"/>
    </row>
    <row r="698" spans="5:5">
      <c r="E698" s="19"/>
    </row>
    <row r="699" spans="5:5">
      <c r="E699" s="19"/>
    </row>
    <row r="700" spans="5:5">
      <c r="E700" s="19"/>
    </row>
    <row r="701" spans="5:5">
      <c r="E701" s="19"/>
    </row>
    <row r="702" spans="5:5">
      <c r="E702" s="19"/>
    </row>
    <row r="703" spans="5:5">
      <c r="E703" s="19"/>
    </row>
    <row r="704" spans="5:5">
      <c r="E704" s="19"/>
    </row>
    <row r="705" spans="5:5">
      <c r="E705" s="19"/>
    </row>
    <row r="706" spans="5:5">
      <c r="E706" s="19"/>
    </row>
    <row r="707" spans="5:5">
      <c r="E707" s="19"/>
    </row>
    <row r="708" spans="5:5">
      <c r="E708" s="19"/>
    </row>
    <row r="709" spans="5:5">
      <c r="E709" s="19"/>
    </row>
    <row r="710" spans="5:5">
      <c r="E710" s="19"/>
    </row>
    <row r="711" spans="5:5">
      <c r="E711" s="19"/>
    </row>
    <row r="712" spans="5:5">
      <c r="E712" s="19"/>
    </row>
    <row r="713" spans="5:5">
      <c r="E713" s="19"/>
    </row>
    <row r="714" spans="5:5">
      <c r="E714" s="19"/>
    </row>
    <row r="715" spans="5:5">
      <c r="E715" s="19"/>
    </row>
    <row r="716" spans="5:5">
      <c r="E716" s="19"/>
    </row>
    <row r="717" spans="5:5">
      <c r="E717" s="19"/>
    </row>
    <row r="718" spans="5:5">
      <c r="E718" s="19"/>
    </row>
    <row r="719" spans="5:5">
      <c r="E719" s="19"/>
    </row>
    <row r="720" spans="5:5">
      <c r="E720" s="19"/>
    </row>
    <row r="721" spans="5:5">
      <c r="E721" s="19"/>
    </row>
    <row r="722" spans="5:5">
      <c r="E722" s="19"/>
    </row>
    <row r="723" spans="5:5">
      <c r="E723" s="19"/>
    </row>
    <row r="724" spans="5:5">
      <c r="E724" s="19"/>
    </row>
    <row r="725" spans="5:5">
      <c r="E725" s="19"/>
    </row>
    <row r="726" spans="5:5">
      <c r="E726" s="19"/>
    </row>
    <row r="727" spans="5:5">
      <c r="E727" s="19"/>
    </row>
    <row r="728" spans="5:5">
      <c r="E728" s="19"/>
    </row>
    <row r="729" spans="5:5">
      <c r="E729" s="19"/>
    </row>
    <row r="730" spans="5:5">
      <c r="E730" s="19"/>
    </row>
    <row r="731" spans="5:5">
      <c r="E731" s="19"/>
    </row>
    <row r="732" spans="5:5">
      <c r="E732" s="19"/>
    </row>
    <row r="733" spans="5:5">
      <c r="E733" s="19"/>
    </row>
    <row r="734" spans="5:5">
      <c r="E734" s="19"/>
    </row>
    <row r="735" spans="5:5">
      <c r="E735" s="19"/>
    </row>
    <row r="736" spans="5:5">
      <c r="E736" s="19"/>
    </row>
    <row r="737" spans="5:5">
      <c r="E737" s="19"/>
    </row>
    <row r="738" spans="5:5">
      <c r="E738" s="19"/>
    </row>
    <row r="739" spans="5:5">
      <c r="E739" s="19"/>
    </row>
    <row r="740" spans="5:5">
      <c r="E740" s="19"/>
    </row>
    <row r="741" spans="5:5">
      <c r="E741" s="19"/>
    </row>
    <row r="742" spans="5:5">
      <c r="E742" s="19"/>
    </row>
    <row r="743" spans="5:5">
      <c r="E743" s="19"/>
    </row>
    <row r="744" spans="5:5">
      <c r="E744" s="19"/>
    </row>
    <row r="745" spans="5:5">
      <c r="E745" s="19"/>
    </row>
    <row r="746" spans="5:5">
      <c r="E746" s="19"/>
    </row>
    <row r="747" spans="5:5">
      <c r="E747" s="19"/>
    </row>
    <row r="748" spans="5:5">
      <c r="E748" s="19"/>
    </row>
    <row r="749" spans="5:5">
      <c r="E749" s="19"/>
    </row>
    <row r="750" spans="5:5">
      <c r="E750" s="19"/>
    </row>
    <row r="751" spans="5:5">
      <c r="E751" s="19"/>
    </row>
    <row r="752" spans="5:5">
      <c r="E752" s="19"/>
    </row>
    <row r="753" spans="5:5">
      <c r="E753" s="19"/>
    </row>
    <row r="754" spans="5:5">
      <c r="E754" s="19"/>
    </row>
    <row r="755" spans="5:5">
      <c r="E755" s="19"/>
    </row>
    <row r="756" spans="5:5">
      <c r="E756" s="19"/>
    </row>
    <row r="757" spans="5:5">
      <c r="E757" s="19"/>
    </row>
    <row r="758" spans="5:5">
      <c r="E758" s="19"/>
    </row>
    <row r="759" spans="5:5">
      <c r="E759" s="19"/>
    </row>
    <row r="760" spans="5:5">
      <c r="E760" s="19"/>
    </row>
    <row r="761" spans="5:5">
      <c r="E761" s="19"/>
    </row>
    <row r="762" spans="5:5">
      <c r="E762" s="19"/>
    </row>
    <row r="763" spans="5:5">
      <c r="E763" s="19"/>
    </row>
    <row r="764" spans="5:5">
      <c r="E764" s="19"/>
    </row>
    <row r="765" spans="5:5">
      <c r="E765" s="19"/>
    </row>
    <row r="766" spans="5:5">
      <c r="E766" s="19"/>
    </row>
    <row r="767" spans="5:5">
      <c r="E767" s="19"/>
    </row>
    <row r="768" spans="5:5">
      <c r="E768" s="19"/>
    </row>
    <row r="769" spans="5:5">
      <c r="E769" s="19"/>
    </row>
    <row r="770" spans="5:5">
      <c r="E770" s="19"/>
    </row>
    <row r="771" spans="5:5">
      <c r="E771" s="19"/>
    </row>
    <row r="772" spans="5:5">
      <c r="E772" s="19"/>
    </row>
    <row r="773" spans="5:5">
      <c r="E773" s="19"/>
    </row>
    <row r="774" spans="5:5">
      <c r="E774" s="19"/>
    </row>
    <row r="775" spans="5:5">
      <c r="E775" s="19"/>
    </row>
    <row r="776" spans="5:5">
      <c r="E776" s="19"/>
    </row>
    <row r="777" spans="5:5">
      <c r="E777" s="19"/>
    </row>
    <row r="778" spans="5:5">
      <c r="E778" s="19"/>
    </row>
    <row r="779" spans="5:5">
      <c r="E779" s="19"/>
    </row>
    <row r="780" spans="5:5">
      <c r="E780" s="19"/>
    </row>
    <row r="781" spans="5:5">
      <c r="E781" s="19"/>
    </row>
    <row r="782" spans="5:5">
      <c r="E782" s="19"/>
    </row>
    <row r="783" spans="5:5">
      <c r="E783" s="19"/>
    </row>
    <row r="784" spans="5:5">
      <c r="E784" s="19"/>
    </row>
    <row r="785" spans="5:5">
      <c r="E785" s="19"/>
    </row>
    <row r="786" spans="5:5">
      <c r="E786" s="19"/>
    </row>
    <row r="787" spans="5:5">
      <c r="E787" s="19"/>
    </row>
    <row r="788" spans="5:5">
      <c r="E788" s="19"/>
    </row>
    <row r="789" spans="5:5">
      <c r="E789" s="19"/>
    </row>
    <row r="790" spans="5:5">
      <c r="E790" s="19"/>
    </row>
    <row r="791" spans="5:5">
      <c r="E791" s="19"/>
    </row>
    <row r="792" spans="5:5">
      <c r="E792" s="19"/>
    </row>
    <row r="793" spans="5:5">
      <c r="E793" s="19"/>
    </row>
    <row r="794" spans="5:5">
      <c r="E794" s="19"/>
    </row>
    <row r="795" spans="5:5">
      <c r="E795" s="19"/>
    </row>
    <row r="796" spans="5:5">
      <c r="E796" s="19"/>
    </row>
    <row r="797" spans="5:5">
      <c r="E797" s="19"/>
    </row>
    <row r="798" spans="5:5">
      <c r="E798" s="19"/>
    </row>
    <row r="799" spans="5:5">
      <c r="E799" s="19"/>
    </row>
    <row r="800" spans="5:5">
      <c r="E800" s="19"/>
    </row>
    <row r="801" spans="5:5">
      <c r="E801" s="19"/>
    </row>
    <row r="802" spans="5:5">
      <c r="E802" s="19"/>
    </row>
    <row r="803" spans="5:5">
      <c r="E803" s="19"/>
    </row>
    <row r="804" spans="5:5">
      <c r="E804" s="19"/>
    </row>
    <row r="805" spans="5:5">
      <c r="E805" s="19"/>
    </row>
    <row r="806" spans="5:5">
      <c r="E806" s="19"/>
    </row>
    <row r="807" spans="5:5">
      <c r="E807" s="19"/>
    </row>
    <row r="808" spans="5:5">
      <c r="E808" s="19"/>
    </row>
    <row r="809" spans="5:5">
      <c r="E809" s="19"/>
    </row>
    <row r="810" spans="5:5">
      <c r="E810" s="19"/>
    </row>
    <row r="811" spans="5:5">
      <c r="E811" s="19"/>
    </row>
    <row r="812" spans="5:5">
      <c r="E812" s="19"/>
    </row>
    <row r="813" spans="5:5">
      <c r="E813" s="19"/>
    </row>
    <row r="814" spans="5:5">
      <c r="E814" s="19"/>
    </row>
    <row r="815" spans="5:5">
      <c r="E815" s="19"/>
    </row>
    <row r="816" spans="5:5">
      <c r="E816" s="19"/>
    </row>
    <row r="817" spans="5:5">
      <c r="E817" s="19"/>
    </row>
    <row r="818" spans="5:5">
      <c r="E818" s="19"/>
    </row>
    <row r="819" spans="5:5">
      <c r="E819" s="19"/>
    </row>
    <row r="820" spans="5:5">
      <c r="E820" s="19"/>
    </row>
    <row r="821" spans="5:5">
      <c r="E821" s="19"/>
    </row>
    <row r="822" spans="5:5">
      <c r="E822" s="19"/>
    </row>
    <row r="823" spans="5:5">
      <c r="E823" s="19"/>
    </row>
    <row r="824" spans="5:5">
      <c r="E824" s="19"/>
    </row>
    <row r="825" spans="5:5">
      <c r="E825" s="19"/>
    </row>
    <row r="826" spans="5:5">
      <c r="E826" s="19"/>
    </row>
    <row r="827" spans="5:5">
      <c r="E827" s="19"/>
    </row>
    <row r="828" spans="5:5">
      <c r="E828" s="19"/>
    </row>
    <row r="829" spans="5:5">
      <c r="E829" s="19"/>
    </row>
    <row r="830" spans="5:5">
      <c r="E830" s="19"/>
    </row>
    <row r="831" spans="5:5">
      <c r="E831" s="19"/>
    </row>
    <row r="832" spans="5:5">
      <c r="E832" s="19"/>
    </row>
    <row r="833" spans="5:5">
      <c r="E833" s="19"/>
    </row>
    <row r="834" spans="5:5">
      <c r="E834" s="19"/>
    </row>
    <row r="835" spans="5:5">
      <c r="E835" s="19"/>
    </row>
    <row r="836" spans="5:5">
      <c r="E836" s="19"/>
    </row>
    <row r="837" spans="5:5">
      <c r="E837" s="19"/>
    </row>
    <row r="838" spans="5:5">
      <c r="E838" s="19"/>
    </row>
    <row r="839" spans="5:5">
      <c r="E839" s="19"/>
    </row>
    <row r="840" spans="5:5">
      <c r="E840" s="19"/>
    </row>
    <row r="841" spans="5:5">
      <c r="E841" s="19"/>
    </row>
    <row r="842" spans="5:5">
      <c r="E842" s="19"/>
    </row>
    <row r="843" spans="5:5">
      <c r="E843" s="19"/>
    </row>
    <row r="844" spans="5:5">
      <c r="E844" s="19"/>
    </row>
    <row r="845" spans="5:5">
      <c r="E845" s="19"/>
    </row>
    <row r="846" spans="5:5">
      <c r="E846" s="19"/>
    </row>
    <row r="847" spans="5:5">
      <c r="E847" s="19"/>
    </row>
    <row r="848" spans="5:5">
      <c r="E848" s="19"/>
    </row>
    <row r="849" spans="5:5">
      <c r="E849" s="19"/>
    </row>
    <row r="850" spans="5:5">
      <c r="E850" s="19"/>
    </row>
    <row r="851" spans="5:5">
      <c r="E851" s="19"/>
    </row>
    <row r="852" spans="5:5">
      <c r="E852" s="19"/>
    </row>
    <row r="853" spans="5:5">
      <c r="E853" s="19"/>
    </row>
    <row r="854" spans="5:5">
      <c r="E854" s="19"/>
    </row>
    <row r="855" spans="5:5">
      <c r="E855" s="19"/>
    </row>
    <row r="856" spans="5:5">
      <c r="E856" s="19"/>
    </row>
    <row r="857" spans="5:5">
      <c r="E857" s="19"/>
    </row>
    <row r="858" spans="5:5">
      <c r="E858" s="19"/>
    </row>
  </sheetData>
  <conditionalFormatting sqref="G229:G237 F229:F234 F236:F237 F227:J227 H237:K237 H229:H231 E238:J238 H233:H236 I229:J236 F212:J220">
    <cfRule type="expression" dxfId="3" priority="1">
      <formula>#REF!=0</formula>
    </cfRule>
  </conditionalFormatting>
  <printOptions headings="1"/>
  <pageMargins left="0.23622047244094491" right="0.27559055118110237" top="0.74803149606299213" bottom="0.74803149606299213" header="0.31496062992125984" footer="0.31496062992125984"/>
  <pageSetup paperSize="8" scale="53" fitToHeight="0" orientation="portrait" r:id="rId1"/>
  <drawing r:id="rId2"/>
  <legacyDrawing r:id="rId3"/>
</worksheet>
</file>

<file path=xl/worksheets/sheet18.xml><?xml version="1.0" encoding="utf-8"?>
<worksheet xmlns="http://schemas.openxmlformats.org/spreadsheetml/2006/main" xmlns:r="http://schemas.openxmlformats.org/officeDocument/2006/relationships">
  <sheetPr codeName="Sheet32">
    <tabColor theme="9" tint="0.79998168889431442"/>
    <pageSetUpPr fitToPage="1"/>
  </sheetPr>
  <dimension ref="A1:Z858"/>
  <sheetViews>
    <sheetView zoomScaleNormal="100" workbookViewId="0"/>
  </sheetViews>
  <sheetFormatPr defaultRowHeight="15"/>
  <cols>
    <col min="1" max="2" width="4.140625" style="22" customWidth="1"/>
    <col min="3" max="3" width="47.5703125" style="22" customWidth="1"/>
    <col min="4" max="4" width="13.5703125" style="22" customWidth="1"/>
    <col min="5" max="5" width="10.5703125" style="22" customWidth="1"/>
    <col min="6" max="6" width="13.42578125" style="22" customWidth="1"/>
    <col min="7" max="7" width="10.42578125" style="22" customWidth="1"/>
    <col min="8" max="8" width="11.5703125" style="22" customWidth="1"/>
    <col min="9" max="9" width="10.28515625" style="22" customWidth="1"/>
    <col min="10" max="10" width="13.7109375" style="22" customWidth="1"/>
    <col min="11" max="11" width="11.28515625" style="22" customWidth="1"/>
    <col min="12" max="12" width="19.5703125" style="22" bestFit="1" customWidth="1"/>
    <col min="13" max="13" width="11.5703125" style="22" bestFit="1" customWidth="1"/>
    <col min="14" max="16384" width="9.140625" style="22"/>
  </cols>
  <sheetData>
    <row r="1" spans="1:16" ht="23.25">
      <c r="A1" s="27"/>
      <c r="C1" s="1" t="str">
        <f ca="1">OFFSET(Inputs_Anchor,0,G1+1)</f>
        <v xml:space="preserve">Unison </v>
      </c>
      <c r="D1" s="1"/>
      <c r="E1" s="1"/>
      <c r="F1" s="4" t="s">
        <v>109</v>
      </c>
      <c r="G1" s="5">
        <v>14</v>
      </c>
      <c r="H1" s="1"/>
      <c r="I1" s="1"/>
      <c r="J1" s="1"/>
      <c r="K1" s="1"/>
      <c r="L1" s="1"/>
      <c r="M1" s="1"/>
      <c r="N1" s="1"/>
      <c r="O1" s="1"/>
      <c r="P1" s="1"/>
    </row>
    <row r="2" spans="1:16">
      <c r="A2" s="27"/>
      <c r="L2" s="26"/>
    </row>
    <row r="3" spans="1:16" ht="23.25">
      <c r="C3" s="1" t="s">
        <v>3</v>
      </c>
      <c r="D3" s="1"/>
      <c r="E3" s="1"/>
      <c r="F3" s="1"/>
      <c r="G3" s="1"/>
      <c r="H3" s="1"/>
      <c r="I3" s="1"/>
      <c r="J3" s="1"/>
      <c r="K3" s="1"/>
      <c r="L3" s="1"/>
      <c r="M3" s="1"/>
      <c r="N3" s="1"/>
      <c r="O3" s="1"/>
      <c r="P3" s="1"/>
    </row>
    <row r="4" spans="1:16">
      <c r="A4" s="27"/>
      <c r="B4" s="27"/>
      <c r="C4" s="27"/>
      <c r="D4" s="147" t="s">
        <v>57</v>
      </c>
      <c r="E4" s="147" t="s">
        <v>58</v>
      </c>
      <c r="F4" s="27"/>
      <c r="G4" s="27"/>
      <c r="H4" s="148" t="s">
        <v>5</v>
      </c>
      <c r="I4" s="27"/>
      <c r="J4" s="27"/>
      <c r="K4" s="27"/>
      <c r="L4" s="27"/>
    </row>
    <row r="5" spans="1:16">
      <c r="A5" s="30"/>
      <c r="B5" s="27"/>
      <c r="C5" s="27"/>
      <c r="D5" s="147" t="s">
        <v>56</v>
      </c>
      <c r="E5" s="147"/>
      <c r="F5" s="27"/>
      <c r="G5" s="27"/>
      <c r="H5" s="27"/>
      <c r="I5" s="27"/>
      <c r="J5" s="27"/>
      <c r="K5" s="27"/>
      <c r="L5" s="27"/>
    </row>
    <row r="6" spans="1:16">
      <c r="A6" s="119"/>
      <c r="B6" s="50"/>
      <c r="C6" s="99" t="s">
        <v>1</v>
      </c>
      <c r="D6" s="50"/>
      <c r="E6" s="99" t="str">
        <f>Inputs!D11</f>
        <v>2009/10</v>
      </c>
      <c r="F6" s="99" t="str">
        <f>Inputs!E11</f>
        <v>2010/11</v>
      </c>
      <c r="G6" s="99" t="str">
        <f>Inputs!F11</f>
        <v>2011/12</v>
      </c>
      <c r="H6" s="99" t="str">
        <f>Inputs!G11</f>
        <v>2012/13</v>
      </c>
      <c r="I6" s="99" t="str">
        <f>Inputs!H11</f>
        <v>2013/14</v>
      </c>
      <c r="J6" s="99" t="str">
        <f>Inputs!I11</f>
        <v>2014/15</v>
      </c>
      <c r="K6" s="99"/>
      <c r="L6" s="67"/>
    </row>
    <row r="7" spans="1:16">
      <c r="A7" s="119"/>
      <c r="B7" s="50"/>
      <c r="C7" s="50" t="s">
        <v>59</v>
      </c>
      <c r="D7" s="50"/>
      <c r="E7" s="125">
        <v>1</v>
      </c>
      <c r="F7" s="125">
        <v>2</v>
      </c>
      <c r="G7" s="125">
        <v>3</v>
      </c>
      <c r="H7" s="125">
        <v>4</v>
      </c>
      <c r="I7" s="125">
        <v>5</v>
      </c>
      <c r="J7" s="125">
        <v>6</v>
      </c>
      <c r="K7" s="125"/>
      <c r="L7" s="67"/>
    </row>
    <row r="8" spans="1:16">
      <c r="A8" s="119">
        <v>1</v>
      </c>
      <c r="B8" s="149"/>
      <c r="C8" s="50" t="str">
        <f>Inputs!B20</f>
        <v>Line Revenue through Prices</v>
      </c>
      <c r="D8" s="50"/>
      <c r="E8" s="47">
        <f t="shared" ref="E8:E27" si="0">INDEX(InputsBlock,A8+1,$G$1+2)</f>
        <v>103734.355</v>
      </c>
      <c r="F8" s="50"/>
      <c r="G8" s="50"/>
      <c r="H8" s="50"/>
      <c r="I8" s="50"/>
      <c r="J8" s="50"/>
      <c r="K8" s="50"/>
      <c r="L8" s="27"/>
    </row>
    <row r="9" spans="1:16">
      <c r="A9" s="119">
        <f t="shared" ref="A9:A27" si="1">A8+1</f>
        <v>2</v>
      </c>
      <c r="B9" s="149"/>
      <c r="C9" s="50" t="str">
        <f>Inputs!B21</f>
        <v>Pass-through costs</v>
      </c>
      <c r="D9" s="50"/>
      <c r="E9" s="47">
        <f t="shared" si="0"/>
        <v>449.51900000000001</v>
      </c>
      <c r="F9" s="50"/>
      <c r="G9" s="50"/>
      <c r="H9" s="50"/>
      <c r="I9" s="50"/>
      <c r="J9" s="50"/>
      <c r="K9" s="50"/>
      <c r="L9" s="27"/>
    </row>
    <row r="10" spans="1:16">
      <c r="A10" s="119">
        <f t="shared" si="1"/>
        <v>3</v>
      </c>
      <c r="B10" s="149"/>
      <c r="C10" s="50" t="str">
        <f>Inputs!B22</f>
        <v>Recoverable costs</v>
      </c>
      <c r="D10" s="50"/>
      <c r="E10" s="47">
        <f t="shared" si="0"/>
        <v>26374.566999999999</v>
      </c>
      <c r="F10" s="50"/>
      <c r="G10" s="50"/>
      <c r="H10" s="50"/>
      <c r="I10" s="50"/>
      <c r="J10" s="50"/>
      <c r="K10" s="50"/>
      <c r="L10" s="27"/>
    </row>
    <row r="11" spans="1:16">
      <c r="A11" s="119">
        <f t="shared" si="1"/>
        <v>4</v>
      </c>
      <c r="B11" s="149"/>
      <c r="C11" s="50" t="str">
        <f>Inputs!B23</f>
        <v>Opening RAB</v>
      </c>
      <c r="D11" s="50"/>
      <c r="E11" s="47">
        <f t="shared" si="0"/>
        <v>426853.74653996591</v>
      </c>
      <c r="F11" s="50"/>
      <c r="G11" s="50"/>
      <c r="H11" s="50"/>
      <c r="I11" s="50"/>
      <c r="J11" s="50"/>
      <c r="K11" s="50"/>
      <c r="L11" s="150"/>
    </row>
    <row r="12" spans="1:16">
      <c r="A12" s="119">
        <f t="shared" si="1"/>
        <v>5</v>
      </c>
      <c r="B12" s="149"/>
      <c r="C12" s="50" t="str">
        <f>Inputs!B24</f>
        <v>Lost assets</v>
      </c>
      <c r="D12" s="50"/>
      <c r="E12" s="47">
        <f t="shared" si="0"/>
        <v>0</v>
      </c>
      <c r="F12" s="50"/>
      <c r="G12" s="50"/>
      <c r="H12" s="50"/>
      <c r="I12" s="50"/>
      <c r="J12" s="50"/>
      <c r="K12" s="50"/>
      <c r="L12" s="150"/>
    </row>
    <row r="13" spans="1:16">
      <c r="A13" s="119">
        <f t="shared" si="1"/>
        <v>6</v>
      </c>
      <c r="B13" s="149"/>
      <c r="C13" s="50" t="str">
        <f>Inputs!B25</f>
        <v>Found Assets</v>
      </c>
      <c r="D13" s="50"/>
      <c r="E13" s="47">
        <f t="shared" si="0"/>
        <v>0</v>
      </c>
      <c r="F13" s="50"/>
      <c r="G13" s="50"/>
      <c r="H13" s="50"/>
      <c r="I13" s="50"/>
      <c r="J13" s="50"/>
      <c r="K13" s="50"/>
      <c r="L13" s="150"/>
    </row>
    <row r="14" spans="1:16">
      <c r="A14" s="119">
        <f t="shared" si="1"/>
        <v>7</v>
      </c>
      <c r="B14" s="149"/>
      <c r="C14" s="50" t="str">
        <f>Inputs!B26</f>
        <v>Total Depreciation</v>
      </c>
      <c r="D14" s="50"/>
      <c r="E14" s="47">
        <f t="shared" si="0"/>
        <v>16649.2682399277</v>
      </c>
      <c r="F14" s="47"/>
      <c r="G14" s="191" t="s">
        <v>280</v>
      </c>
      <c r="H14" s="50"/>
      <c r="I14" s="50"/>
      <c r="J14" s="50"/>
      <c r="K14" s="50"/>
      <c r="L14" s="27"/>
    </row>
    <row r="15" spans="1:16">
      <c r="A15" s="119">
        <f t="shared" si="1"/>
        <v>8</v>
      </c>
      <c r="B15" s="149"/>
      <c r="C15" s="50" t="str">
        <f>Inputs!B27</f>
        <v>RAB of disposed assets</v>
      </c>
      <c r="D15" s="50"/>
      <c r="E15" s="47">
        <f t="shared" si="0"/>
        <v>911.01528869499998</v>
      </c>
      <c r="F15" s="50"/>
      <c r="G15" s="175" t="s">
        <v>281</v>
      </c>
      <c r="H15" s="50"/>
      <c r="I15" s="50"/>
      <c r="J15" s="50"/>
      <c r="K15" s="50"/>
      <c r="L15" s="27"/>
    </row>
    <row r="16" spans="1:16">
      <c r="A16" s="119">
        <f t="shared" si="1"/>
        <v>9</v>
      </c>
      <c r="B16" s="149"/>
      <c r="C16" s="50" t="str">
        <f>Inputs!B28</f>
        <v>Discretionary discounts &amp;  rebates</v>
      </c>
      <c r="D16" s="50"/>
      <c r="E16" s="47">
        <f t="shared" si="0"/>
        <v>0</v>
      </c>
      <c r="F16" s="50"/>
      <c r="G16" s="175" t="s">
        <v>282</v>
      </c>
      <c r="H16" s="50"/>
      <c r="I16" s="50"/>
      <c r="J16" s="50"/>
      <c r="K16" s="50"/>
      <c r="L16" s="27"/>
    </row>
    <row r="17" spans="1:22">
      <c r="A17" s="119">
        <f t="shared" si="1"/>
        <v>10</v>
      </c>
      <c r="B17" s="149"/>
      <c r="C17" s="50" t="str">
        <f>Inputs!B29</f>
        <v>Tax Depreciation</v>
      </c>
      <c r="D17" s="50"/>
      <c r="E17" s="47">
        <f t="shared" si="0"/>
        <v>23479</v>
      </c>
      <c r="F17" s="50"/>
      <c r="G17" s="175" t="s">
        <v>283</v>
      </c>
      <c r="H17" s="50"/>
      <c r="I17" s="50"/>
      <c r="J17" s="50"/>
      <c r="K17" s="50"/>
      <c r="L17" s="27"/>
    </row>
    <row r="18" spans="1:22">
      <c r="A18" s="119">
        <f t="shared" si="1"/>
        <v>11</v>
      </c>
      <c r="B18" s="149"/>
      <c r="C18" s="50" t="str">
        <f>Inputs!B30</f>
        <v>Opening regulatory tax asset value</v>
      </c>
      <c r="D18" s="50"/>
      <c r="E18" s="47">
        <f t="shared" si="0"/>
        <v>268092.72069799999</v>
      </c>
      <c r="F18" s="50"/>
      <c r="G18" s="50"/>
      <c r="H18" s="50"/>
      <c r="I18" s="50"/>
      <c r="J18" s="50"/>
      <c r="K18" s="50"/>
      <c r="L18" s="27"/>
    </row>
    <row r="19" spans="1:22">
      <c r="A19" s="119">
        <f t="shared" si="1"/>
        <v>12</v>
      </c>
      <c r="B19" s="149"/>
      <c r="C19" s="50" t="str">
        <f>Inputs!B31</f>
        <v>Weighted Average Remaining Life at year-end</v>
      </c>
      <c r="D19" s="50"/>
      <c r="E19" s="47">
        <f t="shared" si="0"/>
        <v>27.63</v>
      </c>
      <c r="F19" s="50"/>
      <c r="G19" s="50"/>
      <c r="H19" s="50"/>
      <c r="I19" s="50"/>
      <c r="J19" s="50"/>
      <c r="K19" s="50"/>
      <c r="L19" s="27"/>
    </row>
    <row r="20" spans="1:22">
      <c r="A20" s="119">
        <f t="shared" si="1"/>
        <v>13</v>
      </c>
      <c r="B20" s="149"/>
      <c r="C20" s="50" t="str">
        <f>Inputs!B32</f>
        <v>Term Credit Spread Differential Allowance</v>
      </c>
      <c r="D20" s="50"/>
      <c r="E20" s="47">
        <f t="shared" si="0"/>
        <v>0</v>
      </c>
      <c r="F20" s="50"/>
      <c r="G20" s="50"/>
      <c r="H20" s="50"/>
      <c r="I20" s="50"/>
      <c r="J20" s="50"/>
      <c r="K20" s="50"/>
      <c r="L20" s="27"/>
    </row>
    <row r="21" spans="1:22">
      <c r="A21" s="119">
        <f t="shared" si="1"/>
        <v>14</v>
      </c>
      <c r="B21" s="149"/>
      <c r="C21" s="50" t="s">
        <v>98</v>
      </c>
      <c r="D21" s="50"/>
      <c r="E21" s="47">
        <f t="shared" si="0"/>
        <v>35298.5557900001</v>
      </c>
      <c r="F21" s="50"/>
      <c r="G21" s="50"/>
      <c r="H21" s="50"/>
      <c r="I21" s="50"/>
      <c r="J21" s="50"/>
      <c r="K21" s="50"/>
      <c r="L21" s="27"/>
    </row>
    <row r="22" spans="1:22">
      <c r="A22" s="119">
        <f t="shared" si="1"/>
        <v>15</v>
      </c>
      <c r="B22" s="149"/>
      <c r="C22" s="50" t="str">
        <f>Inputs!B34</f>
        <v>Operating expenditure 2009/10</v>
      </c>
      <c r="D22" s="50"/>
      <c r="E22" s="47">
        <f t="shared" si="0"/>
        <v>26102.297999999999</v>
      </c>
      <c r="F22" s="50"/>
      <c r="G22" s="50"/>
      <c r="H22" s="50"/>
      <c r="I22" s="50"/>
      <c r="J22" s="50"/>
      <c r="K22" s="50"/>
      <c r="L22" s="27"/>
    </row>
    <row r="23" spans="1:22">
      <c r="A23" s="119">
        <f t="shared" si="1"/>
        <v>16</v>
      </c>
      <c r="B23" s="149"/>
      <c r="C23" s="50" t="str">
        <f>Inputs!B35</f>
        <v>Other reg income (avg of 2008 to 11, in 2009/10 $)</v>
      </c>
      <c r="D23" s="50"/>
      <c r="E23" s="47">
        <f t="shared" si="0"/>
        <v>276.78451291306197</v>
      </c>
      <c r="F23" s="50"/>
      <c r="G23" s="50"/>
      <c r="H23" s="50"/>
      <c r="I23" s="50"/>
      <c r="J23" s="50"/>
      <c r="K23" s="49"/>
      <c r="L23" s="27"/>
    </row>
    <row r="24" spans="1:22">
      <c r="A24" s="119">
        <f t="shared" si="1"/>
        <v>17</v>
      </c>
      <c r="B24" s="149"/>
      <c r="C24" s="119" t="str">
        <f>Inputs!B36</f>
        <v>Allowable notional revenue 2012/13</v>
      </c>
      <c r="D24" s="50"/>
      <c r="E24" s="47">
        <f t="shared" si="0"/>
        <v>83399.337806854906</v>
      </c>
      <c r="F24" s="50"/>
      <c r="G24" s="50"/>
      <c r="H24" s="50"/>
      <c r="I24" s="50"/>
      <c r="J24" s="50"/>
      <c r="K24" s="49"/>
      <c r="L24" s="27"/>
    </row>
    <row r="25" spans="1:22">
      <c r="A25" s="119">
        <f t="shared" si="1"/>
        <v>18</v>
      </c>
      <c r="B25" s="149"/>
      <c r="C25" s="119" t="str">
        <f>Inputs!B37</f>
        <v>Pass-through costs 2012/13</v>
      </c>
      <c r="D25" s="50"/>
      <c r="E25" s="47">
        <f t="shared" si="0"/>
        <v>33548.421000000002</v>
      </c>
      <c r="F25" s="50"/>
      <c r="G25" s="50"/>
      <c r="H25" s="50"/>
      <c r="I25" s="50"/>
      <c r="J25" s="50"/>
      <c r="K25" s="49"/>
      <c r="L25" s="27"/>
    </row>
    <row r="26" spans="1:22">
      <c r="A26" s="119">
        <f t="shared" si="1"/>
        <v>19</v>
      </c>
      <c r="B26" s="50"/>
      <c r="C26" s="50" t="str">
        <f>Inputs!B38</f>
        <v>Alternate X value to 2014/15</v>
      </c>
      <c r="D26" s="49"/>
      <c r="E26" s="151">
        <f t="shared" si="0"/>
        <v>-0.08</v>
      </c>
      <c r="F26" s="50"/>
      <c r="G26" s="50"/>
      <c r="H26" s="50"/>
      <c r="I26" s="50"/>
      <c r="J26" s="50"/>
      <c r="K26" s="49"/>
      <c r="L26" s="27"/>
    </row>
    <row r="27" spans="1:22">
      <c r="A27" s="119">
        <f t="shared" si="1"/>
        <v>20</v>
      </c>
      <c r="B27" s="50"/>
      <c r="C27" s="50" t="str">
        <f>Inputs!B39</f>
        <v>Cap on growth of maximum allowable revenue</v>
      </c>
      <c r="D27" s="50"/>
      <c r="E27" s="151">
        <f t="shared" si="0"/>
        <v>0.2</v>
      </c>
      <c r="F27" s="50"/>
      <c r="G27" s="50"/>
      <c r="H27" s="50"/>
      <c r="I27" s="50"/>
      <c r="J27" s="50"/>
      <c r="K27" s="49"/>
      <c r="L27" s="27"/>
    </row>
    <row r="28" spans="1:22">
      <c r="A28" s="119"/>
      <c r="B28" s="149"/>
      <c r="C28" s="50" t="s">
        <v>30</v>
      </c>
      <c r="D28" s="50"/>
      <c r="E28" s="130">
        <f>E22</f>
        <v>26102.297999999999</v>
      </c>
      <c r="F28" s="47">
        <f>INDEX(OpexBlock,F7-1,$G$1)</f>
        <v>26850.658570973748</v>
      </c>
      <c r="G28" s="47">
        <f>INDEX(OpexBlock,G7-1,$G$1)</f>
        <v>28047.424479714638</v>
      </c>
      <c r="H28" s="47">
        <f>INDEX(OpexBlock,H7-1,$G$1)</f>
        <v>29436.415420227993</v>
      </c>
      <c r="I28" s="47">
        <f>INDEX(OpexBlock,I7-1,$G$1)</f>
        <v>30419.526307488934</v>
      </c>
      <c r="J28" s="47">
        <f>INDEX(OpexBlock,J7-1,$G$1)</f>
        <v>31376.86287825611</v>
      </c>
      <c r="K28" s="49"/>
      <c r="L28" s="50"/>
      <c r="M28" s="15"/>
    </row>
    <row r="29" spans="1:22">
      <c r="A29" s="119"/>
      <c r="B29" s="149"/>
      <c r="C29" s="50" t="s">
        <v>158</v>
      </c>
      <c r="D29" s="47"/>
      <c r="E29" s="130">
        <f>E21</f>
        <v>35298.5557900001</v>
      </c>
      <c r="F29" s="47">
        <f>INDEX(CommAssetsBlock,F7-1,$G$1)</f>
        <v>37377.616039839086</v>
      </c>
      <c r="G29" s="47">
        <f>INDEX(CommAssetsBlock,G7-1,$G$1)</f>
        <v>46485.646740188371</v>
      </c>
      <c r="H29" s="47">
        <f>INDEX(CommAssetsBlock,H7-1,$G$1)</f>
        <v>43654.372986773335</v>
      </c>
      <c r="I29" s="47">
        <f>INDEX(CommAssetsBlock,I7-1,$G$1)</f>
        <v>46272.300703279623</v>
      </c>
      <c r="J29" s="47">
        <f>INDEX(CommAssetsBlock,J7-1,$G$1)</f>
        <v>29674.880711567537</v>
      </c>
      <c r="K29" s="49"/>
      <c r="L29" s="50"/>
      <c r="M29" s="15"/>
    </row>
    <row r="30" spans="1:22">
      <c r="A30" s="119"/>
      <c r="B30" s="149"/>
      <c r="C30" s="50" t="s">
        <v>200</v>
      </c>
      <c r="D30" s="47"/>
      <c r="E30" s="49"/>
      <c r="F30" s="110">
        <f>INDEX(ConstPriceRevGrwth,F$7-1,$G$1)</f>
        <v>4.9586501062375715E-4</v>
      </c>
      <c r="G30" s="110">
        <f>INDEX(ConstPriceRevGrwth,G$7-1,$G$1)</f>
        <v>4.9586501062375715E-4</v>
      </c>
      <c r="H30" s="110">
        <f>INDEX(ConstPriceRevGrwth,H$7-1,$G$1)</f>
        <v>4.9586501062375715E-4</v>
      </c>
      <c r="I30" s="110">
        <f>INDEX(ConstPriceRevGrwth,I$7-1,$G$1)</f>
        <v>4.9586501062375715E-4</v>
      </c>
      <c r="J30" s="110">
        <f>INDEX(ConstPriceRevGrwth,J$7-1,$G$1)</f>
        <v>4.9586501062375715E-4</v>
      </c>
      <c r="K30" s="49"/>
      <c r="L30" s="50"/>
      <c r="M30" s="15"/>
      <c r="U30" s="15"/>
      <c r="V30" s="15"/>
    </row>
    <row r="31" spans="1:22" ht="15.75" thickBot="1">
      <c r="A31" s="119"/>
      <c r="B31" s="149"/>
      <c r="C31" s="50"/>
      <c r="D31" s="47"/>
      <c r="E31" s="49"/>
      <c r="F31" s="50"/>
      <c r="G31" s="49"/>
      <c r="H31" s="49"/>
      <c r="I31" s="49"/>
      <c r="J31" s="49"/>
      <c r="K31" s="49"/>
      <c r="L31" s="27"/>
      <c r="M31" s="15"/>
      <c r="U31" s="15"/>
      <c r="V31" s="15"/>
    </row>
    <row r="32" spans="1:22" ht="16.5" thickBot="1">
      <c r="A32" s="119"/>
      <c r="B32" s="149"/>
      <c r="C32" s="121" t="s">
        <v>182</v>
      </c>
      <c r="D32" s="47"/>
      <c r="E32" s="49"/>
      <c r="F32" s="50"/>
      <c r="G32" s="49"/>
      <c r="H32" s="49"/>
      <c r="I32" s="49"/>
      <c r="J32" s="49"/>
      <c r="K32" s="49"/>
      <c r="L32" s="195" t="s">
        <v>322</v>
      </c>
      <c r="M32" s="111"/>
      <c r="N32" s="34"/>
      <c r="O32" s="34"/>
      <c r="P32" s="34"/>
      <c r="Q32" s="34"/>
      <c r="R32" s="34"/>
      <c r="S32" s="34"/>
      <c r="T32" s="34"/>
      <c r="U32" s="34"/>
      <c r="V32" s="35"/>
    </row>
    <row r="33" spans="1:26">
      <c r="A33" s="119"/>
      <c r="B33" s="149"/>
      <c r="C33" s="122" t="str">
        <f>Inputs!B13</f>
        <v>2009 ΔCPI, 2 index, no lag, no GST adjustment</v>
      </c>
      <c r="D33" s="47"/>
      <c r="E33" s="49">
        <f>Inputs!D13</f>
        <v>1.7233850022212005E-2</v>
      </c>
      <c r="F33" s="49">
        <f>Inputs!E13</f>
        <v>1.9812209526758329E-2</v>
      </c>
      <c r="G33" s="49">
        <f>Inputs!F13</f>
        <v>2.4339880629970168E-2</v>
      </c>
      <c r="H33" s="49">
        <f>Inputs!G13</f>
        <v>2.2893253753313525E-2</v>
      </c>
      <c r="I33" s="49">
        <f>Inputs!H13</f>
        <v>2.144662687665666E-2</v>
      </c>
      <c r="J33" s="49">
        <f>Inputs!I13</f>
        <v>2.0000000000000018E-2</v>
      </c>
      <c r="K33" s="50"/>
      <c r="L33" s="196" t="s">
        <v>194</v>
      </c>
      <c r="M33" s="50"/>
      <c r="N33" s="15"/>
      <c r="O33" s="15"/>
      <c r="P33" s="15"/>
      <c r="Q33" s="15"/>
      <c r="R33" s="15"/>
      <c r="S33" s="15"/>
      <c r="T33" s="15"/>
      <c r="U33" s="15"/>
      <c r="V33" s="29"/>
    </row>
    <row r="34" spans="1:26">
      <c r="A34" s="119"/>
      <c r="B34" s="149"/>
      <c r="C34" s="122" t="str">
        <f>Inputs!B14</f>
        <v>2012 ΔCPI, 2 index, no lag, no GST adjustment</v>
      </c>
      <c r="D34" s="47"/>
      <c r="E34" s="49"/>
      <c r="F34" s="49">
        <f>Inputs!E14</f>
        <v>4.4667274384685429E-2</v>
      </c>
      <c r="G34" s="49">
        <f>Inputs!F14</f>
        <v>1.5706806282722585E-2</v>
      </c>
      <c r="H34" s="49">
        <f>Inputs!G14</f>
        <v>1.8041237113401998E-2</v>
      </c>
      <c r="I34" s="49">
        <f>Inputs!H14</f>
        <v>1.7721518987341867E-2</v>
      </c>
      <c r="J34" s="49">
        <f>Inputs!I14</f>
        <v>2.3217247097844007E-2</v>
      </c>
      <c r="K34" s="50"/>
      <c r="L34" s="196" t="s">
        <v>320</v>
      </c>
      <c r="M34" s="50"/>
      <c r="N34" s="15"/>
      <c r="O34" s="15"/>
      <c r="P34" s="15"/>
      <c r="Q34" s="15"/>
      <c r="R34" s="15"/>
      <c r="S34" s="15"/>
      <c r="T34" s="15"/>
      <c r="U34" s="15"/>
      <c r="V34" s="29"/>
    </row>
    <row r="35" spans="1:26">
      <c r="A35" s="119"/>
      <c r="B35" s="149"/>
      <c r="C35" s="122" t="str">
        <f>Inputs!B15</f>
        <v>2009 ΔCPI, 8 index, lagged, no GST adjustment</v>
      </c>
      <c r="D35" s="47"/>
      <c r="E35" s="49"/>
      <c r="F35" s="49"/>
      <c r="G35" s="49">
        <f>Inputs!F15</f>
        <v>1.6991832174541255E-2</v>
      </c>
      <c r="H35" s="49">
        <f>Inputs!G15</f>
        <v>2.0741514169093644E-2</v>
      </c>
      <c r="I35" s="49">
        <f>Inputs!H15</f>
        <v>2.3759818812291389E-2</v>
      </c>
      <c r="J35" s="49">
        <f>Inputs!I15</f>
        <v>2.2164443909808984E-2</v>
      </c>
      <c r="K35" s="50"/>
      <c r="L35" s="196" t="s">
        <v>321</v>
      </c>
      <c r="M35" s="50"/>
      <c r="N35" s="15"/>
      <c r="O35" s="15"/>
      <c r="P35" s="15"/>
      <c r="Q35" s="15"/>
      <c r="R35" s="15"/>
      <c r="S35" s="15"/>
      <c r="T35" s="15"/>
      <c r="U35" s="15"/>
      <c r="V35" s="29"/>
    </row>
    <row r="36" spans="1:26">
      <c r="A36" s="149"/>
      <c r="B36" s="149"/>
      <c r="C36" s="122" t="str">
        <f>Inputs!B16</f>
        <v>2012 ΔCPI, 8 index, lagged, no GST adjustment</v>
      </c>
      <c r="D36" s="50"/>
      <c r="E36" s="49"/>
      <c r="F36" s="49">
        <f>Inputs!E16</f>
        <v>2.465039108793543E-2</v>
      </c>
      <c r="G36" s="49">
        <f>Inputs!F16</f>
        <v>1.7811704834605591E-2</v>
      </c>
      <c r="H36" s="49">
        <f>Inputs!G16</f>
        <v>4.5909090909090899E-2</v>
      </c>
      <c r="I36" s="49">
        <f>Inputs!H16</f>
        <v>1.2820512820512775E-2</v>
      </c>
      <c r="J36" s="49">
        <f>Inputs!I16</f>
        <v>1.9725095732576747E-2</v>
      </c>
      <c r="K36" s="50"/>
      <c r="L36" s="196" t="s">
        <v>365</v>
      </c>
      <c r="M36" s="50"/>
      <c r="N36" s="15"/>
      <c r="O36" s="15"/>
      <c r="P36" s="15"/>
      <c r="Q36" s="15"/>
      <c r="R36" s="15"/>
      <c r="S36" s="15"/>
      <c r="T36" s="15"/>
      <c r="U36" s="15"/>
      <c r="V36" s="29"/>
    </row>
    <row r="37" spans="1:26" ht="15.75" thickBot="1">
      <c r="A37" s="149"/>
      <c r="B37" s="149"/>
      <c r="C37" s="122" t="str">
        <f>Inputs!B17</f>
        <v>2012 ΔCPI, 8 index, lagged, with GST adjustment</v>
      </c>
      <c r="D37" s="50"/>
      <c r="E37" s="49"/>
      <c r="F37" s="112">
        <f>Inputs!E17</f>
        <v>2.4650391087935652E-2</v>
      </c>
      <c r="G37" s="112">
        <f>Inputs!F17</f>
        <v>1.7811704834605369E-2</v>
      </c>
      <c r="H37" s="112">
        <f>Inputs!G17</f>
        <v>2.5401069518716568E-2</v>
      </c>
      <c r="I37" s="49">
        <f>Inputs!H17</f>
        <v>1.2820512820512775E-2</v>
      </c>
      <c r="J37" s="49">
        <f>Inputs!I17</f>
        <v>1.9725095732576747E-2</v>
      </c>
      <c r="K37" s="50"/>
      <c r="L37" s="219" t="s">
        <v>409</v>
      </c>
      <c r="M37" s="220"/>
      <c r="N37" s="220"/>
      <c r="O37" s="220"/>
      <c r="P37" s="220"/>
      <c r="Q37" s="220"/>
      <c r="R37" s="220"/>
      <c r="S37" s="220"/>
      <c r="T37" s="220"/>
      <c r="U37" s="220"/>
      <c r="V37" s="221"/>
    </row>
    <row r="38" spans="1:26">
      <c r="A38" s="149"/>
      <c r="B38" s="149"/>
      <c r="C38" s="122"/>
      <c r="D38" s="50"/>
      <c r="E38" s="49"/>
      <c r="F38" s="112"/>
      <c r="G38" s="112"/>
      <c r="H38" s="112"/>
      <c r="I38" s="49"/>
      <c r="J38" s="49"/>
      <c r="K38" s="49"/>
      <c r="L38" s="49"/>
      <c r="M38" s="49"/>
      <c r="N38" s="49"/>
      <c r="O38" s="49"/>
      <c r="P38" s="49"/>
      <c r="Q38" s="49"/>
      <c r="R38" s="49"/>
      <c r="S38" s="49"/>
      <c r="T38" s="49"/>
      <c r="U38" s="49"/>
      <c r="V38" s="49"/>
      <c r="W38" s="49"/>
      <c r="X38" s="49"/>
      <c r="Y38" s="49"/>
      <c r="Z38" s="49"/>
    </row>
    <row r="39" spans="1:26" ht="23.25">
      <c r="A39" s="50"/>
      <c r="B39" s="50"/>
      <c r="C39" s="1" t="s">
        <v>4</v>
      </c>
      <c r="D39" s="153" t="s">
        <v>36</v>
      </c>
      <c r="E39" s="153" t="s">
        <v>35</v>
      </c>
      <c r="F39" s="152"/>
      <c r="G39" s="152"/>
      <c r="H39" s="152"/>
      <c r="I39" s="152"/>
      <c r="J39" s="152"/>
      <c r="K39" s="152"/>
      <c r="L39" s="152"/>
      <c r="M39" s="152"/>
      <c r="N39" s="194"/>
      <c r="O39" s="194"/>
      <c r="P39" s="194"/>
    </row>
    <row r="40" spans="1:26">
      <c r="A40" s="50"/>
      <c r="B40" s="50"/>
      <c r="C40" s="50"/>
      <c r="D40" s="50"/>
      <c r="E40" s="154" t="s">
        <v>183</v>
      </c>
      <c r="F40" s="154" t="s">
        <v>184</v>
      </c>
      <c r="G40" s="154" t="s">
        <v>185</v>
      </c>
      <c r="H40" s="154" t="s">
        <v>186</v>
      </c>
      <c r="I40" s="154" t="s">
        <v>187</v>
      </c>
      <c r="J40" s="154" t="s">
        <v>188</v>
      </c>
      <c r="K40" s="154"/>
      <c r="L40" s="154"/>
      <c r="M40" s="48"/>
    </row>
    <row r="41" spans="1:26">
      <c r="A41" s="50"/>
      <c r="B41" s="50"/>
      <c r="C41" s="50" t="s">
        <v>129</v>
      </c>
      <c r="D41" s="50"/>
      <c r="E41" s="49">
        <f t="shared" ref="E41:J41" si="2">E33</f>
        <v>1.7233850022212005E-2</v>
      </c>
      <c r="F41" s="49">
        <f t="shared" si="2"/>
        <v>1.9812209526758329E-2</v>
      </c>
      <c r="G41" s="49">
        <f t="shared" si="2"/>
        <v>2.4339880629970168E-2</v>
      </c>
      <c r="H41" s="49">
        <f t="shared" si="2"/>
        <v>2.2893253753313525E-2</v>
      </c>
      <c r="I41" s="49">
        <f t="shared" si="2"/>
        <v>2.144662687665666E-2</v>
      </c>
      <c r="J41" s="49">
        <f t="shared" si="2"/>
        <v>2.0000000000000018E-2</v>
      </c>
      <c r="K41" s="51"/>
      <c r="L41" s="47"/>
      <c r="M41" s="15"/>
    </row>
    <row r="42" spans="1:26">
      <c r="A42" s="50"/>
      <c r="B42" s="50"/>
      <c r="C42" s="50" t="s">
        <v>163</v>
      </c>
      <c r="D42" s="50"/>
      <c r="E42" s="49"/>
      <c r="F42" s="49">
        <f>F34</f>
        <v>4.4667274384685429E-2</v>
      </c>
      <c r="G42" s="49">
        <f>G34</f>
        <v>1.5706806282722585E-2</v>
      </c>
      <c r="H42" s="49">
        <f>H34</f>
        <v>1.8041237113401998E-2</v>
      </c>
      <c r="I42" s="49">
        <f>I34</f>
        <v>1.7721518987341867E-2</v>
      </c>
      <c r="J42" s="49">
        <f>J34</f>
        <v>2.3217247097844007E-2</v>
      </c>
      <c r="K42" s="51"/>
      <c r="L42" s="47"/>
      <c r="M42" s="15"/>
    </row>
    <row r="43" spans="1:26">
      <c r="A43" s="50"/>
      <c r="B43" s="50"/>
      <c r="C43" s="50" t="s">
        <v>122</v>
      </c>
      <c r="D43" s="50"/>
      <c r="E43" s="130">
        <f>E23</f>
        <v>276.78451291306197</v>
      </c>
      <c r="F43" s="47">
        <f>E43*(1+F42)</f>
        <v>289.14772269678122</v>
      </c>
      <c r="G43" s="47">
        <f>F43*(1+G42)</f>
        <v>293.68930996426997</v>
      </c>
      <c r="H43" s="47">
        <f>G43*(1+H42)</f>
        <v>298.98782844300678</v>
      </c>
      <c r="I43" s="47">
        <f>H43*(1+I42)</f>
        <v>304.28634692174364</v>
      </c>
      <c r="J43" s="47">
        <f>I43*(1+J42)</f>
        <v>311.35103822672608</v>
      </c>
      <c r="K43" s="50"/>
      <c r="L43" s="47"/>
      <c r="M43" s="15"/>
    </row>
    <row r="44" spans="1:26">
      <c r="A44" s="50"/>
      <c r="B44" s="50"/>
      <c r="C44" s="50"/>
      <c r="D44" s="50"/>
      <c r="E44" s="51"/>
      <c r="F44" s="51"/>
      <c r="G44" s="51"/>
      <c r="H44" s="51"/>
      <c r="I44" s="51"/>
      <c r="J44" s="51"/>
      <c r="K44" s="51"/>
      <c r="L44" s="27"/>
      <c r="M44" s="15"/>
    </row>
    <row r="45" spans="1:26" ht="21">
      <c r="A45" s="50"/>
      <c r="B45" s="50"/>
      <c r="C45" s="155" t="s">
        <v>69</v>
      </c>
      <c r="D45" s="50"/>
      <c r="E45" s="50"/>
      <c r="F45" s="51"/>
      <c r="G45" s="51"/>
      <c r="H45" s="51"/>
      <c r="I45" s="51"/>
      <c r="J45" s="51"/>
      <c r="K45" s="51"/>
      <c r="L45" s="27"/>
      <c r="M45" s="15"/>
    </row>
    <row r="46" spans="1:26" ht="18">
      <c r="A46" s="50"/>
      <c r="B46" s="50"/>
      <c r="C46" s="50" t="s">
        <v>70</v>
      </c>
      <c r="D46" s="156">
        <f>'Timing Assumptions'!C23</f>
        <v>1.0428084742793051</v>
      </c>
      <c r="E46" s="50"/>
      <c r="F46" s="51"/>
      <c r="G46" s="51"/>
      <c r="H46" s="51"/>
      <c r="I46" s="51"/>
      <c r="J46" s="51"/>
      <c r="K46" s="51"/>
      <c r="L46" s="51"/>
      <c r="M46" s="15"/>
    </row>
    <row r="47" spans="1:26" ht="18">
      <c r="A47" s="50"/>
      <c r="B47" s="50"/>
      <c r="C47" s="50" t="s">
        <v>71</v>
      </c>
      <c r="D47" s="156">
        <f>'Timing Assumptions'!C24</f>
        <v>1.0428084742793051</v>
      </c>
      <c r="E47" s="50"/>
      <c r="F47" s="51"/>
      <c r="G47" s="51"/>
      <c r="H47" s="51"/>
      <c r="I47" s="51"/>
      <c r="J47" s="51"/>
      <c r="K47" s="51"/>
      <c r="L47" s="51"/>
      <c r="M47" s="15"/>
    </row>
    <row r="48" spans="1:26" ht="18">
      <c r="A48" s="50"/>
      <c r="B48" s="50"/>
      <c r="C48" s="50" t="s">
        <v>125</v>
      </c>
      <c r="D48" s="156">
        <f>'Timing Assumptions'!C25</f>
        <v>1.0428084742793051</v>
      </c>
      <c r="E48" s="50"/>
      <c r="F48" s="50"/>
      <c r="G48" s="51"/>
      <c r="H48" s="51"/>
      <c r="I48" s="51"/>
      <c r="J48" s="51"/>
      <c r="K48" s="95"/>
      <c r="L48" s="51"/>
      <c r="M48" s="15"/>
    </row>
    <row r="49" spans="1:16" ht="18">
      <c r="A49" s="50"/>
      <c r="B49" s="50"/>
      <c r="C49" s="50" t="s">
        <v>123</v>
      </c>
      <c r="D49" s="156">
        <f>'Timing Assumptions'!C26</f>
        <v>1.0428084742793051</v>
      </c>
      <c r="E49" s="50"/>
      <c r="F49" s="50"/>
      <c r="G49" s="51"/>
      <c r="H49" s="51"/>
      <c r="I49" s="51"/>
      <c r="J49" s="51"/>
      <c r="K49" s="95"/>
      <c r="L49" s="51"/>
      <c r="M49" s="15"/>
    </row>
    <row r="50" spans="1:16" ht="18">
      <c r="A50" s="50"/>
      <c r="B50" s="50"/>
      <c r="C50" s="50" t="s">
        <v>72</v>
      </c>
      <c r="D50" s="156">
        <f>'Timing Assumptions'!C27</f>
        <v>1.0346743941931567</v>
      </c>
      <c r="E50" s="51"/>
      <c r="F50" s="51"/>
      <c r="G50" s="51"/>
      <c r="H50" s="51"/>
      <c r="I50" s="50"/>
      <c r="J50" s="50"/>
      <c r="K50" s="95"/>
      <c r="L50" s="51"/>
      <c r="M50" s="15"/>
    </row>
    <row r="51" spans="1:16">
      <c r="A51" s="50"/>
      <c r="B51" s="50"/>
      <c r="C51" s="50"/>
      <c r="D51" s="50"/>
      <c r="E51" s="50"/>
      <c r="F51" s="50"/>
      <c r="G51" s="50"/>
      <c r="H51" s="50"/>
      <c r="I51" s="50"/>
      <c r="J51" s="50"/>
      <c r="K51" s="95"/>
      <c r="L51" s="27"/>
      <c r="M51" s="15"/>
    </row>
    <row r="52" spans="1:16" ht="21">
      <c r="A52" s="50"/>
      <c r="B52" s="50"/>
      <c r="C52" s="155" t="s">
        <v>105</v>
      </c>
      <c r="D52" s="155"/>
      <c r="E52" s="155"/>
      <c r="F52" s="155"/>
      <c r="G52" s="155"/>
      <c r="H52" s="155"/>
      <c r="I52" s="155"/>
      <c r="J52" s="155"/>
      <c r="K52" s="155"/>
      <c r="L52" s="157"/>
      <c r="M52" s="52"/>
      <c r="N52" s="2"/>
      <c r="O52" s="2"/>
      <c r="P52" s="2"/>
    </row>
    <row r="53" spans="1:16" ht="15.75">
      <c r="A53" s="50"/>
      <c r="B53" s="50"/>
      <c r="C53" s="158" t="s">
        <v>37</v>
      </c>
      <c r="D53" s="50"/>
      <c r="E53" s="159">
        <f>Inputs!D12</f>
        <v>0.3</v>
      </c>
      <c r="F53" s="159">
        <f>Inputs!E12</f>
        <v>0.3</v>
      </c>
      <c r="G53" s="159">
        <f>Inputs!F12</f>
        <v>0.28000000000000003</v>
      </c>
      <c r="H53" s="159">
        <f>Inputs!G12</f>
        <v>0.28000000000000003</v>
      </c>
      <c r="I53" s="159">
        <f>Inputs!H12</f>
        <v>0.28000000000000003</v>
      </c>
      <c r="J53" s="159">
        <f>Inputs!I12</f>
        <v>0.28000000000000003</v>
      </c>
      <c r="K53" s="95"/>
      <c r="L53" s="50"/>
      <c r="M53" s="15"/>
    </row>
    <row r="54" spans="1:16">
      <c r="A54" s="50"/>
      <c r="B54" s="50"/>
      <c r="C54" s="50" t="s">
        <v>38</v>
      </c>
      <c r="D54" s="50"/>
      <c r="E54" s="160">
        <f>E11/E14</f>
        <v>25.637988432206289</v>
      </c>
      <c r="F54" s="161">
        <f>E54-1</f>
        <v>24.637988432206289</v>
      </c>
      <c r="G54" s="161">
        <f>F54-1</f>
        <v>23.637988432206289</v>
      </c>
      <c r="H54" s="161">
        <f>G54-1</f>
        <v>22.637988432206289</v>
      </c>
      <c r="I54" s="161">
        <f>H54-1</f>
        <v>21.637988432206289</v>
      </c>
      <c r="J54" s="161">
        <f>I54-1</f>
        <v>20.637988432206289</v>
      </c>
      <c r="K54" s="95"/>
      <c r="L54" s="50"/>
      <c r="M54" s="15"/>
    </row>
    <row r="55" spans="1:16">
      <c r="A55" s="50"/>
      <c r="B55" s="50"/>
      <c r="C55" s="50" t="s">
        <v>159</v>
      </c>
      <c r="D55" s="50"/>
      <c r="E55" s="156"/>
      <c r="F55" s="49">
        <f>F34</f>
        <v>4.4667274384685429E-2</v>
      </c>
      <c r="G55" s="49">
        <f>G34</f>
        <v>1.5706806282722585E-2</v>
      </c>
      <c r="H55" s="49">
        <f>H34</f>
        <v>1.8041237113401998E-2</v>
      </c>
      <c r="I55" s="49">
        <f>I34</f>
        <v>1.7721518987341867E-2</v>
      </c>
      <c r="J55" s="49">
        <f>J34</f>
        <v>2.3217247097844007E-2</v>
      </c>
      <c r="K55" s="95"/>
      <c r="L55" s="50"/>
      <c r="M55" s="15"/>
    </row>
    <row r="56" spans="1:16">
      <c r="A56" s="50"/>
      <c r="B56" s="50"/>
      <c r="C56" s="50" t="s">
        <v>40</v>
      </c>
      <c r="D56" s="50"/>
      <c r="E56" s="129">
        <f>E15</f>
        <v>911.01528869499998</v>
      </c>
      <c r="F56" s="32">
        <f>E56*(1+F55)</f>
        <v>951.70785856378291</v>
      </c>
      <c r="G56" s="32">
        <f>F56*(1+G55)</f>
        <v>966.65614953598902</v>
      </c>
      <c r="H56" s="32">
        <f>G56*(1+H55)</f>
        <v>984.09582233689594</v>
      </c>
      <c r="I56" s="32">
        <f>H56*(1+I55)</f>
        <v>1001.5354951378031</v>
      </c>
      <c r="J56" s="32">
        <f>I56*(1+J55)</f>
        <v>1024.788392205679</v>
      </c>
      <c r="K56" s="95"/>
      <c r="L56" s="50"/>
      <c r="M56" s="15"/>
    </row>
    <row r="57" spans="1:16">
      <c r="A57" s="50"/>
      <c r="B57" s="50"/>
      <c r="C57" s="50"/>
      <c r="D57" s="122"/>
      <c r="E57" s="50"/>
      <c r="F57" s="50"/>
      <c r="G57" s="50"/>
      <c r="H57" s="50"/>
      <c r="I57" s="50"/>
      <c r="J57" s="50"/>
      <c r="K57" s="95"/>
      <c r="L57" s="27"/>
      <c r="M57" s="15"/>
    </row>
    <row r="58" spans="1:16" ht="15.75">
      <c r="A58" s="50"/>
      <c r="B58" s="50"/>
      <c r="C58" s="162" t="s">
        <v>89</v>
      </c>
      <c r="D58" s="32"/>
      <c r="E58" s="163" t="str">
        <f>Inputs!D11</f>
        <v>2009/10</v>
      </c>
      <c r="F58" s="163" t="str">
        <f>Inputs!E11</f>
        <v>2010/11</v>
      </c>
      <c r="G58" s="163" t="str">
        <f>Inputs!F11</f>
        <v>2011/12</v>
      </c>
      <c r="H58" s="163" t="str">
        <f>Inputs!G11</f>
        <v>2012/13</v>
      </c>
      <c r="I58" s="163" t="str">
        <f>Inputs!H11</f>
        <v>2013/14</v>
      </c>
      <c r="J58" s="163" t="str">
        <f>Inputs!I11</f>
        <v>2014/15</v>
      </c>
      <c r="K58" s="95"/>
      <c r="L58" s="27"/>
      <c r="M58" s="15"/>
    </row>
    <row r="59" spans="1:16">
      <c r="A59" s="50"/>
      <c r="B59" s="50"/>
      <c r="C59" s="50" t="s">
        <v>110</v>
      </c>
      <c r="D59" s="50"/>
      <c r="E59" s="129">
        <f>E11</f>
        <v>426853.74653996591</v>
      </c>
      <c r="F59" s="32">
        <f>E65</f>
        <v>416626.73982632969</v>
      </c>
      <c r="G59" s="32">
        <f>F65</f>
        <v>406992.28524893761</v>
      </c>
      <c r="H59" s="32">
        <f>G65</f>
        <v>398680.61749442143</v>
      </c>
      <c r="I59" s="32">
        <f>H65</f>
        <v>389180.82930037176</v>
      </c>
      <c r="J59" s="32">
        <f>I65</f>
        <v>378510.08508077305</v>
      </c>
      <c r="K59" s="95"/>
      <c r="L59" s="50"/>
      <c r="M59" s="15"/>
    </row>
    <row r="60" spans="1:16">
      <c r="A60" s="50"/>
      <c r="B60" s="50"/>
      <c r="C60" s="50" t="s">
        <v>40</v>
      </c>
      <c r="D60" s="32"/>
      <c r="E60" s="32">
        <f t="shared" ref="E60:J60" si="3">E56</f>
        <v>911.01528869499998</v>
      </c>
      <c r="F60" s="32">
        <f t="shared" si="3"/>
        <v>951.70785856378291</v>
      </c>
      <c r="G60" s="32">
        <f t="shared" si="3"/>
        <v>966.65614953598902</v>
      </c>
      <c r="H60" s="32">
        <f t="shared" si="3"/>
        <v>984.09582233689594</v>
      </c>
      <c r="I60" s="32">
        <f t="shared" si="3"/>
        <v>1001.5354951378031</v>
      </c>
      <c r="J60" s="32">
        <f t="shared" si="3"/>
        <v>1024.788392205679</v>
      </c>
      <c r="K60" s="95"/>
      <c r="L60" s="50"/>
      <c r="M60" s="15"/>
    </row>
    <row r="61" spans="1:16">
      <c r="A61" s="50"/>
      <c r="B61" s="50"/>
      <c r="C61" s="50" t="s">
        <v>312</v>
      </c>
      <c r="D61" s="32"/>
      <c r="E61" s="32">
        <f>Uni!E12</f>
        <v>0</v>
      </c>
      <c r="F61" s="95"/>
      <c r="G61" s="95"/>
      <c r="H61" s="95"/>
      <c r="I61" s="95"/>
      <c r="J61" s="95"/>
      <c r="K61" s="95"/>
      <c r="L61" s="50"/>
      <c r="M61" s="15"/>
    </row>
    <row r="62" spans="1:16">
      <c r="A62" s="50"/>
      <c r="B62" s="50"/>
      <c r="C62" s="50" t="s">
        <v>313</v>
      </c>
      <c r="D62" s="32"/>
      <c r="E62" s="32">
        <f>Uni!E13</f>
        <v>0</v>
      </c>
      <c r="F62" s="95"/>
      <c r="G62" s="95"/>
      <c r="H62" s="95"/>
      <c r="I62" s="95"/>
      <c r="J62" s="95"/>
      <c r="K62" s="95"/>
      <c r="L62" s="50"/>
      <c r="M62" s="15"/>
    </row>
    <row r="63" spans="1:16">
      <c r="A63" s="50"/>
      <c r="B63" s="50"/>
      <c r="C63" s="50" t="s">
        <v>41</v>
      </c>
      <c r="D63" s="50"/>
      <c r="E63" s="32">
        <f t="shared" ref="E63:J63" si="4">(E59*0.999-E60)*E41</f>
        <v>7333.2768149864678</v>
      </c>
      <c r="F63" s="32">
        <f t="shared" si="4"/>
        <v>8227.1865321234545</v>
      </c>
      <c r="G63" s="32">
        <f t="shared" si="4"/>
        <v>9872.7092013476995</v>
      </c>
      <c r="H63" s="32">
        <f t="shared" si="4"/>
        <v>9095.4402909063538</v>
      </c>
      <c r="I63" s="32">
        <f t="shared" si="4"/>
        <v>8316.7898594513808</v>
      </c>
      <c r="J63" s="32">
        <f t="shared" si="4"/>
        <v>7542.1357320697389</v>
      </c>
      <c r="K63" s="95"/>
      <c r="L63" s="50"/>
      <c r="M63" s="15"/>
    </row>
    <row r="64" spans="1:16">
      <c r="A64" s="50"/>
      <c r="B64" s="50"/>
      <c r="C64" s="50" t="s">
        <v>42</v>
      </c>
      <c r="D64" s="50"/>
      <c r="E64" s="129">
        <f>E14</f>
        <v>16649.2682399277</v>
      </c>
      <c r="F64" s="32">
        <f>F59/F54</f>
        <v>16909.933250951752</v>
      </c>
      <c r="G64" s="32">
        <f>G59/G54</f>
        <v>17217.72080632795</v>
      </c>
      <c r="H64" s="32">
        <f>H59/H54</f>
        <v>17611.132662619097</v>
      </c>
      <c r="I64" s="32">
        <f>I59/I54</f>
        <v>17985.998583912242</v>
      </c>
      <c r="J64" s="32">
        <f>J59/J54</f>
        <v>18340.454367640552</v>
      </c>
      <c r="K64" s="95"/>
      <c r="L64" s="50"/>
      <c r="M64" s="15"/>
    </row>
    <row r="65" spans="1:13">
      <c r="A65" s="50"/>
      <c r="B65" s="50"/>
      <c r="C65" s="50" t="s">
        <v>43</v>
      </c>
      <c r="D65" s="50"/>
      <c r="E65" s="129">
        <f>E59-E60-E61+E62+E63-E64</f>
        <v>416626.73982632969</v>
      </c>
      <c r="F65" s="32">
        <f>F59-F60+F63-F64</f>
        <v>406992.28524893761</v>
      </c>
      <c r="G65" s="32">
        <f>G59-G60+G63-G64</f>
        <v>398680.61749442143</v>
      </c>
      <c r="H65" s="32">
        <f>H59-H60+H63-H64</f>
        <v>389180.82930037176</v>
      </c>
      <c r="I65" s="32">
        <f>I59-I60+I63-I64</f>
        <v>378510.08508077305</v>
      </c>
      <c r="J65" s="32">
        <f>J59-J60+J63-J64</f>
        <v>366686.97805299656</v>
      </c>
      <c r="K65" s="95"/>
      <c r="L65" s="50"/>
      <c r="M65" s="15"/>
    </row>
    <row r="66" spans="1:13">
      <c r="A66" s="50"/>
      <c r="B66" s="50"/>
      <c r="C66" s="50"/>
      <c r="D66" s="50"/>
      <c r="E66" s="50"/>
      <c r="F66" s="50"/>
      <c r="G66" s="50"/>
      <c r="H66" s="50"/>
      <c r="I66" s="50"/>
      <c r="J66" s="50"/>
      <c r="K66" s="95"/>
      <c r="L66" s="27"/>
      <c r="M66" s="15"/>
    </row>
    <row r="67" spans="1:13" ht="15.75">
      <c r="A67" s="50"/>
      <c r="B67" s="50"/>
      <c r="C67" s="162" t="s">
        <v>67</v>
      </c>
      <c r="D67" s="50"/>
      <c r="E67" s="162" t="str">
        <f>Inputs!D$11</f>
        <v>2009/10</v>
      </c>
      <c r="F67" s="162" t="str">
        <f>Inputs!E$11</f>
        <v>2010/11</v>
      </c>
      <c r="G67" s="162" t="str">
        <f>Inputs!F$11</f>
        <v>2011/12</v>
      </c>
      <c r="H67" s="162" t="str">
        <f>Inputs!G$11</f>
        <v>2012/13</v>
      </c>
      <c r="I67" s="162" t="str">
        <f>Inputs!H$11</f>
        <v>2013/14</v>
      </c>
      <c r="J67" s="162" t="str">
        <f>Inputs!I$11</f>
        <v>2014/15</v>
      </c>
      <c r="K67" s="95"/>
      <c r="L67" s="27"/>
      <c r="M67" s="15"/>
    </row>
    <row r="68" spans="1:13">
      <c r="A68" s="50"/>
      <c r="B68" s="50"/>
      <c r="C68" s="164" t="s">
        <v>60</v>
      </c>
      <c r="D68" s="50"/>
      <c r="E68" s="192">
        <v>1</v>
      </c>
      <c r="F68" s="164">
        <f>E68+1</f>
        <v>2</v>
      </c>
      <c r="G68" s="164">
        <f>F68+1</f>
        <v>3</v>
      </c>
      <c r="H68" s="164">
        <f>G68+1</f>
        <v>4</v>
      </c>
      <c r="I68" s="164">
        <f>H68+1</f>
        <v>5</v>
      </c>
      <c r="J68" s="164">
        <f>I68+1</f>
        <v>6</v>
      </c>
      <c r="K68" s="95"/>
      <c r="L68" s="27"/>
      <c r="M68" s="15"/>
    </row>
    <row r="69" spans="1:13">
      <c r="A69" s="50"/>
      <c r="B69" s="50"/>
      <c r="C69" s="50" t="s">
        <v>39</v>
      </c>
      <c r="D69" s="32"/>
      <c r="E69" s="32">
        <f t="shared" ref="E69:J69" si="5">E$29</f>
        <v>35298.5557900001</v>
      </c>
      <c r="F69" s="32">
        <f t="shared" si="5"/>
        <v>37377.616039839086</v>
      </c>
      <c r="G69" s="32">
        <f t="shared" si="5"/>
        <v>46485.646740188371</v>
      </c>
      <c r="H69" s="32">
        <f t="shared" si="5"/>
        <v>43654.372986773335</v>
      </c>
      <c r="I69" s="32">
        <f t="shared" si="5"/>
        <v>46272.300703279623</v>
      </c>
      <c r="J69" s="32">
        <f t="shared" si="5"/>
        <v>29674.880711567537</v>
      </c>
      <c r="K69" s="95"/>
      <c r="L69" s="50"/>
      <c r="M69" s="15"/>
    </row>
    <row r="70" spans="1:13">
      <c r="A70" s="50">
        <v>1</v>
      </c>
      <c r="B70" s="50"/>
      <c r="C70" s="50" t="s">
        <v>254</v>
      </c>
      <c r="D70" s="50"/>
      <c r="E70" s="129">
        <v>0</v>
      </c>
      <c r="F70" s="32">
        <f t="shared" ref="F70:J75" si="6">E94</f>
        <v>35298.5557900001</v>
      </c>
      <c r="G70" s="32">
        <f t="shared" si="6"/>
        <v>35213.485822414659</v>
      </c>
      <c r="H70" s="32">
        <f t="shared" si="6"/>
        <v>35270.271367933412</v>
      </c>
      <c r="I70" s="32">
        <f t="shared" si="6"/>
        <v>35257.483771286032</v>
      </c>
      <c r="J70" s="32">
        <f t="shared" si="6"/>
        <v>35174.173971022246</v>
      </c>
      <c r="K70" s="95"/>
      <c r="L70" s="50"/>
      <c r="M70" s="15"/>
    </row>
    <row r="71" spans="1:13">
      <c r="A71" s="50">
        <v>2</v>
      </c>
      <c r="B71" s="50"/>
      <c r="C71" s="50" t="s">
        <v>255</v>
      </c>
      <c r="D71" s="50"/>
      <c r="E71" s="129">
        <v>0</v>
      </c>
      <c r="F71" s="32">
        <f t="shared" si="6"/>
        <v>0</v>
      </c>
      <c r="G71" s="32">
        <f t="shared" si="6"/>
        <v>37377.616039839086</v>
      </c>
      <c r="H71" s="32">
        <f t="shared" si="6"/>
        <v>37456.769062707426</v>
      </c>
      <c r="I71" s="32">
        <f t="shared" si="6"/>
        <v>37462.98617566863</v>
      </c>
      <c r="J71" s="32">
        <f t="shared" si="6"/>
        <v>37395.208625220082</v>
      </c>
      <c r="K71" s="95"/>
      <c r="L71" s="50"/>
      <c r="M71" s="15"/>
    </row>
    <row r="72" spans="1:13">
      <c r="A72" s="50">
        <v>3</v>
      </c>
      <c r="B72" s="50"/>
      <c r="C72" s="50" t="s">
        <v>256</v>
      </c>
      <c r="D72" s="50"/>
      <c r="E72" s="129">
        <v>0</v>
      </c>
      <c r="F72" s="32">
        <f t="shared" si="6"/>
        <v>0</v>
      </c>
      <c r="G72" s="32">
        <f t="shared" si="6"/>
        <v>0</v>
      </c>
      <c r="H72" s="32">
        <f t="shared" si="6"/>
        <v>46485.646740188371</v>
      </c>
      <c r="I72" s="32">
        <f t="shared" si="6"/>
        <v>46516.840074894208</v>
      </c>
      <c r="J72" s="32">
        <f t="shared" si="6"/>
        <v>46457.268476668527</v>
      </c>
      <c r="K72" s="95"/>
      <c r="L72" s="50"/>
      <c r="M72" s="15"/>
    </row>
    <row r="73" spans="1:13">
      <c r="A73" s="50">
        <v>4</v>
      </c>
      <c r="B73" s="50"/>
      <c r="C73" s="50" t="s">
        <v>257</v>
      </c>
      <c r="D73" s="50"/>
      <c r="E73" s="129">
        <v>0</v>
      </c>
      <c r="F73" s="32">
        <f t="shared" si="6"/>
        <v>0</v>
      </c>
      <c r="G73" s="32">
        <f t="shared" si="6"/>
        <v>0</v>
      </c>
      <c r="H73" s="32">
        <f t="shared" si="6"/>
        <v>0</v>
      </c>
      <c r="I73" s="32">
        <f t="shared" si="6"/>
        <v>43654.372986773335</v>
      </c>
      <c r="J73" s="32">
        <f t="shared" si="6"/>
        <v>43620.514858271206</v>
      </c>
      <c r="K73" s="95"/>
      <c r="L73" s="50"/>
      <c r="M73" s="15"/>
    </row>
    <row r="74" spans="1:13">
      <c r="A74" s="50">
        <v>5</v>
      </c>
      <c r="B74" s="50"/>
      <c r="C74" s="50" t="s">
        <v>258</v>
      </c>
      <c r="D74" s="50"/>
      <c r="E74" s="129">
        <v>0</v>
      </c>
      <c r="F74" s="32">
        <f t="shared" si="6"/>
        <v>0</v>
      </c>
      <c r="G74" s="32">
        <f t="shared" si="6"/>
        <v>0</v>
      </c>
      <c r="H74" s="32">
        <f t="shared" si="6"/>
        <v>0</v>
      </c>
      <c r="I74" s="32">
        <f t="shared" si="6"/>
        <v>0</v>
      </c>
      <c r="J74" s="32">
        <f t="shared" si="6"/>
        <v>46272.300703279623</v>
      </c>
      <c r="K74" s="95"/>
      <c r="L74" s="50"/>
      <c r="M74" s="15"/>
    </row>
    <row r="75" spans="1:13">
      <c r="A75" s="50">
        <v>6</v>
      </c>
      <c r="B75" s="50"/>
      <c r="C75" s="50" t="s">
        <v>259</v>
      </c>
      <c r="D75" s="50"/>
      <c r="E75" s="129">
        <v>0</v>
      </c>
      <c r="F75" s="32">
        <f t="shared" si="6"/>
        <v>0</v>
      </c>
      <c r="G75" s="32">
        <f t="shared" si="6"/>
        <v>0</v>
      </c>
      <c r="H75" s="32">
        <f t="shared" si="6"/>
        <v>0</v>
      </c>
      <c r="I75" s="32">
        <f t="shared" si="6"/>
        <v>0</v>
      </c>
      <c r="J75" s="32">
        <f t="shared" si="6"/>
        <v>0</v>
      </c>
      <c r="K75" s="95"/>
      <c r="L75" s="50"/>
      <c r="M75" s="15"/>
    </row>
    <row r="76" spans="1:13">
      <c r="A76" s="50">
        <v>1</v>
      </c>
      <c r="B76" s="50"/>
      <c r="C76" s="50" t="s">
        <v>236</v>
      </c>
      <c r="D76" s="50"/>
      <c r="E76" s="129">
        <f>Inputs!$C$7+$A76</f>
        <v>46</v>
      </c>
      <c r="F76" s="32">
        <f t="shared" ref="F76:J81" si="7">E76-1</f>
        <v>45</v>
      </c>
      <c r="G76" s="32">
        <f t="shared" si="7"/>
        <v>44</v>
      </c>
      <c r="H76" s="32">
        <f t="shared" si="7"/>
        <v>43</v>
      </c>
      <c r="I76" s="32">
        <f t="shared" si="7"/>
        <v>42</v>
      </c>
      <c r="J76" s="32">
        <f t="shared" si="7"/>
        <v>41</v>
      </c>
      <c r="K76" s="95"/>
      <c r="L76" s="50"/>
      <c r="M76" s="15"/>
    </row>
    <row r="77" spans="1:13">
      <c r="A77" s="50">
        <v>2</v>
      </c>
      <c r="B77" s="50"/>
      <c r="C77" s="50" t="s">
        <v>237</v>
      </c>
      <c r="D77" s="50"/>
      <c r="E77" s="129">
        <f>Inputs!$C$7+$A77</f>
        <v>47</v>
      </c>
      <c r="F77" s="32">
        <f t="shared" si="7"/>
        <v>46</v>
      </c>
      <c r="G77" s="32">
        <f t="shared" si="7"/>
        <v>45</v>
      </c>
      <c r="H77" s="32">
        <f t="shared" si="7"/>
        <v>44</v>
      </c>
      <c r="I77" s="32">
        <f t="shared" si="7"/>
        <v>43</v>
      </c>
      <c r="J77" s="32">
        <f t="shared" si="7"/>
        <v>42</v>
      </c>
      <c r="K77" s="95"/>
      <c r="L77" s="50"/>
      <c r="M77" s="15"/>
    </row>
    <row r="78" spans="1:13">
      <c r="A78" s="50">
        <v>3</v>
      </c>
      <c r="B78" s="50"/>
      <c r="C78" s="50" t="s">
        <v>238</v>
      </c>
      <c r="D78" s="50"/>
      <c r="E78" s="129">
        <f>Inputs!$C$7+$A78</f>
        <v>48</v>
      </c>
      <c r="F78" s="32">
        <f t="shared" si="7"/>
        <v>47</v>
      </c>
      <c r="G78" s="32">
        <f t="shared" si="7"/>
        <v>46</v>
      </c>
      <c r="H78" s="32">
        <f t="shared" si="7"/>
        <v>45</v>
      </c>
      <c r="I78" s="32">
        <f t="shared" si="7"/>
        <v>44</v>
      </c>
      <c r="J78" s="32">
        <f t="shared" si="7"/>
        <v>43</v>
      </c>
      <c r="K78" s="95"/>
      <c r="L78" s="50"/>
      <c r="M78" s="15"/>
    </row>
    <row r="79" spans="1:13">
      <c r="A79" s="50">
        <v>4</v>
      </c>
      <c r="B79" s="50"/>
      <c r="C79" s="50" t="s">
        <v>239</v>
      </c>
      <c r="D79" s="50"/>
      <c r="E79" s="129">
        <f>Inputs!$C$7+$A79</f>
        <v>49</v>
      </c>
      <c r="F79" s="32">
        <f t="shared" si="7"/>
        <v>48</v>
      </c>
      <c r="G79" s="32">
        <f t="shared" si="7"/>
        <v>47</v>
      </c>
      <c r="H79" s="32">
        <f t="shared" si="7"/>
        <v>46</v>
      </c>
      <c r="I79" s="32">
        <f t="shared" si="7"/>
        <v>45</v>
      </c>
      <c r="J79" s="32">
        <f t="shared" si="7"/>
        <v>44</v>
      </c>
      <c r="K79" s="95"/>
      <c r="L79" s="50"/>
      <c r="M79" s="15"/>
    </row>
    <row r="80" spans="1:13">
      <c r="A80" s="50">
        <v>5</v>
      </c>
      <c r="B80" s="50"/>
      <c r="C80" s="50" t="s">
        <v>240</v>
      </c>
      <c r="D80" s="50"/>
      <c r="E80" s="129">
        <f>Inputs!$C$7+$A80</f>
        <v>50</v>
      </c>
      <c r="F80" s="32">
        <f t="shared" si="7"/>
        <v>49</v>
      </c>
      <c r="G80" s="32">
        <f t="shared" si="7"/>
        <v>48</v>
      </c>
      <c r="H80" s="32">
        <f t="shared" si="7"/>
        <v>47</v>
      </c>
      <c r="I80" s="32">
        <f t="shared" si="7"/>
        <v>46</v>
      </c>
      <c r="J80" s="32">
        <f t="shared" si="7"/>
        <v>45</v>
      </c>
      <c r="K80" s="95"/>
      <c r="L80" s="50"/>
      <c r="M80" s="15"/>
    </row>
    <row r="81" spans="1:13">
      <c r="A81" s="50">
        <v>6</v>
      </c>
      <c r="B81" s="50"/>
      <c r="C81" s="50" t="s">
        <v>241</v>
      </c>
      <c r="D81" s="50"/>
      <c r="E81" s="129">
        <f>Inputs!$C$7+$A81</f>
        <v>51</v>
      </c>
      <c r="F81" s="32">
        <f t="shared" si="7"/>
        <v>50</v>
      </c>
      <c r="G81" s="32">
        <f t="shared" si="7"/>
        <v>49</v>
      </c>
      <c r="H81" s="32">
        <f t="shared" si="7"/>
        <v>48</v>
      </c>
      <c r="I81" s="32">
        <f t="shared" si="7"/>
        <v>47</v>
      </c>
      <c r="J81" s="32">
        <f t="shared" si="7"/>
        <v>46</v>
      </c>
      <c r="K81" s="95"/>
      <c r="L81" s="50"/>
      <c r="M81" s="15"/>
    </row>
    <row r="82" spans="1:13">
      <c r="A82" s="50">
        <v>1</v>
      </c>
      <c r="B82" s="50"/>
      <c r="C82" s="50" t="s">
        <v>260</v>
      </c>
      <c r="D82" s="50"/>
      <c r="E82" s="32">
        <f t="shared" ref="E82:J87" si="8">E70*E$41</f>
        <v>0</v>
      </c>
      <c r="F82" s="32">
        <f t="shared" si="8"/>
        <v>699.34238330345033</v>
      </c>
      <c r="G82" s="32">
        <f t="shared" si="8"/>
        <v>857.09204148271965</v>
      </c>
      <c r="H82" s="32">
        <f t="shared" si="8"/>
        <v>807.45127237432814</v>
      </c>
      <c r="I82" s="32">
        <f t="shared" si="8"/>
        <v>756.15409905254899</v>
      </c>
      <c r="J82" s="32">
        <f t="shared" si="8"/>
        <v>703.48347942044552</v>
      </c>
      <c r="K82" s="95"/>
      <c r="L82" s="50"/>
      <c r="M82" s="15"/>
    </row>
    <row r="83" spans="1:13">
      <c r="A83" s="50">
        <v>2</v>
      </c>
      <c r="B83" s="50"/>
      <c r="C83" s="50" t="s">
        <v>261</v>
      </c>
      <c r="D83" s="50"/>
      <c r="E83" s="32">
        <f t="shared" si="8"/>
        <v>0</v>
      </c>
      <c r="F83" s="32">
        <f t="shared" si="8"/>
        <v>0</v>
      </c>
      <c r="G83" s="32">
        <f t="shared" si="8"/>
        <v>909.76671264254162</v>
      </c>
      <c r="H83" s="32">
        <f t="shared" si="8"/>
        <v>857.50731893182467</v>
      </c>
      <c r="I83" s="32">
        <f t="shared" si="8"/>
        <v>803.4546861949118</v>
      </c>
      <c r="J83" s="32">
        <f t="shared" si="8"/>
        <v>747.90417250440237</v>
      </c>
      <c r="K83" s="95"/>
      <c r="L83" s="50"/>
      <c r="M83" s="15"/>
    </row>
    <row r="84" spans="1:13">
      <c r="A84" s="50">
        <v>3</v>
      </c>
      <c r="B84" s="50"/>
      <c r="C84" s="50" t="s">
        <v>262</v>
      </c>
      <c r="D84" s="50"/>
      <c r="E84" s="32">
        <f t="shared" si="8"/>
        <v>0</v>
      </c>
      <c r="F84" s="32">
        <f t="shared" si="8"/>
        <v>0</v>
      </c>
      <c r="G84" s="32">
        <f t="shared" si="8"/>
        <v>0</v>
      </c>
      <c r="H84" s="32">
        <f t="shared" si="8"/>
        <v>1064.207706710024</v>
      </c>
      <c r="I84" s="32">
        <f t="shared" si="8"/>
        <v>997.62931256736579</v>
      </c>
      <c r="J84" s="32">
        <f t="shared" si="8"/>
        <v>929.14536953337131</v>
      </c>
      <c r="K84" s="95"/>
      <c r="L84" s="50"/>
      <c r="M84" s="15"/>
    </row>
    <row r="85" spans="1:13">
      <c r="A85" s="50">
        <v>4</v>
      </c>
      <c r="B85" s="50"/>
      <c r="C85" s="50" t="s">
        <v>263</v>
      </c>
      <c r="D85" s="50"/>
      <c r="E85" s="32">
        <f t="shared" si="8"/>
        <v>0</v>
      </c>
      <c r="F85" s="32">
        <f t="shared" si="8"/>
        <v>0</v>
      </c>
      <c r="G85" s="32">
        <f t="shared" si="8"/>
        <v>0</v>
      </c>
      <c r="H85" s="32">
        <f t="shared" si="8"/>
        <v>0</v>
      </c>
      <c r="I85" s="32">
        <f t="shared" si="8"/>
        <v>936.23904898172748</v>
      </c>
      <c r="J85" s="32">
        <f t="shared" si="8"/>
        <v>872.41029716542494</v>
      </c>
      <c r="K85" s="95"/>
      <c r="L85" s="50"/>
      <c r="M85" s="15"/>
    </row>
    <row r="86" spans="1:13">
      <c r="A86" s="50">
        <v>5</v>
      </c>
      <c r="B86" s="50"/>
      <c r="C86" s="50" t="s">
        <v>264</v>
      </c>
      <c r="D86" s="50"/>
      <c r="E86" s="32">
        <f t="shared" si="8"/>
        <v>0</v>
      </c>
      <c r="F86" s="32">
        <f t="shared" si="8"/>
        <v>0</v>
      </c>
      <c r="G86" s="32">
        <f t="shared" si="8"/>
        <v>0</v>
      </c>
      <c r="H86" s="32">
        <f t="shared" si="8"/>
        <v>0</v>
      </c>
      <c r="I86" s="32">
        <f t="shared" si="8"/>
        <v>0</v>
      </c>
      <c r="J86" s="32">
        <f t="shared" si="8"/>
        <v>925.44601406559332</v>
      </c>
      <c r="K86" s="95"/>
      <c r="L86" s="50"/>
      <c r="M86" s="15"/>
    </row>
    <row r="87" spans="1:13">
      <c r="A87" s="50">
        <v>6</v>
      </c>
      <c r="B87" s="50"/>
      <c r="C87" s="50" t="s">
        <v>265</v>
      </c>
      <c r="D87" s="50"/>
      <c r="E87" s="32">
        <f t="shared" si="8"/>
        <v>0</v>
      </c>
      <c r="F87" s="32">
        <f t="shared" si="8"/>
        <v>0</v>
      </c>
      <c r="G87" s="32">
        <f t="shared" si="8"/>
        <v>0</v>
      </c>
      <c r="H87" s="32">
        <f t="shared" si="8"/>
        <v>0</v>
      </c>
      <c r="I87" s="32">
        <f t="shared" si="8"/>
        <v>0</v>
      </c>
      <c r="J87" s="32">
        <f t="shared" si="8"/>
        <v>0</v>
      </c>
      <c r="K87" s="95"/>
      <c r="L87" s="50"/>
      <c r="M87" s="15"/>
    </row>
    <row r="88" spans="1:13">
      <c r="A88" s="50">
        <v>1</v>
      </c>
      <c r="B88" s="50"/>
      <c r="C88" s="50" t="s">
        <v>266</v>
      </c>
      <c r="D88" s="50"/>
      <c r="E88" s="32">
        <f t="shared" ref="E88:J93" si="9">E70/E76</f>
        <v>0</v>
      </c>
      <c r="F88" s="32">
        <f t="shared" si="9"/>
        <v>784.41235088889107</v>
      </c>
      <c r="G88" s="32">
        <f t="shared" si="9"/>
        <v>800.3064959639695</v>
      </c>
      <c r="H88" s="32">
        <f t="shared" si="9"/>
        <v>820.23886902170727</v>
      </c>
      <c r="I88" s="32">
        <f t="shared" si="9"/>
        <v>839.46389931633405</v>
      </c>
      <c r="J88" s="32">
        <f t="shared" si="9"/>
        <v>857.90668222005479</v>
      </c>
      <c r="K88" s="95"/>
      <c r="L88" s="50"/>
      <c r="M88" s="15"/>
    </row>
    <row r="89" spans="1:13">
      <c r="A89" s="50">
        <v>2</v>
      </c>
      <c r="B89" s="50"/>
      <c r="C89" s="50" t="s">
        <v>267</v>
      </c>
      <c r="D89" s="50"/>
      <c r="E89" s="32">
        <f t="shared" si="9"/>
        <v>0</v>
      </c>
      <c r="F89" s="32">
        <f t="shared" si="9"/>
        <v>0</v>
      </c>
      <c r="G89" s="32">
        <f t="shared" si="9"/>
        <v>830.61368977420193</v>
      </c>
      <c r="H89" s="32">
        <f t="shared" si="9"/>
        <v>851.29020597062333</v>
      </c>
      <c r="I89" s="32">
        <f t="shared" si="9"/>
        <v>871.23223664345653</v>
      </c>
      <c r="J89" s="32">
        <f t="shared" si="9"/>
        <v>890.36211012428771</v>
      </c>
      <c r="K89" s="95"/>
      <c r="L89" s="50"/>
      <c r="M89" s="15"/>
    </row>
    <row r="90" spans="1:13">
      <c r="A90" s="50">
        <v>3</v>
      </c>
      <c r="B90" s="50"/>
      <c r="C90" s="50" t="s">
        <v>268</v>
      </c>
      <c r="D90" s="50"/>
      <c r="E90" s="32">
        <f t="shared" si="9"/>
        <v>0</v>
      </c>
      <c r="F90" s="32">
        <f t="shared" si="9"/>
        <v>0</v>
      </c>
      <c r="G90" s="32">
        <f t="shared" si="9"/>
        <v>0</v>
      </c>
      <c r="H90" s="32">
        <f t="shared" si="9"/>
        <v>1033.014372004186</v>
      </c>
      <c r="I90" s="32">
        <f t="shared" si="9"/>
        <v>1057.2009107930501</v>
      </c>
      <c r="J90" s="32">
        <f t="shared" si="9"/>
        <v>1080.4015924806633</v>
      </c>
      <c r="K90" s="95"/>
      <c r="L90" s="50"/>
      <c r="M90" s="15"/>
    </row>
    <row r="91" spans="1:13">
      <c r="A91" s="50">
        <v>4</v>
      </c>
      <c r="B91" s="50"/>
      <c r="C91" s="50" t="s">
        <v>269</v>
      </c>
      <c r="D91" s="50"/>
      <c r="E91" s="32">
        <f t="shared" si="9"/>
        <v>0</v>
      </c>
      <c r="F91" s="32">
        <f t="shared" si="9"/>
        <v>0</v>
      </c>
      <c r="G91" s="32">
        <f t="shared" si="9"/>
        <v>0</v>
      </c>
      <c r="H91" s="32">
        <f t="shared" si="9"/>
        <v>0</v>
      </c>
      <c r="I91" s="32">
        <f t="shared" si="9"/>
        <v>970.09717748385185</v>
      </c>
      <c r="J91" s="32">
        <f t="shared" si="9"/>
        <v>991.37533768798198</v>
      </c>
      <c r="K91" s="95"/>
      <c r="L91" s="50"/>
      <c r="M91" s="15"/>
    </row>
    <row r="92" spans="1:13">
      <c r="A92" s="50">
        <v>5</v>
      </c>
      <c r="B92" s="50"/>
      <c r="C92" s="50" t="s">
        <v>270</v>
      </c>
      <c r="D92" s="50"/>
      <c r="E92" s="32">
        <f t="shared" si="9"/>
        <v>0</v>
      </c>
      <c r="F92" s="32">
        <f t="shared" si="9"/>
        <v>0</v>
      </c>
      <c r="G92" s="32">
        <f t="shared" si="9"/>
        <v>0</v>
      </c>
      <c r="H92" s="32">
        <f t="shared" si="9"/>
        <v>0</v>
      </c>
      <c r="I92" s="32">
        <f t="shared" si="9"/>
        <v>0</v>
      </c>
      <c r="J92" s="32">
        <f t="shared" si="9"/>
        <v>1028.2733489617694</v>
      </c>
      <c r="K92" s="95"/>
      <c r="L92" s="50"/>
      <c r="M92" s="15"/>
    </row>
    <row r="93" spans="1:13">
      <c r="A93" s="50">
        <v>6</v>
      </c>
      <c r="B93" s="50"/>
      <c r="C93" s="50" t="s">
        <v>271</v>
      </c>
      <c r="D93" s="50"/>
      <c r="E93" s="32">
        <f t="shared" si="9"/>
        <v>0</v>
      </c>
      <c r="F93" s="32">
        <f t="shared" si="9"/>
        <v>0</v>
      </c>
      <c r="G93" s="32">
        <f t="shared" si="9"/>
        <v>0</v>
      </c>
      <c r="H93" s="32">
        <f t="shared" si="9"/>
        <v>0</v>
      </c>
      <c r="I93" s="32">
        <f t="shared" si="9"/>
        <v>0</v>
      </c>
      <c r="J93" s="32">
        <f t="shared" si="9"/>
        <v>0</v>
      </c>
      <c r="K93" s="95"/>
      <c r="L93" s="50"/>
      <c r="M93" s="15"/>
    </row>
    <row r="94" spans="1:13">
      <c r="A94" s="50">
        <v>1</v>
      </c>
      <c r="B94" s="50"/>
      <c r="C94" s="50" t="s">
        <v>272</v>
      </c>
      <c r="D94" s="50"/>
      <c r="E94" s="32">
        <f t="shared" ref="E94:J99" si="10">E70+E82-E88+IF($A94=E$68,E$69,0)</f>
        <v>35298.5557900001</v>
      </c>
      <c r="F94" s="32">
        <f t="shared" si="10"/>
        <v>35213.485822414659</v>
      </c>
      <c r="G94" s="32">
        <f t="shared" si="10"/>
        <v>35270.271367933412</v>
      </c>
      <c r="H94" s="32">
        <f t="shared" si="10"/>
        <v>35257.483771286032</v>
      </c>
      <c r="I94" s="32">
        <f t="shared" si="10"/>
        <v>35174.173971022246</v>
      </c>
      <c r="J94" s="32">
        <f t="shared" si="10"/>
        <v>35019.750768222635</v>
      </c>
      <c r="K94" s="95"/>
      <c r="L94" s="50"/>
      <c r="M94" s="15"/>
    </row>
    <row r="95" spans="1:13">
      <c r="A95" s="50">
        <v>2</v>
      </c>
      <c r="B95" s="50"/>
      <c r="C95" s="50" t="s">
        <v>273</v>
      </c>
      <c r="D95" s="50"/>
      <c r="E95" s="32">
        <f t="shared" si="10"/>
        <v>0</v>
      </c>
      <c r="F95" s="32">
        <f t="shared" si="10"/>
        <v>37377.616039839086</v>
      </c>
      <c r="G95" s="32">
        <f t="shared" si="10"/>
        <v>37456.769062707426</v>
      </c>
      <c r="H95" s="32">
        <f t="shared" si="10"/>
        <v>37462.98617566863</v>
      </c>
      <c r="I95" s="32">
        <f t="shared" si="10"/>
        <v>37395.208625220082</v>
      </c>
      <c r="J95" s="32">
        <f t="shared" si="10"/>
        <v>37252.750687600193</v>
      </c>
      <c r="K95" s="95"/>
      <c r="L95" s="50"/>
      <c r="M95" s="15"/>
    </row>
    <row r="96" spans="1:13">
      <c r="A96" s="50">
        <v>3</v>
      </c>
      <c r="B96" s="50"/>
      <c r="C96" s="50" t="s">
        <v>274</v>
      </c>
      <c r="D96" s="50"/>
      <c r="E96" s="32">
        <f t="shared" si="10"/>
        <v>0</v>
      </c>
      <c r="F96" s="32">
        <f t="shared" si="10"/>
        <v>0</v>
      </c>
      <c r="G96" s="32">
        <f t="shared" si="10"/>
        <v>46485.646740188371</v>
      </c>
      <c r="H96" s="32">
        <f t="shared" si="10"/>
        <v>46516.840074894208</v>
      </c>
      <c r="I96" s="32">
        <f t="shared" si="10"/>
        <v>46457.268476668527</v>
      </c>
      <c r="J96" s="32">
        <f t="shared" si="10"/>
        <v>46306.01225372123</v>
      </c>
      <c r="K96" s="95"/>
      <c r="L96" s="50"/>
      <c r="M96" s="15"/>
    </row>
    <row r="97" spans="1:13">
      <c r="A97" s="50">
        <v>4</v>
      </c>
      <c r="B97" s="50"/>
      <c r="C97" s="50" t="s">
        <v>275</v>
      </c>
      <c r="D97" s="50"/>
      <c r="E97" s="32">
        <f t="shared" si="10"/>
        <v>0</v>
      </c>
      <c r="F97" s="32">
        <f t="shared" si="10"/>
        <v>0</v>
      </c>
      <c r="G97" s="32">
        <f t="shared" si="10"/>
        <v>0</v>
      </c>
      <c r="H97" s="32">
        <f t="shared" si="10"/>
        <v>43654.372986773335</v>
      </c>
      <c r="I97" s="32">
        <f t="shared" si="10"/>
        <v>43620.514858271206</v>
      </c>
      <c r="J97" s="32">
        <f t="shared" si="10"/>
        <v>43501.549817748652</v>
      </c>
      <c r="K97" s="95"/>
      <c r="L97" s="50"/>
      <c r="M97" s="15"/>
    </row>
    <row r="98" spans="1:13">
      <c r="A98" s="50">
        <v>5</v>
      </c>
      <c r="B98" s="50"/>
      <c r="C98" s="50" t="s">
        <v>276</v>
      </c>
      <c r="D98" s="50"/>
      <c r="E98" s="32">
        <f t="shared" si="10"/>
        <v>0</v>
      </c>
      <c r="F98" s="32">
        <f t="shared" si="10"/>
        <v>0</v>
      </c>
      <c r="G98" s="32">
        <f t="shared" si="10"/>
        <v>0</v>
      </c>
      <c r="H98" s="32">
        <f t="shared" si="10"/>
        <v>0</v>
      </c>
      <c r="I98" s="32">
        <f t="shared" si="10"/>
        <v>46272.300703279623</v>
      </c>
      <c r="J98" s="32">
        <f t="shared" si="10"/>
        <v>46169.473368383449</v>
      </c>
      <c r="K98" s="95"/>
      <c r="L98" s="50"/>
      <c r="M98" s="15"/>
    </row>
    <row r="99" spans="1:13">
      <c r="A99" s="50">
        <v>6</v>
      </c>
      <c r="B99" s="50"/>
      <c r="C99" s="50" t="s">
        <v>277</v>
      </c>
      <c r="D99" s="50"/>
      <c r="E99" s="32">
        <f t="shared" si="10"/>
        <v>0</v>
      </c>
      <c r="F99" s="32">
        <f t="shared" si="10"/>
        <v>0</v>
      </c>
      <c r="G99" s="32">
        <f t="shared" si="10"/>
        <v>0</v>
      </c>
      <c r="H99" s="32">
        <f t="shared" si="10"/>
        <v>0</v>
      </c>
      <c r="I99" s="32">
        <f t="shared" si="10"/>
        <v>0</v>
      </c>
      <c r="J99" s="32">
        <f t="shared" si="10"/>
        <v>29674.880711567537</v>
      </c>
      <c r="K99" s="95"/>
      <c r="L99" s="50"/>
      <c r="M99" s="15"/>
    </row>
    <row r="100" spans="1:13">
      <c r="A100" s="50"/>
      <c r="B100" s="50"/>
      <c r="C100" s="50" t="s">
        <v>146</v>
      </c>
      <c r="D100" s="50"/>
      <c r="E100" s="32">
        <f t="shared" ref="E100:J100" si="11">SUM(E70:E75)</f>
        <v>0</v>
      </c>
      <c r="F100" s="32">
        <f t="shared" si="11"/>
        <v>35298.5557900001</v>
      </c>
      <c r="G100" s="32">
        <f t="shared" si="11"/>
        <v>72591.101862253738</v>
      </c>
      <c r="H100" s="32">
        <f t="shared" si="11"/>
        <v>119212.6871708292</v>
      </c>
      <c r="I100" s="32">
        <f t="shared" si="11"/>
        <v>162891.6830086222</v>
      </c>
      <c r="J100" s="32">
        <f t="shared" si="11"/>
        <v>208919.46663446169</v>
      </c>
      <c r="K100" s="95"/>
      <c r="L100" s="27"/>
      <c r="M100" s="15"/>
    </row>
    <row r="101" spans="1:13">
      <c r="A101" s="50"/>
      <c r="B101" s="50"/>
      <c r="C101" s="50" t="s">
        <v>147</v>
      </c>
      <c r="D101" s="50"/>
      <c r="E101" s="32">
        <f t="shared" ref="E101:J101" si="12">SUM(E82:E87)</f>
        <v>0</v>
      </c>
      <c r="F101" s="32">
        <f t="shared" si="12"/>
        <v>699.34238330345033</v>
      </c>
      <c r="G101" s="32">
        <f t="shared" si="12"/>
        <v>1766.8587541252614</v>
      </c>
      <c r="H101" s="32">
        <f t="shared" si="12"/>
        <v>2729.1662980161768</v>
      </c>
      <c r="I101" s="32">
        <f t="shared" si="12"/>
        <v>3493.4771467965543</v>
      </c>
      <c r="J101" s="32">
        <f t="shared" si="12"/>
        <v>4178.3893326892376</v>
      </c>
      <c r="K101" s="95"/>
      <c r="L101" s="27"/>
      <c r="M101" s="15"/>
    </row>
    <row r="102" spans="1:13">
      <c r="A102" s="50"/>
      <c r="B102" s="50"/>
      <c r="C102" s="50" t="s">
        <v>68</v>
      </c>
      <c r="D102" s="50"/>
      <c r="E102" s="32">
        <f t="shared" ref="E102:J102" si="13">SUM(E88:E93)</f>
        <v>0</v>
      </c>
      <c r="F102" s="32">
        <f t="shared" si="13"/>
        <v>784.41235088889107</v>
      </c>
      <c r="G102" s="32">
        <f t="shared" si="13"/>
        <v>1630.9201857381713</v>
      </c>
      <c r="H102" s="32">
        <f t="shared" si="13"/>
        <v>2704.5434469965166</v>
      </c>
      <c r="I102" s="32">
        <f t="shared" si="13"/>
        <v>3737.9942242366924</v>
      </c>
      <c r="J102" s="32">
        <f t="shared" si="13"/>
        <v>4848.319071474757</v>
      </c>
      <c r="K102" s="95"/>
      <c r="L102" s="27"/>
      <c r="M102" s="15"/>
    </row>
    <row r="103" spans="1:13">
      <c r="A103" s="50"/>
      <c r="B103" s="50"/>
      <c r="C103" s="50" t="s">
        <v>148</v>
      </c>
      <c r="D103" s="50"/>
      <c r="E103" s="32">
        <f t="shared" ref="E103:J103" si="14">SUM(E94:E99)</f>
        <v>35298.5557900001</v>
      </c>
      <c r="F103" s="32">
        <f t="shared" si="14"/>
        <v>72591.101862253738</v>
      </c>
      <c r="G103" s="32">
        <f t="shared" si="14"/>
        <v>119212.6871708292</v>
      </c>
      <c r="H103" s="32">
        <f t="shared" si="14"/>
        <v>162891.6830086222</v>
      </c>
      <c r="I103" s="32">
        <f t="shared" si="14"/>
        <v>208919.46663446169</v>
      </c>
      <c r="J103" s="32">
        <f t="shared" si="14"/>
        <v>237924.4176072437</v>
      </c>
      <c r="K103" s="95"/>
      <c r="L103" s="50"/>
      <c r="M103" s="15"/>
    </row>
    <row r="104" spans="1:13">
      <c r="A104" s="50"/>
      <c r="B104" s="50"/>
      <c r="C104" s="50"/>
      <c r="D104" s="50"/>
      <c r="E104" s="32"/>
      <c r="F104" s="32"/>
      <c r="G104" s="32"/>
      <c r="H104" s="32"/>
      <c r="I104" s="32"/>
      <c r="J104" s="32"/>
      <c r="K104" s="95"/>
      <c r="L104" s="50"/>
      <c r="M104" s="15"/>
    </row>
    <row r="105" spans="1:13" ht="15.75">
      <c r="A105" s="50"/>
      <c r="B105" s="50"/>
      <c r="C105" s="162" t="s">
        <v>121</v>
      </c>
      <c r="D105" s="50"/>
      <c r="E105" s="162" t="str">
        <f>Inputs!D$11</f>
        <v>2009/10</v>
      </c>
      <c r="F105" s="162" t="str">
        <f>Inputs!E$11</f>
        <v>2010/11</v>
      </c>
      <c r="G105" s="162" t="str">
        <f>Inputs!F$11</f>
        <v>2011/12</v>
      </c>
      <c r="H105" s="162" t="str">
        <f>Inputs!G$11</f>
        <v>2012/13</v>
      </c>
      <c r="I105" s="162" t="str">
        <f>Inputs!H$11</f>
        <v>2013/14</v>
      </c>
      <c r="J105" s="162" t="str">
        <f>Inputs!I$11</f>
        <v>2014/15</v>
      </c>
      <c r="K105" s="95"/>
      <c r="L105" s="50"/>
      <c r="M105" s="15"/>
    </row>
    <row r="106" spans="1:13">
      <c r="A106" s="50"/>
      <c r="B106" s="50"/>
      <c r="C106" s="164" t="s">
        <v>60</v>
      </c>
      <c r="D106" s="50"/>
      <c r="E106" s="164">
        <v>1</v>
      </c>
      <c r="F106" s="164">
        <v>2</v>
      </c>
      <c r="G106" s="164">
        <v>3</v>
      </c>
      <c r="H106" s="164">
        <v>4</v>
      </c>
      <c r="I106" s="164">
        <v>5</v>
      </c>
      <c r="J106" s="164">
        <v>6</v>
      </c>
      <c r="K106" s="95"/>
      <c r="L106" s="50"/>
      <c r="M106" s="15"/>
    </row>
    <row r="107" spans="1:13">
      <c r="A107" s="50"/>
      <c r="B107" s="50"/>
      <c r="C107" s="50" t="s">
        <v>39</v>
      </c>
      <c r="D107" s="32"/>
      <c r="E107" s="32">
        <f t="shared" ref="E107:J107" si="15">E$29</f>
        <v>35298.5557900001</v>
      </c>
      <c r="F107" s="32">
        <f t="shared" si="15"/>
        <v>37377.616039839086</v>
      </c>
      <c r="G107" s="32">
        <f t="shared" si="15"/>
        <v>46485.646740188371</v>
      </c>
      <c r="H107" s="32">
        <f t="shared" si="15"/>
        <v>43654.372986773335</v>
      </c>
      <c r="I107" s="32">
        <f t="shared" si="15"/>
        <v>46272.300703279623</v>
      </c>
      <c r="J107" s="32">
        <f t="shared" si="15"/>
        <v>29674.880711567537</v>
      </c>
      <c r="K107" s="95"/>
      <c r="L107" s="50"/>
      <c r="M107" s="15"/>
    </row>
    <row r="108" spans="1:13">
      <c r="A108" s="50">
        <v>1</v>
      </c>
      <c r="B108" s="50"/>
      <c r="C108" s="50" t="s">
        <v>230</v>
      </c>
      <c r="D108" s="50"/>
      <c r="E108" s="129">
        <v>0</v>
      </c>
      <c r="F108" s="32">
        <f t="shared" ref="F108:J113" si="16">E126</f>
        <v>35298.5557900001</v>
      </c>
      <c r="G108" s="32">
        <f t="shared" si="16"/>
        <v>34514.143439111213</v>
      </c>
      <c r="H108" s="32">
        <f t="shared" si="16"/>
        <v>33729.731088222325</v>
      </c>
      <c r="I108" s="32">
        <f t="shared" si="16"/>
        <v>32945.318737333437</v>
      </c>
      <c r="J108" s="32">
        <f t="shared" si="16"/>
        <v>32160.906386444545</v>
      </c>
      <c r="K108" s="95"/>
      <c r="L108" s="50"/>
      <c r="M108" s="15"/>
    </row>
    <row r="109" spans="1:13">
      <c r="A109" s="50">
        <v>2</v>
      </c>
      <c r="B109" s="50"/>
      <c r="C109" s="50" t="s">
        <v>231</v>
      </c>
      <c r="D109" s="50"/>
      <c r="E109" s="129">
        <v>0</v>
      </c>
      <c r="F109" s="32">
        <f t="shared" si="16"/>
        <v>0</v>
      </c>
      <c r="G109" s="32">
        <f t="shared" si="16"/>
        <v>37377.616039839086</v>
      </c>
      <c r="H109" s="32">
        <f t="shared" si="16"/>
        <v>36547.002350064882</v>
      </c>
      <c r="I109" s="32">
        <f t="shared" si="16"/>
        <v>35716.388660290679</v>
      </c>
      <c r="J109" s="32">
        <f t="shared" si="16"/>
        <v>34885.774970516475</v>
      </c>
      <c r="K109" s="95"/>
      <c r="L109" s="50"/>
      <c r="M109" s="15"/>
    </row>
    <row r="110" spans="1:13">
      <c r="A110" s="50">
        <v>3</v>
      </c>
      <c r="B110" s="50"/>
      <c r="C110" s="50" t="s">
        <v>232</v>
      </c>
      <c r="D110" s="50"/>
      <c r="E110" s="129">
        <v>0</v>
      </c>
      <c r="F110" s="32">
        <f t="shared" si="16"/>
        <v>0</v>
      </c>
      <c r="G110" s="32">
        <f t="shared" si="16"/>
        <v>0</v>
      </c>
      <c r="H110" s="32">
        <f t="shared" si="16"/>
        <v>46485.646740188371</v>
      </c>
      <c r="I110" s="32">
        <f t="shared" si="16"/>
        <v>45452.632368184182</v>
      </c>
      <c r="J110" s="32">
        <f t="shared" si="16"/>
        <v>44419.617996179993</v>
      </c>
      <c r="K110" s="95"/>
      <c r="L110" s="50"/>
      <c r="M110" s="15"/>
    </row>
    <row r="111" spans="1:13">
      <c r="A111" s="50">
        <v>4</v>
      </c>
      <c r="B111" s="50"/>
      <c r="C111" s="50" t="s">
        <v>233</v>
      </c>
      <c r="D111" s="50"/>
      <c r="E111" s="129">
        <v>0</v>
      </c>
      <c r="F111" s="32">
        <f t="shared" si="16"/>
        <v>0</v>
      </c>
      <c r="G111" s="32">
        <f t="shared" si="16"/>
        <v>0</v>
      </c>
      <c r="H111" s="32">
        <f t="shared" si="16"/>
        <v>0</v>
      </c>
      <c r="I111" s="32">
        <f t="shared" si="16"/>
        <v>43654.372986773335</v>
      </c>
      <c r="J111" s="32">
        <f t="shared" si="16"/>
        <v>42684.27580928948</v>
      </c>
      <c r="K111" s="95"/>
      <c r="L111" s="50"/>
      <c r="M111" s="15"/>
    </row>
    <row r="112" spans="1:13">
      <c r="A112" s="50">
        <v>5</v>
      </c>
      <c r="B112" s="50"/>
      <c r="C112" s="50" t="s">
        <v>234</v>
      </c>
      <c r="D112" s="50"/>
      <c r="E112" s="129">
        <v>0</v>
      </c>
      <c r="F112" s="32">
        <f t="shared" si="16"/>
        <v>0</v>
      </c>
      <c r="G112" s="32">
        <f t="shared" si="16"/>
        <v>0</v>
      </c>
      <c r="H112" s="32">
        <f t="shared" si="16"/>
        <v>0</v>
      </c>
      <c r="I112" s="32">
        <f t="shared" si="16"/>
        <v>0</v>
      </c>
      <c r="J112" s="32">
        <f t="shared" si="16"/>
        <v>46272.300703279623</v>
      </c>
      <c r="K112" s="95"/>
      <c r="L112" s="50"/>
      <c r="M112" s="15"/>
    </row>
    <row r="113" spans="1:13">
      <c r="A113" s="50">
        <v>6</v>
      </c>
      <c r="B113" s="50"/>
      <c r="C113" s="50" t="s">
        <v>235</v>
      </c>
      <c r="D113" s="50"/>
      <c r="E113" s="129">
        <v>0</v>
      </c>
      <c r="F113" s="32">
        <f t="shared" si="16"/>
        <v>0</v>
      </c>
      <c r="G113" s="32">
        <f t="shared" si="16"/>
        <v>0</v>
      </c>
      <c r="H113" s="32">
        <f t="shared" si="16"/>
        <v>0</v>
      </c>
      <c r="I113" s="32">
        <f t="shared" si="16"/>
        <v>0</v>
      </c>
      <c r="J113" s="32">
        <f t="shared" si="16"/>
        <v>0</v>
      </c>
      <c r="K113" s="95"/>
      <c r="L113" s="50"/>
      <c r="M113" s="15"/>
    </row>
    <row r="114" spans="1:13">
      <c r="A114" s="50">
        <v>1</v>
      </c>
      <c r="B114" s="50"/>
      <c r="C114" s="50" t="s">
        <v>236</v>
      </c>
      <c r="D114" s="50"/>
      <c r="E114" s="129">
        <f>Inputs!$C$7+$A114</f>
        <v>46</v>
      </c>
      <c r="F114" s="32">
        <f t="shared" ref="F114:J119" si="17">E114-1</f>
        <v>45</v>
      </c>
      <c r="G114" s="32">
        <f t="shared" si="17"/>
        <v>44</v>
      </c>
      <c r="H114" s="32">
        <f t="shared" si="17"/>
        <v>43</v>
      </c>
      <c r="I114" s="32">
        <f t="shared" si="17"/>
        <v>42</v>
      </c>
      <c r="J114" s="32">
        <f t="shared" si="17"/>
        <v>41</v>
      </c>
      <c r="K114" s="95"/>
      <c r="L114" s="50"/>
      <c r="M114" s="15"/>
    </row>
    <row r="115" spans="1:13">
      <c r="A115" s="50">
        <v>2</v>
      </c>
      <c r="B115" s="50"/>
      <c r="C115" s="50" t="s">
        <v>237</v>
      </c>
      <c r="D115" s="50"/>
      <c r="E115" s="129">
        <f>Inputs!$C$7+$A115</f>
        <v>47</v>
      </c>
      <c r="F115" s="32">
        <f t="shared" si="17"/>
        <v>46</v>
      </c>
      <c r="G115" s="32">
        <f t="shared" si="17"/>
        <v>45</v>
      </c>
      <c r="H115" s="32">
        <f t="shared" si="17"/>
        <v>44</v>
      </c>
      <c r="I115" s="32">
        <f t="shared" si="17"/>
        <v>43</v>
      </c>
      <c r="J115" s="32">
        <f t="shared" si="17"/>
        <v>42</v>
      </c>
      <c r="K115" s="95"/>
      <c r="L115" s="50"/>
      <c r="M115" s="15"/>
    </row>
    <row r="116" spans="1:13">
      <c r="A116" s="50">
        <v>3</v>
      </c>
      <c r="B116" s="50"/>
      <c r="C116" s="50" t="s">
        <v>238</v>
      </c>
      <c r="D116" s="50"/>
      <c r="E116" s="129">
        <f>Inputs!$C$7+$A116</f>
        <v>48</v>
      </c>
      <c r="F116" s="32">
        <f t="shared" si="17"/>
        <v>47</v>
      </c>
      <c r="G116" s="32">
        <f t="shared" si="17"/>
        <v>46</v>
      </c>
      <c r="H116" s="32">
        <f t="shared" si="17"/>
        <v>45</v>
      </c>
      <c r="I116" s="32">
        <f t="shared" si="17"/>
        <v>44</v>
      </c>
      <c r="J116" s="32">
        <f t="shared" si="17"/>
        <v>43</v>
      </c>
      <c r="K116" s="95"/>
      <c r="L116" s="50"/>
      <c r="M116" s="15"/>
    </row>
    <row r="117" spans="1:13">
      <c r="A117" s="50">
        <v>4</v>
      </c>
      <c r="B117" s="50"/>
      <c r="C117" s="50" t="s">
        <v>239</v>
      </c>
      <c r="D117" s="50"/>
      <c r="E117" s="129">
        <f>Inputs!$C$7+$A117</f>
        <v>49</v>
      </c>
      <c r="F117" s="32">
        <f t="shared" si="17"/>
        <v>48</v>
      </c>
      <c r="G117" s="32">
        <f t="shared" si="17"/>
        <v>47</v>
      </c>
      <c r="H117" s="32">
        <f t="shared" si="17"/>
        <v>46</v>
      </c>
      <c r="I117" s="32">
        <f t="shared" si="17"/>
        <v>45</v>
      </c>
      <c r="J117" s="32">
        <f t="shared" si="17"/>
        <v>44</v>
      </c>
      <c r="K117" s="95"/>
      <c r="L117" s="50"/>
      <c r="M117" s="15"/>
    </row>
    <row r="118" spans="1:13">
      <c r="A118" s="50">
        <v>5</v>
      </c>
      <c r="B118" s="50"/>
      <c r="C118" s="50" t="s">
        <v>240</v>
      </c>
      <c r="D118" s="50"/>
      <c r="E118" s="129">
        <f>Inputs!$C$7+$A118</f>
        <v>50</v>
      </c>
      <c r="F118" s="32">
        <f t="shared" si="17"/>
        <v>49</v>
      </c>
      <c r="G118" s="32">
        <f t="shared" si="17"/>
        <v>48</v>
      </c>
      <c r="H118" s="32">
        <f t="shared" si="17"/>
        <v>47</v>
      </c>
      <c r="I118" s="32">
        <f t="shared" si="17"/>
        <v>46</v>
      </c>
      <c r="J118" s="32">
        <f t="shared" si="17"/>
        <v>45</v>
      </c>
      <c r="K118" s="95"/>
      <c r="L118" s="50"/>
      <c r="M118" s="15"/>
    </row>
    <row r="119" spans="1:13">
      <c r="A119" s="50">
        <v>6</v>
      </c>
      <c r="B119" s="50"/>
      <c r="C119" s="50" t="s">
        <v>241</v>
      </c>
      <c r="D119" s="50"/>
      <c r="E119" s="129">
        <f>Inputs!$C$7+$A119</f>
        <v>51</v>
      </c>
      <c r="F119" s="32">
        <f t="shared" si="17"/>
        <v>50</v>
      </c>
      <c r="G119" s="32">
        <f t="shared" si="17"/>
        <v>49</v>
      </c>
      <c r="H119" s="32">
        <f t="shared" si="17"/>
        <v>48</v>
      </c>
      <c r="I119" s="32">
        <f t="shared" si="17"/>
        <v>47</v>
      </c>
      <c r="J119" s="32">
        <f t="shared" si="17"/>
        <v>46</v>
      </c>
      <c r="K119" s="95"/>
      <c r="L119" s="50"/>
      <c r="M119" s="15"/>
    </row>
    <row r="120" spans="1:13">
      <c r="A120" s="50">
        <v>1</v>
      </c>
      <c r="B120" s="50"/>
      <c r="C120" s="50" t="s">
        <v>242</v>
      </c>
      <c r="D120" s="50"/>
      <c r="E120" s="32">
        <f t="shared" ref="E120:J125" si="18">E108/E114</f>
        <v>0</v>
      </c>
      <c r="F120" s="32">
        <f t="shared" si="18"/>
        <v>784.41235088889107</v>
      </c>
      <c r="G120" s="32">
        <f t="shared" si="18"/>
        <v>784.41235088889118</v>
      </c>
      <c r="H120" s="32">
        <f t="shared" si="18"/>
        <v>784.4123508888913</v>
      </c>
      <c r="I120" s="32">
        <f t="shared" si="18"/>
        <v>784.4123508888913</v>
      </c>
      <c r="J120" s="32">
        <f t="shared" si="18"/>
        <v>784.4123508888913</v>
      </c>
      <c r="K120" s="95"/>
      <c r="L120" s="50"/>
      <c r="M120" s="15"/>
    </row>
    <row r="121" spans="1:13">
      <c r="A121" s="50">
        <v>2</v>
      </c>
      <c r="B121" s="50"/>
      <c r="C121" s="50" t="s">
        <v>243</v>
      </c>
      <c r="D121" s="50"/>
      <c r="E121" s="32">
        <f t="shared" si="18"/>
        <v>0</v>
      </c>
      <c r="F121" s="32">
        <f t="shared" si="18"/>
        <v>0</v>
      </c>
      <c r="G121" s="32">
        <f t="shared" si="18"/>
        <v>830.61368977420193</v>
      </c>
      <c r="H121" s="32">
        <f t="shared" si="18"/>
        <v>830.61368977420182</v>
      </c>
      <c r="I121" s="32">
        <f t="shared" si="18"/>
        <v>830.61368977420182</v>
      </c>
      <c r="J121" s="32">
        <f t="shared" si="18"/>
        <v>830.61368977420182</v>
      </c>
      <c r="K121" s="95"/>
      <c r="L121" s="50"/>
      <c r="M121" s="15"/>
    </row>
    <row r="122" spans="1:13">
      <c r="A122" s="50">
        <v>3</v>
      </c>
      <c r="B122" s="50"/>
      <c r="C122" s="50" t="s">
        <v>244</v>
      </c>
      <c r="D122" s="50"/>
      <c r="E122" s="32">
        <f t="shared" si="18"/>
        <v>0</v>
      </c>
      <c r="F122" s="32">
        <f t="shared" si="18"/>
        <v>0</v>
      </c>
      <c r="G122" s="32">
        <f t="shared" si="18"/>
        <v>0</v>
      </c>
      <c r="H122" s="32">
        <f t="shared" si="18"/>
        <v>1033.014372004186</v>
      </c>
      <c r="I122" s="32">
        <f t="shared" si="18"/>
        <v>1033.014372004186</v>
      </c>
      <c r="J122" s="32">
        <f t="shared" si="18"/>
        <v>1033.0143720041858</v>
      </c>
      <c r="K122" s="95"/>
      <c r="L122" s="50"/>
      <c r="M122" s="15"/>
    </row>
    <row r="123" spans="1:13">
      <c r="A123" s="50">
        <v>4</v>
      </c>
      <c r="B123" s="50"/>
      <c r="C123" s="50" t="s">
        <v>245</v>
      </c>
      <c r="D123" s="50"/>
      <c r="E123" s="32">
        <f t="shared" si="18"/>
        <v>0</v>
      </c>
      <c r="F123" s="32">
        <f t="shared" si="18"/>
        <v>0</v>
      </c>
      <c r="G123" s="32">
        <f t="shared" si="18"/>
        <v>0</v>
      </c>
      <c r="H123" s="32">
        <f t="shared" si="18"/>
        <v>0</v>
      </c>
      <c r="I123" s="32">
        <f t="shared" si="18"/>
        <v>970.09717748385185</v>
      </c>
      <c r="J123" s="32">
        <f t="shared" si="18"/>
        <v>970.09717748385185</v>
      </c>
      <c r="K123" s="95"/>
      <c r="L123" s="50"/>
      <c r="M123" s="15"/>
    </row>
    <row r="124" spans="1:13">
      <c r="A124" s="50">
        <v>5</v>
      </c>
      <c r="B124" s="50"/>
      <c r="C124" s="50" t="s">
        <v>246</v>
      </c>
      <c r="D124" s="50"/>
      <c r="E124" s="32">
        <f t="shared" si="18"/>
        <v>0</v>
      </c>
      <c r="F124" s="32">
        <f t="shared" si="18"/>
        <v>0</v>
      </c>
      <c r="G124" s="32">
        <f t="shared" si="18"/>
        <v>0</v>
      </c>
      <c r="H124" s="32">
        <f t="shared" si="18"/>
        <v>0</v>
      </c>
      <c r="I124" s="32">
        <f t="shared" si="18"/>
        <v>0</v>
      </c>
      <c r="J124" s="32">
        <f t="shared" si="18"/>
        <v>1028.2733489617694</v>
      </c>
      <c r="K124" s="95"/>
      <c r="L124" s="50"/>
      <c r="M124" s="15"/>
    </row>
    <row r="125" spans="1:13">
      <c r="A125" s="50">
        <v>6</v>
      </c>
      <c r="B125" s="50"/>
      <c r="C125" s="50" t="s">
        <v>247</v>
      </c>
      <c r="D125" s="50"/>
      <c r="E125" s="32">
        <f t="shared" si="18"/>
        <v>0</v>
      </c>
      <c r="F125" s="32">
        <f t="shared" si="18"/>
        <v>0</v>
      </c>
      <c r="G125" s="32">
        <f t="shared" si="18"/>
        <v>0</v>
      </c>
      <c r="H125" s="32">
        <f t="shared" si="18"/>
        <v>0</v>
      </c>
      <c r="I125" s="32">
        <f t="shared" si="18"/>
        <v>0</v>
      </c>
      <c r="J125" s="32">
        <f t="shared" si="18"/>
        <v>0</v>
      </c>
      <c r="K125" s="95"/>
      <c r="L125" s="50"/>
      <c r="M125" s="15"/>
    </row>
    <row r="126" spans="1:13">
      <c r="A126" s="50">
        <v>1</v>
      </c>
      <c r="B126" s="50"/>
      <c r="C126" s="50" t="s">
        <v>248</v>
      </c>
      <c r="D126" s="50"/>
      <c r="E126" s="32">
        <f t="shared" ref="E126:J131" si="19">E108-E120+IF($A126=E$106,E$107,0)</f>
        <v>35298.5557900001</v>
      </c>
      <c r="F126" s="32">
        <f t="shared" si="19"/>
        <v>34514.143439111213</v>
      </c>
      <c r="G126" s="32">
        <f t="shared" si="19"/>
        <v>33729.731088222325</v>
      </c>
      <c r="H126" s="32">
        <f t="shared" si="19"/>
        <v>32945.318737333437</v>
      </c>
      <c r="I126" s="32">
        <f t="shared" si="19"/>
        <v>32160.906386444545</v>
      </c>
      <c r="J126" s="32">
        <f t="shared" si="19"/>
        <v>31376.494035555654</v>
      </c>
      <c r="K126" s="95"/>
      <c r="L126" s="50"/>
      <c r="M126" s="15"/>
    </row>
    <row r="127" spans="1:13">
      <c r="A127" s="50">
        <v>2</v>
      </c>
      <c r="B127" s="50"/>
      <c r="C127" s="50" t="s">
        <v>249</v>
      </c>
      <c r="D127" s="50"/>
      <c r="E127" s="32">
        <f t="shared" si="19"/>
        <v>0</v>
      </c>
      <c r="F127" s="32">
        <f t="shared" si="19"/>
        <v>37377.616039839086</v>
      </c>
      <c r="G127" s="32">
        <f t="shared" si="19"/>
        <v>36547.002350064882</v>
      </c>
      <c r="H127" s="32">
        <f t="shared" si="19"/>
        <v>35716.388660290679</v>
      </c>
      <c r="I127" s="32">
        <f t="shared" si="19"/>
        <v>34885.774970516475</v>
      </c>
      <c r="J127" s="32">
        <f t="shared" si="19"/>
        <v>34055.161280742272</v>
      </c>
      <c r="K127" s="95"/>
      <c r="L127" s="50"/>
      <c r="M127" s="15"/>
    </row>
    <row r="128" spans="1:13">
      <c r="A128" s="50">
        <v>3</v>
      </c>
      <c r="B128" s="50"/>
      <c r="C128" s="50" t="s">
        <v>250</v>
      </c>
      <c r="D128" s="50"/>
      <c r="E128" s="32">
        <f t="shared" si="19"/>
        <v>0</v>
      </c>
      <c r="F128" s="32">
        <f t="shared" si="19"/>
        <v>0</v>
      </c>
      <c r="G128" s="32">
        <f t="shared" si="19"/>
        <v>46485.646740188371</v>
      </c>
      <c r="H128" s="32">
        <f t="shared" si="19"/>
        <v>45452.632368184182</v>
      </c>
      <c r="I128" s="32">
        <f t="shared" si="19"/>
        <v>44419.617996179993</v>
      </c>
      <c r="J128" s="32">
        <f t="shared" si="19"/>
        <v>43386.603624175805</v>
      </c>
      <c r="K128" s="95"/>
      <c r="L128" s="50"/>
      <c r="M128" s="15"/>
    </row>
    <row r="129" spans="1:13">
      <c r="A129" s="50">
        <v>4</v>
      </c>
      <c r="B129" s="50"/>
      <c r="C129" s="50" t="s">
        <v>251</v>
      </c>
      <c r="D129" s="50"/>
      <c r="E129" s="32">
        <f t="shared" si="19"/>
        <v>0</v>
      </c>
      <c r="F129" s="32">
        <f t="shared" si="19"/>
        <v>0</v>
      </c>
      <c r="G129" s="32">
        <f t="shared" si="19"/>
        <v>0</v>
      </c>
      <c r="H129" s="32">
        <f t="shared" si="19"/>
        <v>43654.372986773335</v>
      </c>
      <c r="I129" s="32">
        <f t="shared" si="19"/>
        <v>42684.27580928948</v>
      </c>
      <c r="J129" s="32">
        <f t="shared" si="19"/>
        <v>41714.178631805626</v>
      </c>
      <c r="K129" s="95"/>
      <c r="L129" s="50"/>
      <c r="M129" s="15"/>
    </row>
    <row r="130" spans="1:13">
      <c r="A130" s="50">
        <v>5</v>
      </c>
      <c r="B130" s="50"/>
      <c r="C130" s="50" t="s">
        <v>252</v>
      </c>
      <c r="D130" s="50"/>
      <c r="E130" s="32">
        <f t="shared" si="19"/>
        <v>0</v>
      </c>
      <c r="F130" s="32">
        <f t="shared" si="19"/>
        <v>0</v>
      </c>
      <c r="G130" s="32">
        <f t="shared" si="19"/>
        <v>0</v>
      </c>
      <c r="H130" s="32">
        <f t="shared" si="19"/>
        <v>0</v>
      </c>
      <c r="I130" s="32">
        <f t="shared" si="19"/>
        <v>46272.300703279623</v>
      </c>
      <c r="J130" s="32">
        <f t="shared" si="19"/>
        <v>45244.027354317855</v>
      </c>
      <c r="K130" s="95"/>
      <c r="L130" s="50"/>
      <c r="M130" s="15"/>
    </row>
    <row r="131" spans="1:13">
      <c r="A131" s="50">
        <v>6</v>
      </c>
      <c r="B131" s="50"/>
      <c r="C131" s="50" t="s">
        <v>253</v>
      </c>
      <c r="D131" s="50"/>
      <c r="E131" s="32">
        <f t="shared" si="19"/>
        <v>0</v>
      </c>
      <c r="F131" s="32">
        <f t="shared" si="19"/>
        <v>0</v>
      </c>
      <c r="G131" s="32">
        <f t="shared" si="19"/>
        <v>0</v>
      </c>
      <c r="H131" s="32">
        <f t="shared" si="19"/>
        <v>0</v>
      </c>
      <c r="I131" s="32">
        <f t="shared" si="19"/>
        <v>0</v>
      </c>
      <c r="J131" s="32">
        <f t="shared" si="19"/>
        <v>29674.880711567537</v>
      </c>
      <c r="K131" s="95"/>
      <c r="L131" s="50"/>
      <c r="M131" s="15"/>
    </row>
    <row r="132" spans="1:13">
      <c r="A132" s="50"/>
      <c r="B132" s="50"/>
      <c r="C132" s="50" t="s">
        <v>62</v>
      </c>
      <c r="D132" s="50"/>
      <c r="E132" s="32">
        <f t="shared" ref="E132:J132" si="20">SUM(E120:E125)</f>
        <v>0</v>
      </c>
      <c r="F132" s="32">
        <f t="shared" si="20"/>
        <v>784.41235088889107</v>
      </c>
      <c r="G132" s="32">
        <f t="shared" si="20"/>
        <v>1615.0260406630932</v>
      </c>
      <c r="H132" s="32">
        <f t="shared" si="20"/>
        <v>2648.0404126672793</v>
      </c>
      <c r="I132" s="32">
        <f t="shared" si="20"/>
        <v>3618.137590151131</v>
      </c>
      <c r="J132" s="32">
        <f t="shared" si="20"/>
        <v>4646.4109391129005</v>
      </c>
      <c r="K132" s="95"/>
      <c r="L132" s="27"/>
      <c r="M132" s="15"/>
    </row>
    <row r="133" spans="1:13" s="15" customFormat="1">
      <c r="A133" s="50"/>
      <c r="B133" s="50"/>
      <c r="C133" s="50"/>
      <c r="D133" s="50"/>
      <c r="E133" s="32"/>
      <c r="F133" s="32"/>
      <c r="G133" s="32"/>
      <c r="H133" s="32"/>
      <c r="I133" s="32"/>
      <c r="J133" s="32"/>
      <c r="K133" s="95"/>
      <c r="L133" s="50"/>
    </row>
    <row r="134" spans="1:13" ht="15.75">
      <c r="A134" s="50"/>
      <c r="B134" s="50"/>
      <c r="C134" s="162" t="s">
        <v>63</v>
      </c>
      <c r="D134" s="50"/>
      <c r="E134" s="50"/>
      <c r="F134" s="50"/>
      <c r="G134" s="50"/>
      <c r="H134" s="50"/>
      <c r="I134" s="50"/>
      <c r="J134" s="50"/>
      <c r="K134" s="95"/>
      <c r="L134" s="50"/>
      <c r="M134" s="15"/>
    </row>
    <row r="135" spans="1:13">
      <c r="A135" s="50"/>
      <c r="B135" s="50"/>
      <c r="C135" s="50" t="s">
        <v>65</v>
      </c>
      <c r="D135" s="50"/>
      <c r="E135" s="129">
        <f>E59</f>
        <v>426853.74653996591</v>
      </c>
      <c r="F135" s="32">
        <f>E140</f>
        <v>409293.46301134321</v>
      </c>
      <c r="G135" s="32">
        <f>F140</f>
        <v>391729.46295459318</v>
      </c>
      <c r="H135" s="32">
        <f>G140</f>
        <v>374190.77640246722</v>
      </c>
      <c r="I135" s="32">
        <f>H140</f>
        <v>356677.35079789051</v>
      </c>
      <c r="J135" s="32">
        <f>I140</f>
        <v>339191.96552552452</v>
      </c>
      <c r="K135" s="95"/>
      <c r="L135" s="50"/>
      <c r="M135" s="15"/>
    </row>
    <row r="136" spans="1:13">
      <c r="A136" s="50"/>
      <c r="B136" s="50"/>
      <c r="C136" s="50" t="s">
        <v>40</v>
      </c>
      <c r="D136" s="50"/>
      <c r="E136" s="32">
        <f t="shared" ref="E136:J136" si="21">E56</f>
        <v>911.01528869499998</v>
      </c>
      <c r="F136" s="32">
        <f t="shared" si="21"/>
        <v>951.70785856378291</v>
      </c>
      <c r="G136" s="32">
        <f t="shared" si="21"/>
        <v>966.65614953598902</v>
      </c>
      <c r="H136" s="32">
        <f t="shared" si="21"/>
        <v>984.09582233689594</v>
      </c>
      <c r="I136" s="32">
        <f t="shared" si="21"/>
        <v>1001.5354951378031</v>
      </c>
      <c r="J136" s="32">
        <f t="shared" si="21"/>
        <v>1024.788392205679</v>
      </c>
      <c r="K136" s="95"/>
      <c r="L136" s="50"/>
      <c r="M136" s="15"/>
    </row>
    <row r="137" spans="1:13">
      <c r="A137" s="50"/>
      <c r="B137" s="50"/>
      <c r="C137" s="50" t="s">
        <v>312</v>
      </c>
      <c r="D137" s="50"/>
      <c r="E137" s="32">
        <f>Uni!E12</f>
        <v>0</v>
      </c>
      <c r="F137" s="32"/>
      <c r="G137" s="32"/>
      <c r="H137" s="32"/>
      <c r="I137" s="32"/>
      <c r="J137" s="32"/>
      <c r="K137" s="95"/>
      <c r="L137" s="50"/>
      <c r="M137" s="15"/>
    </row>
    <row r="138" spans="1:13">
      <c r="A138" s="50"/>
      <c r="B138" s="50"/>
      <c r="C138" s="50" t="s">
        <v>313</v>
      </c>
      <c r="D138" s="50"/>
      <c r="E138" s="32">
        <f>Uni!E13</f>
        <v>0</v>
      </c>
      <c r="F138" s="32"/>
      <c r="G138" s="32"/>
      <c r="H138" s="32"/>
      <c r="I138" s="32"/>
      <c r="J138" s="32"/>
      <c r="K138" s="95"/>
      <c r="L138" s="50"/>
      <c r="M138" s="15"/>
    </row>
    <row r="139" spans="1:13">
      <c r="A139" s="50"/>
      <c r="B139" s="50"/>
      <c r="C139" s="50" t="s">
        <v>64</v>
      </c>
      <c r="D139" s="50"/>
      <c r="E139" s="32">
        <f t="shared" ref="E139:J139" si="22">E135/E$54</f>
        <v>16649.2682399277</v>
      </c>
      <c r="F139" s="32">
        <f t="shared" si="22"/>
        <v>16612.292198186235</v>
      </c>
      <c r="G139" s="32">
        <f t="shared" si="22"/>
        <v>16572.030402589993</v>
      </c>
      <c r="H139" s="32">
        <f t="shared" si="22"/>
        <v>16529.329782239787</v>
      </c>
      <c r="I139" s="32">
        <f t="shared" si="22"/>
        <v>16483.849777228224</v>
      </c>
      <c r="J139" s="32">
        <f t="shared" si="22"/>
        <v>16435.321041085761</v>
      </c>
      <c r="K139" s="95"/>
      <c r="L139" s="50"/>
      <c r="M139" s="15"/>
    </row>
    <row r="140" spans="1:13">
      <c r="A140" s="50"/>
      <c r="B140" s="50"/>
      <c r="C140" s="50" t="s">
        <v>61</v>
      </c>
      <c r="D140" s="50"/>
      <c r="E140" s="129">
        <f>E135-E136-E137+E138-E139</f>
        <v>409293.46301134321</v>
      </c>
      <c r="F140" s="32">
        <f>F135-F136-F139</f>
        <v>391729.46295459318</v>
      </c>
      <c r="G140" s="32">
        <f>G135-G136-G139</f>
        <v>374190.77640246722</v>
      </c>
      <c r="H140" s="32">
        <f>H135-H136-H139</f>
        <v>356677.35079789051</v>
      </c>
      <c r="I140" s="32">
        <f>I135-I136-I139</f>
        <v>339191.96552552452</v>
      </c>
      <c r="J140" s="32">
        <f>J135-J136-J139</f>
        <v>321731.85609223309</v>
      </c>
      <c r="K140" s="95"/>
      <c r="L140" s="50"/>
      <c r="M140" s="15"/>
    </row>
    <row r="141" spans="1:13">
      <c r="A141" s="50"/>
      <c r="B141" s="50"/>
      <c r="C141" s="50"/>
      <c r="D141" s="50"/>
      <c r="E141" s="32"/>
      <c r="F141" s="32"/>
      <c r="G141" s="32"/>
      <c r="H141" s="32"/>
      <c r="I141" s="32"/>
      <c r="J141" s="32"/>
      <c r="K141" s="95"/>
      <c r="L141" s="27"/>
      <c r="M141" s="15"/>
    </row>
    <row r="142" spans="1:13" ht="15.75">
      <c r="A142" s="50"/>
      <c r="B142" s="50"/>
      <c r="C142" s="162" t="s">
        <v>66</v>
      </c>
      <c r="D142" s="50"/>
      <c r="E142" s="50"/>
      <c r="F142" s="50"/>
      <c r="G142" s="50"/>
      <c r="H142" s="50"/>
      <c r="I142" s="50"/>
      <c r="J142" s="50"/>
      <c r="K142" s="95"/>
      <c r="L142" s="27"/>
      <c r="M142" s="15"/>
    </row>
    <row r="143" spans="1:13">
      <c r="A143" s="50"/>
      <c r="B143" s="50"/>
      <c r="C143" s="50" t="s">
        <v>155</v>
      </c>
      <c r="D143" s="50"/>
      <c r="E143" s="32">
        <f t="shared" ref="E143:J143" si="23">E59+E100</f>
        <v>426853.74653996591</v>
      </c>
      <c r="F143" s="32">
        <f t="shared" si="23"/>
        <v>451925.29561632976</v>
      </c>
      <c r="G143" s="32">
        <f t="shared" si="23"/>
        <v>479583.38711119135</v>
      </c>
      <c r="H143" s="32">
        <f t="shared" si="23"/>
        <v>517893.30466525065</v>
      </c>
      <c r="I143" s="32">
        <f t="shared" si="23"/>
        <v>552072.51230899396</v>
      </c>
      <c r="J143" s="32">
        <f t="shared" si="23"/>
        <v>587429.55171523476</v>
      </c>
      <c r="K143" s="95"/>
      <c r="L143" s="27"/>
      <c r="M143" s="15"/>
    </row>
    <row r="144" spans="1:13">
      <c r="A144" s="50"/>
      <c r="B144" s="50"/>
      <c r="C144" s="50" t="s">
        <v>154</v>
      </c>
      <c r="D144" s="50"/>
      <c r="E144" s="32">
        <f t="shared" ref="E144:J146" si="24">E63+E101</f>
        <v>7333.2768149864678</v>
      </c>
      <c r="F144" s="32">
        <f t="shared" si="24"/>
        <v>8926.5289154269049</v>
      </c>
      <c r="G144" s="32">
        <f t="shared" si="24"/>
        <v>11639.567955472961</v>
      </c>
      <c r="H144" s="32">
        <f t="shared" si="24"/>
        <v>11824.60658892253</v>
      </c>
      <c r="I144" s="32">
        <f t="shared" si="24"/>
        <v>11810.267006247936</v>
      </c>
      <c r="J144" s="32">
        <f t="shared" si="24"/>
        <v>11720.525064758976</v>
      </c>
      <c r="K144" s="95"/>
      <c r="L144" s="50"/>
      <c r="M144" s="15"/>
    </row>
    <row r="145" spans="1:13">
      <c r="A145" s="50"/>
      <c r="B145" s="50"/>
      <c r="C145" s="50" t="s">
        <v>153</v>
      </c>
      <c r="D145" s="50"/>
      <c r="E145" s="32">
        <f t="shared" si="24"/>
        <v>16649.2682399277</v>
      </c>
      <c r="F145" s="32">
        <f t="shared" si="24"/>
        <v>17694.345601840643</v>
      </c>
      <c r="G145" s="32">
        <f t="shared" si="24"/>
        <v>18848.640992066121</v>
      </c>
      <c r="H145" s="32">
        <f t="shared" si="24"/>
        <v>20315.676109615611</v>
      </c>
      <c r="I145" s="32">
        <f t="shared" si="24"/>
        <v>21723.992808148934</v>
      </c>
      <c r="J145" s="32">
        <f t="shared" si="24"/>
        <v>23188.77343911531</v>
      </c>
      <c r="K145" s="95"/>
      <c r="L145" s="50"/>
      <c r="M145" s="15"/>
    </row>
    <row r="146" spans="1:13">
      <c r="A146" s="50"/>
      <c r="B146" s="50"/>
      <c r="C146" s="50" t="s">
        <v>156</v>
      </c>
      <c r="D146" s="50"/>
      <c r="E146" s="32">
        <f t="shared" si="24"/>
        <v>451925.29561632976</v>
      </c>
      <c r="F146" s="32">
        <f t="shared" si="24"/>
        <v>479583.38711119135</v>
      </c>
      <c r="G146" s="32">
        <f t="shared" si="24"/>
        <v>517893.30466525065</v>
      </c>
      <c r="H146" s="32">
        <f t="shared" si="24"/>
        <v>552072.51230899396</v>
      </c>
      <c r="I146" s="32">
        <f t="shared" si="24"/>
        <v>587429.55171523476</v>
      </c>
      <c r="J146" s="32">
        <f t="shared" si="24"/>
        <v>604611.3956602402</v>
      </c>
      <c r="K146" s="95"/>
      <c r="L146" s="50"/>
      <c r="M146" s="15"/>
    </row>
    <row r="147" spans="1:13">
      <c r="A147" s="50"/>
      <c r="B147" s="50"/>
      <c r="C147" s="50" t="s">
        <v>45</v>
      </c>
      <c r="D147" s="50"/>
      <c r="E147" s="32">
        <f t="shared" ref="E147:J147" si="25">E132+E139</f>
        <v>16649.2682399277</v>
      </c>
      <c r="F147" s="32">
        <f t="shared" si="25"/>
        <v>17396.704549075126</v>
      </c>
      <c r="G147" s="32">
        <f t="shared" si="25"/>
        <v>18187.056443253088</v>
      </c>
      <c r="H147" s="32">
        <f t="shared" si="25"/>
        <v>19177.370194907067</v>
      </c>
      <c r="I147" s="32">
        <f t="shared" si="25"/>
        <v>20101.987367379355</v>
      </c>
      <c r="J147" s="32">
        <f t="shared" si="25"/>
        <v>21081.73198019866</v>
      </c>
      <c r="K147" s="95"/>
      <c r="L147" s="50"/>
      <c r="M147" s="15"/>
    </row>
    <row r="148" spans="1:13">
      <c r="A148" s="50"/>
      <c r="B148" s="50"/>
      <c r="C148" s="50" t="s">
        <v>178</v>
      </c>
      <c r="D148" s="50"/>
      <c r="E148" s="128"/>
      <c r="F148" s="165">
        <f>F143+F107+F144-F145-F56-F146</f>
        <v>0</v>
      </c>
      <c r="G148" s="165">
        <f>G143+G107+G144-G145-G56-G146</f>
        <v>0</v>
      </c>
      <c r="H148" s="165">
        <f>H143+H107+H144-H145-H56-H146</f>
        <v>0</v>
      </c>
      <c r="I148" s="165">
        <f>I143+I107+I144-I145-I56-I146</f>
        <v>0</v>
      </c>
      <c r="J148" s="165">
        <f>J143+J107+J144-J145-J56-J146</f>
        <v>0</v>
      </c>
      <c r="K148" s="95"/>
      <c r="L148" s="50"/>
      <c r="M148" s="15"/>
    </row>
    <row r="149" spans="1:13">
      <c r="A149" s="50"/>
      <c r="B149" s="50"/>
      <c r="C149" s="50"/>
      <c r="D149" s="50"/>
      <c r="E149" s="50"/>
      <c r="F149" s="32"/>
      <c r="G149" s="32"/>
      <c r="H149" s="50"/>
      <c r="I149" s="50"/>
      <c r="J149" s="50"/>
      <c r="K149" s="95"/>
      <c r="L149" s="50"/>
      <c r="M149" s="15"/>
    </row>
    <row r="150" spans="1:13" ht="15.75">
      <c r="A150" s="50"/>
      <c r="B150" s="50"/>
      <c r="C150" s="162" t="s">
        <v>90</v>
      </c>
      <c r="D150" s="50"/>
      <c r="E150" s="50"/>
      <c r="F150" s="50"/>
      <c r="G150" s="50"/>
      <c r="H150" s="50"/>
      <c r="I150" s="50"/>
      <c r="J150" s="50"/>
      <c r="K150" s="95"/>
      <c r="L150" s="50"/>
      <c r="M150" s="15"/>
    </row>
    <row r="151" spans="1:13" ht="15.75">
      <c r="A151" s="50"/>
      <c r="B151" s="50"/>
      <c r="C151" s="158" t="s">
        <v>160</v>
      </c>
      <c r="D151" s="50"/>
      <c r="E151" s="129"/>
      <c r="F151" s="166">
        <f>F143/$E143</f>
        <v>1.0587356894008577</v>
      </c>
      <c r="G151" s="166">
        <f>G143/$E143</f>
        <v>1.1235309306727344</v>
      </c>
      <c r="H151" s="166">
        <f>H143/$E143</f>
        <v>1.2132804476082086</v>
      </c>
      <c r="I151" s="166">
        <f>I143/$E143</f>
        <v>1.2933528562980621</v>
      </c>
      <c r="J151" s="166">
        <f>J143/$E143</f>
        <v>1.37618459830066</v>
      </c>
      <c r="K151" s="95"/>
      <c r="L151" s="50"/>
      <c r="M151" s="15"/>
    </row>
    <row r="152" spans="1:13">
      <c r="A152" s="50"/>
      <c r="B152" s="50"/>
      <c r="C152" s="50" t="s">
        <v>90</v>
      </c>
      <c r="D152" s="50"/>
      <c r="E152" s="129">
        <f>IF(E20&gt;0,E20,0)</f>
        <v>0</v>
      </c>
      <c r="F152" s="32">
        <f>$E152*F151</f>
        <v>0</v>
      </c>
      <c r="G152" s="32">
        <f>$E152*G151</f>
        <v>0</v>
      </c>
      <c r="H152" s="32">
        <f>$E152*H151</f>
        <v>0</v>
      </c>
      <c r="I152" s="32">
        <f>$E152*I151</f>
        <v>0</v>
      </c>
      <c r="J152" s="32">
        <f>$E152*J151</f>
        <v>0</v>
      </c>
      <c r="K152" s="95"/>
      <c r="L152" s="50"/>
      <c r="M152" s="15"/>
    </row>
    <row r="153" spans="1:13">
      <c r="A153" s="50"/>
      <c r="B153" s="50"/>
      <c r="C153" s="50"/>
      <c r="D153" s="50"/>
      <c r="E153" s="50"/>
      <c r="F153" s="50"/>
      <c r="G153" s="50"/>
      <c r="H153" s="50"/>
      <c r="I153" s="50"/>
      <c r="J153" s="50"/>
      <c r="K153" s="95"/>
      <c r="L153" s="50"/>
      <c r="M153" s="15"/>
    </row>
    <row r="154" spans="1:13" ht="15.75">
      <c r="A154" s="50"/>
      <c r="B154" s="50"/>
      <c r="C154" s="162" t="s">
        <v>46</v>
      </c>
      <c r="D154" s="50"/>
      <c r="E154" s="50"/>
      <c r="F154" s="50"/>
      <c r="G154" s="50"/>
      <c r="H154" s="50"/>
      <c r="I154" s="50"/>
      <c r="J154" s="50"/>
      <c r="K154" s="95"/>
      <c r="L154" s="27"/>
      <c r="M154" s="15"/>
    </row>
    <row r="155" spans="1:13">
      <c r="A155" s="50"/>
      <c r="B155" s="50"/>
      <c r="C155" s="50" t="s">
        <v>157</v>
      </c>
      <c r="D155" s="49">
        <f>E17/E18</f>
        <v>8.7577909384748007E-2</v>
      </c>
      <c r="E155" s="50"/>
      <c r="F155" s="50"/>
      <c r="G155" s="50"/>
      <c r="H155" s="50"/>
      <c r="I155" s="50"/>
      <c r="J155" s="50"/>
      <c r="K155" s="95"/>
      <c r="L155" s="125"/>
      <c r="M155" s="15"/>
    </row>
    <row r="156" spans="1:13">
      <c r="A156" s="50"/>
      <c r="B156" s="50"/>
      <c r="C156" s="50" t="s">
        <v>167</v>
      </c>
      <c r="D156" s="50"/>
      <c r="E156" s="129">
        <f>E18</f>
        <v>268092.72069799999</v>
      </c>
      <c r="F156" s="32">
        <f>E159</f>
        <v>279912.27648800006</v>
      </c>
      <c r="G156" s="32">
        <f>F159</f>
        <v>292775.76054189453</v>
      </c>
      <c r="H156" s="32">
        <f>G159</f>
        <v>313620.71825529414</v>
      </c>
      <c r="I156" s="32">
        <f>H159</f>
        <v>329808.84439752571</v>
      </c>
      <c r="J156" s="32">
        <f>I159</f>
        <v>347197.17601187038</v>
      </c>
      <c r="K156" s="95"/>
      <c r="L156" s="125"/>
      <c r="M156" s="15"/>
    </row>
    <row r="157" spans="1:13">
      <c r="A157" s="50"/>
      <c r="B157" s="50"/>
      <c r="C157" s="50" t="s">
        <v>34</v>
      </c>
      <c r="D157" s="50"/>
      <c r="E157" s="129">
        <f>E17</f>
        <v>23479</v>
      </c>
      <c r="F157" s="32">
        <f>F156*$D155</f>
        <v>24514.131985944601</v>
      </c>
      <c r="G157" s="32">
        <f>G156*$D155</f>
        <v>25640.689026788721</v>
      </c>
      <c r="H157" s="32">
        <f>H156*$D155</f>
        <v>27466.246844541736</v>
      </c>
      <c r="I157" s="32">
        <f>I156*$D155</f>
        <v>28883.969088934962</v>
      </c>
      <c r="J157" s="32">
        <f>J156*$D155</f>
        <v>30406.802819407989</v>
      </c>
      <c r="K157" s="95"/>
      <c r="L157" s="50"/>
      <c r="M157" s="15"/>
    </row>
    <row r="158" spans="1:13">
      <c r="A158" s="50"/>
      <c r="B158" s="50"/>
      <c r="C158" s="50" t="s">
        <v>98</v>
      </c>
      <c r="D158" s="50"/>
      <c r="E158" s="32">
        <f t="shared" ref="E158:J158" si="26">E29</f>
        <v>35298.5557900001</v>
      </c>
      <c r="F158" s="32">
        <f t="shared" si="26"/>
        <v>37377.616039839086</v>
      </c>
      <c r="G158" s="32">
        <f t="shared" si="26"/>
        <v>46485.646740188371</v>
      </c>
      <c r="H158" s="32">
        <f t="shared" si="26"/>
        <v>43654.372986773335</v>
      </c>
      <c r="I158" s="32">
        <f t="shared" si="26"/>
        <v>46272.300703279623</v>
      </c>
      <c r="J158" s="32">
        <f t="shared" si="26"/>
        <v>29674.880711567537</v>
      </c>
      <c r="K158" s="95"/>
      <c r="L158" s="125"/>
      <c r="M158" s="15"/>
    </row>
    <row r="159" spans="1:13">
      <c r="A159" s="50"/>
      <c r="B159" s="50"/>
      <c r="C159" s="50" t="s">
        <v>127</v>
      </c>
      <c r="D159" s="50"/>
      <c r="E159" s="32">
        <f t="shared" ref="E159:J159" si="27">E156-E157+E158</f>
        <v>279912.27648800006</v>
      </c>
      <c r="F159" s="32">
        <f t="shared" si="27"/>
        <v>292775.76054189453</v>
      </c>
      <c r="G159" s="32">
        <f t="shared" si="27"/>
        <v>313620.71825529414</v>
      </c>
      <c r="H159" s="32">
        <f t="shared" si="27"/>
        <v>329808.84439752571</v>
      </c>
      <c r="I159" s="32">
        <f t="shared" si="27"/>
        <v>347197.17601187038</v>
      </c>
      <c r="J159" s="32">
        <f t="shared" si="27"/>
        <v>346465.2539040299</v>
      </c>
      <c r="K159" s="95"/>
      <c r="L159" s="125"/>
      <c r="M159" s="15"/>
    </row>
    <row r="160" spans="1:13">
      <c r="A160" s="50"/>
      <c r="B160" s="50"/>
      <c r="C160" s="50"/>
      <c r="D160" s="50"/>
      <c r="E160" s="50"/>
      <c r="F160" s="50"/>
      <c r="G160" s="50"/>
      <c r="H160" s="50"/>
      <c r="I160" s="50"/>
      <c r="J160" s="50"/>
      <c r="K160" s="95"/>
      <c r="L160" s="27"/>
      <c r="M160" s="15"/>
    </row>
    <row r="161" spans="1:13" ht="15.75">
      <c r="A161" s="50"/>
      <c r="B161" s="50"/>
      <c r="C161" s="162" t="s">
        <v>128</v>
      </c>
      <c r="D161" s="50"/>
      <c r="E161" s="50"/>
      <c r="F161" s="50"/>
      <c r="G161" s="50"/>
      <c r="H161" s="50"/>
      <c r="I161" s="50"/>
      <c r="J161" s="50"/>
      <c r="K161" s="95"/>
      <c r="L161" s="27"/>
      <c r="M161" s="15"/>
    </row>
    <row r="162" spans="1:13">
      <c r="A162" s="50"/>
      <c r="B162" s="50"/>
      <c r="C162" s="50" t="s">
        <v>126</v>
      </c>
      <c r="D162" s="50"/>
      <c r="E162" s="32">
        <f t="shared" ref="E162:J162" si="28">E147-E157</f>
        <v>-6829.7317600722999</v>
      </c>
      <c r="F162" s="32">
        <f t="shared" si="28"/>
        <v>-7117.4274368694751</v>
      </c>
      <c r="G162" s="32">
        <f t="shared" si="28"/>
        <v>-7453.6325835356329</v>
      </c>
      <c r="H162" s="32">
        <f t="shared" si="28"/>
        <v>-8288.8766496346689</v>
      </c>
      <c r="I162" s="32">
        <f t="shared" si="28"/>
        <v>-8781.9817215556068</v>
      </c>
      <c r="J162" s="32">
        <f t="shared" si="28"/>
        <v>-9325.0708392093293</v>
      </c>
      <c r="K162" s="95"/>
      <c r="L162" s="50"/>
      <c r="M162" s="15"/>
    </row>
    <row r="163" spans="1:13">
      <c r="A163" s="50"/>
      <c r="B163" s="50"/>
      <c r="C163" s="50"/>
      <c r="D163" s="50"/>
      <c r="E163" s="50"/>
      <c r="F163" s="50"/>
      <c r="G163" s="50"/>
      <c r="H163" s="50"/>
      <c r="I163" s="50"/>
      <c r="J163" s="50"/>
      <c r="K163" s="95"/>
      <c r="L163" s="50"/>
      <c r="M163" s="15"/>
    </row>
    <row r="164" spans="1:13" ht="15.75">
      <c r="A164" s="50"/>
      <c r="B164" s="50"/>
      <c r="C164" s="162" t="s">
        <v>47</v>
      </c>
      <c r="D164" s="50"/>
      <c r="E164" s="50"/>
      <c r="F164" s="50"/>
      <c r="G164" s="50"/>
      <c r="H164" s="50"/>
      <c r="I164" s="50"/>
      <c r="J164" s="50"/>
      <c r="K164" s="95"/>
      <c r="L164" s="50"/>
      <c r="M164" s="15"/>
    </row>
    <row r="165" spans="1:13">
      <c r="A165" s="50"/>
      <c r="B165" s="50"/>
      <c r="C165" s="50" t="s">
        <v>151</v>
      </c>
      <c r="D165" s="50"/>
      <c r="E165" s="193">
        <v>0</v>
      </c>
      <c r="F165" s="31">
        <f>E168</f>
        <v>-3772.7091679996042</v>
      </c>
      <c r="G165" s="31">
        <f>F168</f>
        <v>-7631.727039038361</v>
      </c>
      <c r="H165" s="31">
        <f>G168</f>
        <v>-11327.614493074392</v>
      </c>
      <c r="I165" s="31">
        <f>H168</f>
        <v>-15257.370285618154</v>
      </c>
      <c r="J165" s="31">
        <f>I168</f>
        <v>-19325.195498299778</v>
      </c>
      <c r="K165" s="95"/>
      <c r="L165" s="50"/>
      <c r="M165" s="15"/>
    </row>
    <row r="166" spans="1:13">
      <c r="A166" s="50"/>
      <c r="B166" s="50"/>
      <c r="C166" s="50" t="s">
        <v>126</v>
      </c>
      <c r="D166" s="50"/>
      <c r="E166" s="32">
        <f t="shared" ref="E166:J166" si="29">E162</f>
        <v>-6829.7317600722999</v>
      </c>
      <c r="F166" s="32">
        <f t="shared" si="29"/>
        <v>-7117.4274368694751</v>
      </c>
      <c r="G166" s="32">
        <f t="shared" si="29"/>
        <v>-7453.6325835356329</v>
      </c>
      <c r="H166" s="32">
        <f t="shared" si="29"/>
        <v>-8288.8766496346689</v>
      </c>
      <c r="I166" s="32">
        <f t="shared" si="29"/>
        <v>-8781.9817215556068</v>
      </c>
      <c r="J166" s="32">
        <f t="shared" si="29"/>
        <v>-9325.0708392093293</v>
      </c>
      <c r="K166" s="95"/>
      <c r="L166" s="50"/>
      <c r="M166" s="15"/>
    </row>
    <row r="167" spans="1:13">
      <c r="A167" s="50"/>
      <c r="B167" s="50"/>
      <c r="C167" s="50" t="s">
        <v>48</v>
      </c>
      <c r="D167" s="50"/>
      <c r="E167" s="129">
        <f>(E11-E18)/E19</f>
        <v>5745.9654665930484</v>
      </c>
      <c r="F167" s="32">
        <f>E167</f>
        <v>5745.9654665930484</v>
      </c>
      <c r="G167" s="32">
        <f>F167</f>
        <v>5745.9654665930484</v>
      </c>
      <c r="H167" s="32">
        <f>G167</f>
        <v>5745.9654665930484</v>
      </c>
      <c r="I167" s="32">
        <f>H167</f>
        <v>5745.9654665930484</v>
      </c>
      <c r="J167" s="32">
        <f>I167</f>
        <v>5745.9654665930484</v>
      </c>
      <c r="K167" s="95"/>
      <c r="L167" s="50"/>
      <c r="M167" s="15"/>
    </row>
    <row r="168" spans="1:13">
      <c r="A168" s="50"/>
      <c r="B168" s="50"/>
      <c r="C168" s="50" t="s">
        <v>152</v>
      </c>
      <c r="D168" s="50"/>
      <c r="E168" s="31">
        <f t="shared" ref="E168:J168" si="30">E165+(E166-E167)*E53</f>
        <v>-3772.7091679996042</v>
      </c>
      <c r="F168" s="31">
        <f t="shared" si="30"/>
        <v>-7631.727039038361</v>
      </c>
      <c r="G168" s="31">
        <f t="shared" si="30"/>
        <v>-11327.614493074392</v>
      </c>
      <c r="H168" s="31">
        <f t="shared" si="30"/>
        <v>-15257.370285618154</v>
      </c>
      <c r="I168" s="31">
        <f t="shared" si="30"/>
        <v>-19325.195498299778</v>
      </c>
      <c r="J168" s="31">
        <f t="shared" si="30"/>
        <v>-23545.085663924445</v>
      </c>
      <c r="K168" s="95"/>
      <c r="L168" s="50"/>
      <c r="M168" s="15"/>
    </row>
    <row r="169" spans="1:13">
      <c r="A169" s="50"/>
      <c r="B169" s="50"/>
      <c r="C169" s="50"/>
      <c r="D169" s="50"/>
      <c r="E169" s="31"/>
      <c r="F169" s="31"/>
      <c r="G169" s="31"/>
      <c r="H169" s="31"/>
      <c r="I169" s="31"/>
      <c r="J169" s="31"/>
      <c r="K169" s="95"/>
      <c r="L169" s="27"/>
      <c r="M169" s="15"/>
    </row>
    <row r="170" spans="1:13" ht="15.75">
      <c r="A170" s="50"/>
      <c r="B170" s="50"/>
      <c r="C170" s="162" t="s">
        <v>196</v>
      </c>
      <c r="D170" s="50"/>
      <c r="E170" s="50"/>
      <c r="F170" s="50"/>
      <c r="G170" s="50"/>
      <c r="H170" s="50"/>
      <c r="I170" s="50"/>
      <c r="J170" s="50"/>
      <c r="K170" s="95"/>
      <c r="L170" s="27"/>
      <c r="M170" s="15"/>
    </row>
    <row r="171" spans="1:13">
      <c r="A171" s="50"/>
      <c r="B171" s="50"/>
      <c r="C171" s="50" t="s">
        <v>106</v>
      </c>
      <c r="D171" s="50"/>
      <c r="E171" s="32">
        <f t="shared" ref="E171:J171" si="31">E143+E165</f>
        <v>426853.74653996591</v>
      </c>
      <c r="F171" s="32">
        <f t="shared" si="31"/>
        <v>448152.58644833014</v>
      </c>
      <c r="G171" s="32">
        <f t="shared" si="31"/>
        <v>471951.66007215297</v>
      </c>
      <c r="H171" s="32">
        <f t="shared" si="31"/>
        <v>506565.69017217623</v>
      </c>
      <c r="I171" s="32">
        <f t="shared" si="31"/>
        <v>536815.14202337584</v>
      </c>
      <c r="J171" s="32">
        <f t="shared" si="31"/>
        <v>568104.35621693498</v>
      </c>
      <c r="K171" s="95"/>
      <c r="L171" s="50"/>
      <c r="M171" s="15"/>
    </row>
    <row r="172" spans="1:13">
      <c r="A172" s="50"/>
      <c r="B172" s="50"/>
      <c r="C172" s="50" t="s">
        <v>98</v>
      </c>
      <c r="D172" s="50"/>
      <c r="E172" s="32">
        <f t="shared" ref="E172:J172" si="32">E29</f>
        <v>35298.5557900001</v>
      </c>
      <c r="F172" s="32">
        <f t="shared" si="32"/>
        <v>37377.616039839086</v>
      </c>
      <c r="G172" s="32">
        <f t="shared" si="32"/>
        <v>46485.646740188371</v>
      </c>
      <c r="H172" s="32">
        <f t="shared" si="32"/>
        <v>43654.372986773335</v>
      </c>
      <c r="I172" s="32">
        <f t="shared" si="32"/>
        <v>46272.300703279623</v>
      </c>
      <c r="J172" s="32">
        <f t="shared" si="32"/>
        <v>29674.880711567537</v>
      </c>
      <c r="K172" s="95"/>
      <c r="L172" s="50"/>
      <c r="M172" s="15"/>
    </row>
    <row r="173" spans="1:13">
      <c r="A173" s="50"/>
      <c r="B173" s="50"/>
      <c r="C173" s="50" t="s">
        <v>111</v>
      </c>
      <c r="D173" s="50"/>
      <c r="E173" s="96">
        <f t="shared" ref="E173:J173" si="33">E152</f>
        <v>0</v>
      </c>
      <c r="F173" s="96">
        <f t="shared" si="33"/>
        <v>0</v>
      </c>
      <c r="G173" s="96">
        <f t="shared" si="33"/>
        <v>0</v>
      </c>
      <c r="H173" s="96">
        <f t="shared" si="33"/>
        <v>0</v>
      </c>
      <c r="I173" s="96">
        <f t="shared" si="33"/>
        <v>0</v>
      </c>
      <c r="J173" s="96">
        <f t="shared" si="33"/>
        <v>0</v>
      </c>
      <c r="K173" s="95"/>
      <c r="L173" s="50"/>
      <c r="M173" s="15"/>
    </row>
    <row r="174" spans="1:13">
      <c r="A174" s="50"/>
      <c r="B174" s="50"/>
      <c r="C174" s="50" t="s">
        <v>44</v>
      </c>
      <c r="D174" s="50"/>
      <c r="E174" s="96">
        <f t="shared" ref="E174:J174" si="34">E144</f>
        <v>7333.2768149864678</v>
      </c>
      <c r="F174" s="96">
        <f t="shared" si="34"/>
        <v>8926.5289154269049</v>
      </c>
      <c r="G174" s="96">
        <f t="shared" si="34"/>
        <v>11639.567955472961</v>
      </c>
      <c r="H174" s="96">
        <f t="shared" si="34"/>
        <v>11824.60658892253</v>
      </c>
      <c r="I174" s="96">
        <f t="shared" si="34"/>
        <v>11810.267006247936</v>
      </c>
      <c r="J174" s="96">
        <f t="shared" si="34"/>
        <v>11720.525064758976</v>
      </c>
      <c r="K174" s="95"/>
      <c r="L174" s="50"/>
      <c r="M174" s="15"/>
    </row>
    <row r="175" spans="1:13">
      <c r="A175" s="50"/>
      <c r="B175" s="50"/>
      <c r="C175" s="50" t="s">
        <v>196</v>
      </c>
      <c r="D175" s="50"/>
      <c r="E175" s="32">
        <f t="shared" ref="E175:J175" si="35">E171*WACC+E172*($D$48-1)+E173-E174</f>
        <v>31612.87407420138</v>
      </c>
      <c r="F175" s="32">
        <f t="shared" si="35"/>
        <v>31976.531630954843</v>
      </c>
      <c r="G175" s="32">
        <f t="shared" si="35"/>
        <v>31740.572245689076</v>
      </c>
      <c r="H175" s="32">
        <f t="shared" si="35"/>
        <v>34469.981542360802</v>
      </c>
      <c r="I175" s="32">
        <f t="shared" si="35"/>
        <v>37249.267543702743</v>
      </c>
      <c r="J175" s="32">
        <f t="shared" si="35"/>
        <v>39372.563343148802</v>
      </c>
      <c r="K175" s="95"/>
      <c r="L175" s="50"/>
      <c r="M175" s="15"/>
    </row>
    <row r="176" spans="1:13">
      <c r="A176" s="50"/>
      <c r="B176" s="50"/>
      <c r="C176" s="50"/>
      <c r="D176" s="50"/>
      <c r="E176" s="31"/>
      <c r="F176" s="31"/>
      <c r="G176" s="31"/>
      <c r="H176" s="31"/>
      <c r="I176" s="31"/>
      <c r="J176" s="31"/>
      <c r="K176" s="95"/>
      <c r="L176" s="27"/>
      <c r="M176" s="15"/>
    </row>
    <row r="177" spans="1:13" ht="15.75">
      <c r="A177" s="50"/>
      <c r="B177" s="50"/>
      <c r="C177" s="162" t="s">
        <v>49</v>
      </c>
      <c r="D177" s="50"/>
      <c r="E177" s="50"/>
      <c r="F177" s="50"/>
      <c r="G177" s="50"/>
      <c r="H177" s="50"/>
      <c r="I177" s="50"/>
      <c r="J177" s="50"/>
      <c r="K177" s="95"/>
      <c r="L177" s="27"/>
      <c r="M177" s="15"/>
    </row>
    <row r="178" spans="1:13">
      <c r="A178" s="50"/>
      <c r="B178" s="50"/>
      <c r="C178" s="50" t="s">
        <v>50</v>
      </c>
      <c r="D178" s="50"/>
      <c r="E178" s="31">
        <f t="shared" ref="E178:J178" si="36">E171*Leverage*Debt+E152</f>
        <v>14893.780924272489</v>
      </c>
      <c r="F178" s="31">
        <f t="shared" si="36"/>
        <v>15636.940046355134</v>
      </c>
      <c r="G178" s="31">
        <f t="shared" si="36"/>
        <v>16467.33732323756</v>
      </c>
      <c r="H178" s="31">
        <f t="shared" si="36"/>
        <v>17675.090061487572</v>
      </c>
      <c r="I178" s="31">
        <f t="shared" si="36"/>
        <v>18730.553935479631</v>
      </c>
      <c r="J178" s="31">
        <f t="shared" si="36"/>
        <v>19822.297197121294</v>
      </c>
      <c r="K178" s="95"/>
      <c r="L178" s="50"/>
      <c r="M178" s="15"/>
    </row>
    <row r="179" spans="1:13">
      <c r="A179" s="50"/>
      <c r="B179" s="50"/>
      <c r="C179" s="50" t="s">
        <v>51</v>
      </c>
      <c r="D179" s="50"/>
      <c r="E179" s="31">
        <f t="shared" ref="E179:J179" si="37">E145-E147</f>
        <v>0</v>
      </c>
      <c r="F179" s="31">
        <f t="shared" si="37"/>
        <v>297.64105276551709</v>
      </c>
      <c r="G179" s="31">
        <f t="shared" si="37"/>
        <v>661.5845488130326</v>
      </c>
      <c r="H179" s="31">
        <f t="shared" si="37"/>
        <v>1138.3059147085442</v>
      </c>
      <c r="I179" s="31">
        <f t="shared" si="37"/>
        <v>1622.0054407695789</v>
      </c>
      <c r="J179" s="31">
        <f t="shared" si="37"/>
        <v>2107.0414589166503</v>
      </c>
      <c r="K179" s="95"/>
      <c r="L179" s="50"/>
      <c r="M179" s="15"/>
    </row>
    <row r="180" spans="1:13">
      <c r="A180" s="50"/>
      <c r="B180" s="50"/>
      <c r="C180" s="50" t="s">
        <v>52</v>
      </c>
      <c r="D180" s="50"/>
      <c r="E180" s="31">
        <f t="shared" ref="E180:J180" si="38">E167+E179-E178</f>
        <v>-9147.8154576794404</v>
      </c>
      <c r="F180" s="31">
        <f t="shared" si="38"/>
        <v>-9593.3335269965683</v>
      </c>
      <c r="G180" s="31">
        <f t="shared" si="38"/>
        <v>-10059.787307831479</v>
      </c>
      <c r="H180" s="31">
        <f t="shared" si="38"/>
        <v>-10790.818680185979</v>
      </c>
      <c r="I180" s="31">
        <f t="shared" si="38"/>
        <v>-11362.583028117004</v>
      </c>
      <c r="J180" s="31">
        <f t="shared" si="38"/>
        <v>-11969.290271611595</v>
      </c>
      <c r="K180" s="95"/>
      <c r="L180" s="50"/>
      <c r="M180" s="15"/>
    </row>
    <row r="181" spans="1:13">
      <c r="A181" s="50"/>
      <c r="B181" s="50"/>
      <c r="C181" s="50"/>
      <c r="D181" s="50"/>
      <c r="E181" s="50"/>
      <c r="F181" s="167"/>
      <c r="G181" s="32"/>
      <c r="H181" s="32"/>
      <c r="I181" s="32"/>
      <c r="J181" s="32"/>
      <c r="K181" s="95"/>
      <c r="L181" s="50"/>
      <c r="M181" s="15"/>
    </row>
    <row r="182" spans="1:13" ht="15.75">
      <c r="A182" s="50"/>
      <c r="B182" s="50"/>
      <c r="C182" s="162" t="s">
        <v>107</v>
      </c>
      <c r="D182" s="50"/>
      <c r="E182" s="50"/>
      <c r="F182" s="167"/>
      <c r="G182" s="32"/>
      <c r="H182" s="32"/>
      <c r="I182" s="32"/>
      <c r="J182" s="32"/>
      <c r="K182" s="95"/>
      <c r="L182" s="27"/>
      <c r="M182" s="15"/>
    </row>
    <row r="183" spans="1:13">
      <c r="A183" s="50"/>
      <c r="B183" s="50"/>
      <c r="C183" s="50" t="s">
        <v>153</v>
      </c>
      <c r="D183" s="50"/>
      <c r="E183" s="32">
        <f t="shared" ref="E183:J183" si="39">E145</f>
        <v>16649.2682399277</v>
      </c>
      <c r="F183" s="32">
        <f t="shared" si="39"/>
        <v>17694.345601840643</v>
      </c>
      <c r="G183" s="32">
        <f t="shared" si="39"/>
        <v>18848.640992066121</v>
      </c>
      <c r="H183" s="32">
        <f t="shared" si="39"/>
        <v>20315.676109615611</v>
      </c>
      <c r="I183" s="32">
        <f t="shared" si="39"/>
        <v>21723.992808148934</v>
      </c>
      <c r="J183" s="32">
        <f t="shared" si="39"/>
        <v>23188.77343911531</v>
      </c>
      <c r="K183" s="95"/>
      <c r="L183" s="50"/>
      <c r="M183" s="15"/>
    </row>
    <row r="184" spans="1:13">
      <c r="A184" s="50"/>
      <c r="B184" s="50"/>
      <c r="C184" s="50" t="s">
        <v>107</v>
      </c>
      <c r="D184" s="50"/>
      <c r="E184" s="96">
        <f t="shared" ref="E184:J184" si="40">E183</f>
        <v>16649.2682399277</v>
      </c>
      <c r="F184" s="96">
        <f t="shared" si="40"/>
        <v>17694.345601840643</v>
      </c>
      <c r="G184" s="96">
        <f t="shared" si="40"/>
        <v>18848.640992066121</v>
      </c>
      <c r="H184" s="96">
        <f t="shared" si="40"/>
        <v>20315.676109615611</v>
      </c>
      <c r="I184" s="96">
        <f t="shared" si="40"/>
        <v>21723.992808148934</v>
      </c>
      <c r="J184" s="96">
        <f t="shared" si="40"/>
        <v>23188.77343911531</v>
      </c>
      <c r="K184" s="95"/>
      <c r="L184" s="50"/>
      <c r="M184" s="15"/>
    </row>
    <row r="185" spans="1:13">
      <c r="A185" s="50"/>
      <c r="B185" s="50"/>
      <c r="C185" s="50"/>
      <c r="D185" s="50"/>
      <c r="E185" s="50"/>
      <c r="F185" s="96"/>
      <c r="G185" s="96"/>
      <c r="H185" s="96"/>
      <c r="I185" s="96"/>
      <c r="J185" s="96"/>
      <c r="K185" s="95"/>
      <c r="L185" s="50"/>
      <c r="M185" s="15"/>
    </row>
    <row r="186" spans="1:13" ht="15.75">
      <c r="A186" s="50"/>
      <c r="B186" s="50"/>
      <c r="C186" s="121" t="s">
        <v>122</v>
      </c>
      <c r="D186" s="50"/>
      <c r="E186" s="50"/>
      <c r="F186" s="96"/>
      <c r="G186" s="96"/>
      <c r="H186" s="96"/>
      <c r="I186" s="96"/>
      <c r="J186" s="96"/>
      <c r="K186" s="95"/>
      <c r="L186" s="27"/>
      <c r="M186" s="15"/>
    </row>
    <row r="187" spans="1:13">
      <c r="A187" s="50"/>
      <c r="B187" s="50"/>
      <c r="C187" s="50" t="s">
        <v>122</v>
      </c>
      <c r="D187" s="50"/>
      <c r="E187" s="32">
        <f t="shared" ref="E187:J187" si="41">E43</f>
        <v>276.78451291306197</v>
      </c>
      <c r="F187" s="32">
        <f t="shared" si="41"/>
        <v>289.14772269678122</v>
      </c>
      <c r="G187" s="32">
        <f t="shared" si="41"/>
        <v>293.68930996426997</v>
      </c>
      <c r="H187" s="32">
        <f t="shared" si="41"/>
        <v>298.98782844300678</v>
      </c>
      <c r="I187" s="32">
        <f t="shared" si="41"/>
        <v>304.28634692174364</v>
      </c>
      <c r="J187" s="32">
        <f t="shared" si="41"/>
        <v>311.35103822672608</v>
      </c>
      <c r="K187" s="95"/>
      <c r="L187" s="125"/>
      <c r="M187" s="15"/>
    </row>
    <row r="188" spans="1:13">
      <c r="A188" s="50"/>
      <c r="B188" s="50"/>
      <c r="C188" s="50"/>
      <c r="D188" s="50"/>
      <c r="E188" s="50"/>
      <c r="F188" s="96"/>
      <c r="G188" s="96"/>
      <c r="H188" s="96"/>
      <c r="I188" s="96"/>
      <c r="J188" s="96"/>
      <c r="K188" s="95"/>
      <c r="L188" s="27"/>
      <c r="M188" s="15"/>
    </row>
    <row r="189" spans="1:13" ht="15.75">
      <c r="A189" s="50"/>
      <c r="B189" s="50"/>
      <c r="C189" s="162" t="s">
        <v>179</v>
      </c>
      <c r="D189" s="50"/>
      <c r="E189" s="32">
        <f t="shared" ref="E189:J189" si="42">E28</f>
        <v>26102.297999999999</v>
      </c>
      <c r="F189" s="32">
        <f t="shared" si="42"/>
        <v>26850.658570973748</v>
      </c>
      <c r="G189" s="32">
        <f t="shared" si="42"/>
        <v>28047.424479714638</v>
      </c>
      <c r="H189" s="32">
        <f t="shared" si="42"/>
        <v>29436.415420227993</v>
      </c>
      <c r="I189" s="32">
        <f t="shared" si="42"/>
        <v>30419.526307488934</v>
      </c>
      <c r="J189" s="32">
        <f t="shared" si="42"/>
        <v>31376.86287825611</v>
      </c>
      <c r="K189" s="95"/>
      <c r="L189" s="125"/>
      <c r="M189" s="15"/>
    </row>
    <row r="190" spans="1:13">
      <c r="A190" s="50"/>
      <c r="B190" s="50"/>
      <c r="C190" s="50" t="s">
        <v>180</v>
      </c>
      <c r="D190" s="50"/>
      <c r="E190" s="32">
        <f t="shared" ref="E190:J190" si="43">E189*$D$46</f>
        <v>27219.697552563757</v>
      </c>
      <c r="F190" s="32">
        <f t="shared" si="43"/>
        <v>28000.094297791682</v>
      </c>
      <c r="G190" s="32">
        <f t="shared" si="43"/>
        <v>29248.091929155256</v>
      </c>
      <c r="H190" s="32">
        <f t="shared" si="43"/>
        <v>30696.543452619764</v>
      </c>
      <c r="I190" s="32">
        <f t="shared" si="43"/>
        <v>31721.739817011719</v>
      </c>
      <c r="J190" s="32">
        <f t="shared" si="43"/>
        <v>32720.058505745219</v>
      </c>
      <c r="K190" s="95"/>
      <c r="L190" s="125"/>
      <c r="M190" s="15"/>
    </row>
    <row r="191" spans="1:13">
      <c r="A191" s="50"/>
      <c r="B191" s="50"/>
      <c r="C191" s="50"/>
      <c r="D191" s="50"/>
      <c r="E191" s="50"/>
      <c r="F191" s="96"/>
      <c r="G191" s="32"/>
      <c r="H191" s="32"/>
      <c r="I191" s="32"/>
      <c r="J191" s="32"/>
      <c r="K191" s="95"/>
      <c r="L191" s="27"/>
      <c r="M191" s="15"/>
    </row>
    <row r="192" spans="1:13" ht="15.75">
      <c r="A192" s="50"/>
      <c r="B192" s="50"/>
      <c r="C192" s="162" t="s">
        <v>229</v>
      </c>
      <c r="D192" s="50"/>
      <c r="E192" s="50"/>
      <c r="F192" s="50"/>
      <c r="G192" s="50"/>
      <c r="H192" s="50"/>
      <c r="I192" s="50"/>
      <c r="J192" s="50"/>
      <c r="K192" s="95"/>
      <c r="L192" s="125"/>
      <c r="M192" s="15"/>
    </row>
    <row r="193" spans="1:15">
      <c r="A193" s="50"/>
      <c r="B193" s="50"/>
      <c r="C193" s="50" t="s">
        <v>169</v>
      </c>
      <c r="D193" s="50"/>
      <c r="E193" s="31">
        <f t="shared" ref="E193:J193" si="44">E168-E165</f>
        <v>-3772.7091679996042</v>
      </c>
      <c r="F193" s="31">
        <f t="shared" si="44"/>
        <v>-3859.0178710387568</v>
      </c>
      <c r="G193" s="31">
        <f t="shared" si="44"/>
        <v>-3695.8874540360312</v>
      </c>
      <c r="H193" s="31">
        <f t="shared" si="44"/>
        <v>-3929.7557925437613</v>
      </c>
      <c r="I193" s="31">
        <f t="shared" si="44"/>
        <v>-4067.8252126816242</v>
      </c>
      <c r="J193" s="31">
        <f t="shared" si="44"/>
        <v>-4219.8901656246671</v>
      </c>
      <c r="K193" s="95"/>
      <c r="L193" s="125"/>
      <c r="M193" s="15"/>
    </row>
    <row r="194" spans="1:15">
      <c r="A194" s="50"/>
      <c r="B194" s="50"/>
      <c r="C194" s="50" t="s">
        <v>170</v>
      </c>
      <c r="D194" s="50"/>
      <c r="E194" s="50"/>
      <c r="F194" s="31">
        <f>(F175+F184+F190+((F187-F189-F145-F152+F180)*F53+F193)*$D47-F193-F187*$D49)/($D50-F53*$D47)</f>
        <v>83617.714452118787</v>
      </c>
      <c r="G194" s="31">
        <f>(G175+G184+G190+((G187-G189-G145-G152+G180)*G53+G193)*$D47-G193-G187*$D49)/($D50-G53*$D47)</f>
        <v>84595.747832650843</v>
      </c>
      <c r="H194" s="31">
        <f>(H175+H184+H190+((H187-H189-H145-H152+H180)*H53+H193)*$D47-H193-H187*$D49)/($D50-H53*$D47)</f>
        <v>90767.295139173439</v>
      </c>
      <c r="I194" s="31">
        <f>(I175+I184+I190+((I187-I189-I145-I152+I180)*I53+I193)*$D47-I193-I187*$D49)/($D50-I53*$D47)</f>
        <v>96607.834489043293</v>
      </c>
      <c r="J194" s="31">
        <f>(J175+J184+J190+((J187-J189-J145-J152+J180)*J53+J193)*$D47-J193-J187*$D49)/($D50-J53*$D47)</f>
        <v>101576.55022733052</v>
      </c>
      <c r="K194" s="95"/>
      <c r="L194" s="125"/>
      <c r="M194" s="15"/>
    </row>
    <row r="195" spans="1:15">
      <c r="A195" s="50"/>
      <c r="B195" s="50"/>
      <c r="C195" s="50" t="s">
        <v>177</v>
      </c>
      <c r="D195" s="50"/>
      <c r="E195" s="50"/>
      <c r="F195" s="31">
        <f>(F194+F187-F189-F183-F152+F180)*F53</f>
        <v>8930.5573425013827</v>
      </c>
      <c r="G195" s="31">
        <f>(G194+G187-G189-G183-G152+G180)*G53</f>
        <v>7821.4036216408058</v>
      </c>
      <c r="H195" s="31">
        <f>(H194+H187-H189-H183-H152+H180)*H53</f>
        <v>8546.5443721243228</v>
      </c>
      <c r="I195" s="31">
        <f>(I194+I187-I189-I183-I152+I180)*I53</f>
        <v>9353.6852338188455</v>
      </c>
      <c r="J195" s="31">
        <f>(J194+J187-J189-J183-J152+J180)*J53</f>
        <v>9898.8329094407854</v>
      </c>
      <c r="K195" s="95"/>
      <c r="L195" s="125"/>
      <c r="M195" s="15"/>
    </row>
    <row r="196" spans="1:15">
      <c r="A196" s="50"/>
      <c r="B196" s="50"/>
      <c r="C196" s="50" t="s">
        <v>162</v>
      </c>
      <c r="D196" s="50"/>
      <c r="E196" s="50"/>
      <c r="F196" s="31">
        <f>IF(F195&lt;0,#N/A,F195)</f>
        <v>8930.5573425013827</v>
      </c>
      <c r="G196" s="31">
        <f>IF(G195&lt;0,#N/A,G195)</f>
        <v>7821.4036216408058</v>
      </c>
      <c r="H196" s="31">
        <f>IF(H195&lt;0,#N/A,H195)</f>
        <v>8546.5443721243228</v>
      </c>
      <c r="I196" s="31">
        <f>IF(I195&lt;0,#N/A,I195)</f>
        <v>9353.6852338188455</v>
      </c>
      <c r="J196" s="31">
        <f>IF(J195&lt;0,#N/A,J195)</f>
        <v>9898.8329094407854</v>
      </c>
      <c r="K196" s="95"/>
      <c r="L196" s="50"/>
      <c r="M196" s="15"/>
    </row>
    <row r="197" spans="1:15">
      <c r="A197" s="50"/>
      <c r="B197" s="50"/>
      <c r="C197" s="50" t="s">
        <v>171</v>
      </c>
      <c r="D197" s="50"/>
      <c r="E197" s="50"/>
      <c r="F197" s="31">
        <f>F175+F184+F190+(F196+F193)*$D$47-F193-F187*$D$49</f>
        <v>86517.108044562367</v>
      </c>
      <c r="G197" s="31">
        <f>G175+G184+G190+(G196+G193)*$D$47-G193-G187*$D$49</f>
        <v>87529.05414006504</v>
      </c>
      <c r="H197" s="31">
        <f>H175+H184+H190+(H196+H193)*$D$47-H193-H187*$D$49</f>
        <v>93914.596110675731</v>
      </c>
      <c r="I197" s="31">
        <f>I175+I184+I190+(I196+I193)*$D$47-I193-I187*$D$49</f>
        <v>99957.652624263617</v>
      </c>
      <c r="J197" s="31">
        <f>J175+J184+J190+(J196+J193)*$D$47-J193-J187*$D$49</f>
        <v>105098.65557069394</v>
      </c>
      <c r="K197" s="95"/>
      <c r="L197" s="27"/>
      <c r="M197" s="15"/>
    </row>
    <row r="198" spans="1:15">
      <c r="A198" s="50"/>
      <c r="B198" s="50"/>
      <c r="C198" s="50" t="s">
        <v>172</v>
      </c>
      <c r="D198" s="50"/>
      <c r="E198" s="50"/>
      <c r="F198" s="31">
        <f>F197/$D$50</f>
        <v>83617.714452118787</v>
      </c>
      <c r="G198" s="31">
        <f>G197/$D$50</f>
        <v>84595.747832650828</v>
      </c>
      <c r="H198" s="31">
        <f>H197/$D$50</f>
        <v>90767.295139173439</v>
      </c>
      <c r="I198" s="31">
        <f>I197/$D$50</f>
        <v>96607.834489043293</v>
      </c>
      <c r="J198" s="31">
        <f>J197/$D$50</f>
        <v>101576.5502273305</v>
      </c>
      <c r="K198" s="95"/>
      <c r="L198" s="50"/>
      <c r="M198" s="15"/>
    </row>
    <row r="199" spans="1:15">
      <c r="A199" s="50"/>
      <c r="B199" s="50"/>
      <c r="C199" s="50" t="s">
        <v>173</v>
      </c>
      <c r="D199" s="50"/>
      <c r="E199" s="50"/>
      <c r="F199" s="31">
        <f>F194-F198</f>
        <v>0</v>
      </c>
      <c r="G199" s="31">
        <f>G194-G198</f>
        <v>0</v>
      </c>
      <c r="H199" s="31">
        <f>H194-H198</f>
        <v>0</v>
      </c>
      <c r="I199" s="31">
        <f>I194-I198</f>
        <v>0</v>
      </c>
      <c r="J199" s="31">
        <f>J194-J198</f>
        <v>0</v>
      </c>
      <c r="K199" s="95"/>
      <c r="L199" s="27"/>
      <c r="M199" s="15"/>
    </row>
    <row r="200" spans="1:15">
      <c r="A200" s="50"/>
      <c r="B200" s="50"/>
      <c r="C200" s="50"/>
      <c r="D200" s="50"/>
      <c r="E200" s="50"/>
      <c r="F200" s="50"/>
      <c r="G200" s="50"/>
      <c r="H200" s="50"/>
      <c r="I200" s="50"/>
      <c r="J200" s="50"/>
      <c r="K200" s="50"/>
      <c r="L200" s="50"/>
      <c r="M200" s="15"/>
    </row>
    <row r="201" spans="1:15" ht="15.75">
      <c r="A201" s="50"/>
      <c r="B201" s="50"/>
      <c r="C201" s="162" t="s">
        <v>174</v>
      </c>
      <c r="D201" s="50"/>
      <c r="E201" s="50"/>
      <c r="F201" s="31"/>
      <c r="G201" s="31"/>
      <c r="H201" s="31"/>
      <c r="I201" s="31"/>
      <c r="J201" s="50"/>
      <c r="K201" s="95"/>
      <c r="L201" s="27"/>
      <c r="M201" s="15"/>
    </row>
    <row r="202" spans="1:15">
      <c r="A202" s="50"/>
      <c r="B202" s="50"/>
      <c r="C202" s="95" t="s">
        <v>103</v>
      </c>
      <c r="D202" s="50"/>
      <c r="E202" s="50"/>
      <c r="F202" s="31"/>
      <c r="G202" s="31"/>
      <c r="H202" s="31"/>
      <c r="I202" s="31"/>
      <c r="J202" s="50"/>
      <c r="K202" s="95"/>
      <c r="L202" s="50"/>
      <c r="M202" s="15"/>
      <c r="O202" s="8"/>
    </row>
    <row r="203" spans="1:15">
      <c r="A203" s="50"/>
      <c r="B203" s="50"/>
      <c r="C203" s="50" t="s">
        <v>175</v>
      </c>
      <c r="D203" s="50"/>
      <c r="E203" s="50"/>
      <c r="F203" s="50"/>
      <c r="G203" s="50"/>
      <c r="H203" s="31">
        <v>1</v>
      </c>
      <c r="I203" s="31">
        <v>2</v>
      </c>
      <c r="J203" s="31">
        <v>3</v>
      </c>
      <c r="K203" s="95"/>
      <c r="L203" s="27"/>
      <c r="M203" s="15"/>
    </row>
    <row r="204" spans="1:15">
      <c r="A204" s="50"/>
      <c r="B204" s="50" t="s">
        <v>135</v>
      </c>
      <c r="C204" s="50" t="s">
        <v>136</v>
      </c>
      <c r="D204" s="50"/>
      <c r="E204" s="50"/>
      <c r="F204" s="31"/>
      <c r="G204" s="31"/>
      <c r="H204" s="31">
        <f>H197</f>
        <v>93914.596110675731</v>
      </c>
      <c r="I204" s="31">
        <f>I197</f>
        <v>99957.652624263617</v>
      </c>
      <c r="J204" s="31">
        <f>J197</f>
        <v>105098.65557069394</v>
      </c>
      <c r="K204" s="95"/>
      <c r="L204" s="50"/>
      <c r="M204" s="15"/>
    </row>
    <row r="205" spans="1:15">
      <c r="A205" s="50"/>
      <c r="B205" s="50" t="s">
        <v>135</v>
      </c>
      <c r="C205" s="50" t="s">
        <v>137</v>
      </c>
      <c r="D205" s="50"/>
      <c r="E205" s="50"/>
      <c r="F205" s="31"/>
      <c r="G205" s="31"/>
      <c r="H205" s="31">
        <f>H204/(1+WACC)^H$203</f>
        <v>86342.370240577133</v>
      </c>
      <c r="I205" s="31">
        <f>I204/(1+WACC)^I$203</f>
        <v>84488.537333635206</v>
      </c>
      <c r="J205" s="31">
        <f>J204/(1+WACC)^J$203</f>
        <v>81671.357625744509</v>
      </c>
      <c r="K205" s="95"/>
      <c r="L205" s="50"/>
      <c r="M205" s="15"/>
    </row>
    <row r="206" spans="1:15">
      <c r="A206" s="50"/>
      <c r="B206" s="50" t="s">
        <v>135</v>
      </c>
      <c r="C206" s="50" t="s">
        <v>101</v>
      </c>
      <c r="D206" s="31">
        <f>SUM(H205:J205)</f>
        <v>252502.26519995686</v>
      </c>
      <c r="E206" s="50"/>
      <c r="F206" s="31"/>
      <c r="G206" s="31"/>
      <c r="H206" s="31"/>
      <c r="I206" s="31"/>
      <c r="J206" s="31"/>
      <c r="K206" s="95"/>
      <c r="L206" s="50"/>
      <c r="M206" s="15"/>
    </row>
    <row r="207" spans="1:15">
      <c r="A207" s="50"/>
      <c r="B207" s="50"/>
      <c r="C207" s="50"/>
      <c r="D207" s="50"/>
      <c r="E207" s="50"/>
      <c r="F207" s="123"/>
      <c r="G207" s="50"/>
      <c r="H207" s="50"/>
      <c r="I207" s="50"/>
      <c r="J207" s="50"/>
      <c r="K207" s="95"/>
      <c r="L207" s="50"/>
      <c r="M207" s="15"/>
    </row>
    <row r="208" spans="1:15" ht="21">
      <c r="A208" s="50"/>
      <c r="B208" s="50"/>
      <c r="C208" s="155" t="s">
        <v>104</v>
      </c>
      <c r="D208" s="50"/>
      <c r="E208" s="50"/>
      <c r="F208" s="123"/>
      <c r="G208" s="50"/>
      <c r="H208" s="50"/>
      <c r="I208" s="50"/>
      <c r="J208" s="50"/>
      <c r="K208" s="95"/>
      <c r="L208" s="50"/>
      <c r="M208" s="15"/>
    </row>
    <row r="209" spans="1:13" ht="15.75">
      <c r="A209" s="50"/>
      <c r="B209" s="50"/>
      <c r="C209" s="50"/>
      <c r="D209" s="50"/>
      <c r="E209" s="162" t="str">
        <f>Inputs!D$11</f>
        <v>2009/10</v>
      </c>
      <c r="F209" s="168" t="str">
        <f>Inputs!E$11</f>
        <v>2010/11</v>
      </c>
      <c r="G209" s="162" t="str">
        <f>Inputs!F$11</f>
        <v>2011/12</v>
      </c>
      <c r="H209" s="162" t="str">
        <f>Inputs!G$11</f>
        <v>2012/13</v>
      </c>
      <c r="I209" s="162" t="str">
        <f>Inputs!H$11</f>
        <v>2013/14</v>
      </c>
      <c r="J209" s="162" t="str">
        <f>Inputs!I$11</f>
        <v>2014/15</v>
      </c>
      <c r="K209" s="95"/>
      <c r="L209" s="50"/>
      <c r="M209" s="15"/>
    </row>
    <row r="210" spans="1:13">
      <c r="A210" s="50"/>
      <c r="B210" s="50"/>
      <c r="C210" s="50" t="s">
        <v>53</v>
      </c>
      <c r="D210" s="32">
        <f>D206</f>
        <v>252502.26519995686</v>
      </c>
      <c r="E210" s="50"/>
      <c r="F210" s="169"/>
      <c r="G210" s="32"/>
      <c r="H210" s="32"/>
      <c r="I210" s="32"/>
      <c r="J210" s="32"/>
      <c r="K210" s="95"/>
      <c r="L210" s="50"/>
      <c r="M210" s="15"/>
    </row>
    <row r="211" spans="1:13">
      <c r="A211" s="50"/>
      <c r="B211" s="50"/>
      <c r="C211" s="50" t="s">
        <v>143</v>
      </c>
      <c r="D211" s="50"/>
      <c r="E211" s="50"/>
      <c r="F211" s="113"/>
      <c r="G211" s="113"/>
      <c r="H211" s="170">
        <v>1</v>
      </c>
      <c r="I211" s="113">
        <f>H211*(1+I$35)*(1+I$30)*(1-X_industry_wide)</f>
        <v>1.0242674654857229</v>
      </c>
      <c r="J211" s="113">
        <f>I211*(1+J$35)*(1+J$30)*(1-X_industry_wide)</f>
        <v>1.0474889399563247</v>
      </c>
      <c r="K211" s="95"/>
      <c r="L211" s="50" t="s">
        <v>290</v>
      </c>
    </row>
    <row r="212" spans="1:13">
      <c r="A212" s="50"/>
      <c r="B212" s="50"/>
      <c r="C212" s="50" t="s">
        <v>102</v>
      </c>
      <c r="D212" s="50"/>
      <c r="E212" s="50"/>
      <c r="F212" s="171"/>
      <c r="G212" s="113"/>
      <c r="H212" s="113">
        <f>H211/(1+WACC)^H$203</f>
        <v>0.91937115013330895</v>
      </c>
      <c r="I212" s="113">
        <f>I211/(1+WACC)^I$203</f>
        <v>0.8657552245910991</v>
      </c>
      <c r="J212" s="113">
        <f>J211/(1+WACC)^J$203</f>
        <v>0.81399560593465881</v>
      </c>
      <c r="K212" s="95"/>
      <c r="L212" s="50" t="s">
        <v>165</v>
      </c>
    </row>
    <row r="213" spans="1:13">
      <c r="A213" s="50"/>
      <c r="B213" s="50"/>
      <c r="C213" s="50" t="s">
        <v>91</v>
      </c>
      <c r="D213" s="113">
        <f>SUM(H212:J212)</f>
        <v>2.5991219806590666</v>
      </c>
      <c r="E213" s="50"/>
      <c r="F213" s="171"/>
      <c r="G213" s="113"/>
      <c r="H213" s="113"/>
      <c r="I213" s="113"/>
      <c r="J213" s="113"/>
      <c r="K213" s="95"/>
      <c r="L213" s="50" t="s">
        <v>279</v>
      </c>
    </row>
    <row r="214" spans="1:13">
      <c r="A214" s="50"/>
      <c r="B214" s="50"/>
      <c r="C214" s="50" t="s">
        <v>142</v>
      </c>
      <c r="D214" s="32">
        <f>D210/D213</f>
        <v>97149.063060106608</v>
      </c>
      <c r="E214" s="50"/>
      <c r="F214" s="171"/>
      <c r="G214" s="113"/>
      <c r="H214" s="31"/>
      <c r="I214" s="31"/>
      <c r="J214" s="31"/>
      <c r="K214" s="95"/>
      <c r="L214" s="31"/>
    </row>
    <row r="215" spans="1:13">
      <c r="A215" s="50"/>
      <c r="B215" s="50"/>
      <c r="C215" s="50" t="s">
        <v>138</v>
      </c>
      <c r="D215" s="32"/>
      <c r="E215" s="50"/>
      <c r="F215" s="171"/>
      <c r="G215" s="113"/>
      <c r="H215" s="31">
        <f>$D214*H211</f>
        <v>97149.063060106608</v>
      </c>
      <c r="I215" s="31">
        <f>$D214*I211</f>
        <v>99506.624594888068</v>
      </c>
      <c r="J215" s="31">
        <f>$D214*J211</f>
        <v>101762.56908258122</v>
      </c>
      <c r="K215" s="95"/>
      <c r="L215" s="50" t="s">
        <v>131</v>
      </c>
    </row>
    <row r="216" spans="1:13">
      <c r="A216" s="50"/>
      <c r="B216" s="50"/>
      <c r="C216" s="50" t="s">
        <v>139</v>
      </c>
      <c r="D216" s="32"/>
      <c r="E216" s="50"/>
      <c r="F216" s="171"/>
      <c r="G216" s="113"/>
      <c r="H216" s="54">
        <f>H215/$D$50</f>
        <v>93893.367425859469</v>
      </c>
      <c r="I216" s="54">
        <f>I215/$D$50</f>
        <v>96171.921479204815</v>
      </c>
      <c r="J216" s="54">
        <f>J215/$D$50</f>
        <v>98352.263913843242</v>
      </c>
      <c r="K216" s="95"/>
      <c r="L216" s="50" t="s">
        <v>133</v>
      </c>
    </row>
    <row r="217" spans="1:13">
      <c r="A217" s="50"/>
      <c r="B217" s="50"/>
      <c r="C217" s="50" t="s">
        <v>140</v>
      </c>
      <c r="D217" s="50"/>
      <c r="E217" s="50"/>
      <c r="F217" s="171"/>
      <c r="G217" s="113"/>
      <c r="H217" s="31">
        <f>H215/(1+WACC)^H$203</f>
        <v>89316.045839943574</v>
      </c>
      <c r="I217" s="31">
        <f>I215/(1+WACC)^I$203</f>
        <v>84107.308908417457</v>
      </c>
      <c r="J217" s="31">
        <f>J215/(1+WACC)^J$203</f>
        <v>79078.910451595861</v>
      </c>
      <c r="K217" s="95"/>
      <c r="L217" s="50" t="s">
        <v>181</v>
      </c>
    </row>
    <row r="218" spans="1:13">
      <c r="A218" s="50"/>
      <c r="B218" s="50"/>
      <c r="C218" s="50" t="s">
        <v>141</v>
      </c>
      <c r="D218" s="32">
        <f>SUM(H217:J217)</f>
        <v>252502.26519995689</v>
      </c>
      <c r="E218" s="50"/>
      <c r="F218" s="171"/>
      <c r="G218" s="113"/>
      <c r="H218" s="31"/>
      <c r="I218" s="31"/>
      <c r="J218" s="31"/>
      <c r="K218" s="95"/>
      <c r="L218" s="50" t="s">
        <v>134</v>
      </c>
      <c r="M218" s="15"/>
    </row>
    <row r="219" spans="1:13">
      <c r="A219" s="50"/>
      <c r="B219" s="50"/>
      <c r="C219" s="50" t="s">
        <v>132</v>
      </c>
      <c r="D219" s="172">
        <f>D210-D218</f>
        <v>0</v>
      </c>
      <c r="E219" s="50"/>
      <c r="F219" s="171"/>
      <c r="G219" s="113"/>
      <c r="H219" s="31"/>
      <c r="I219" s="31"/>
      <c r="J219" s="31"/>
      <c r="K219" s="95"/>
      <c r="L219" s="50"/>
      <c r="M219" s="15"/>
    </row>
    <row r="220" spans="1:13">
      <c r="A220" s="50"/>
      <c r="B220" s="50"/>
      <c r="C220" s="50" t="s">
        <v>202</v>
      </c>
      <c r="D220" s="32">
        <f>SUM(I217:J217)</f>
        <v>163186.21936001332</v>
      </c>
      <c r="E220" s="50"/>
      <c r="F220" s="171"/>
      <c r="G220" s="113"/>
      <c r="H220" s="31"/>
      <c r="I220" s="31"/>
      <c r="J220" s="31"/>
      <c r="K220" s="95"/>
      <c r="L220" s="27"/>
      <c r="M220" s="15"/>
    </row>
    <row r="221" spans="1:13">
      <c r="A221" s="50"/>
      <c r="B221" s="50"/>
      <c r="C221" s="50"/>
      <c r="D221" s="31"/>
      <c r="E221" s="50"/>
      <c r="F221" s="123"/>
      <c r="G221" s="50"/>
      <c r="H221" s="50"/>
      <c r="I221" s="50"/>
      <c r="J221" s="50"/>
      <c r="K221" s="95"/>
      <c r="L221" s="50"/>
      <c r="M221" s="15"/>
    </row>
    <row r="222" spans="1:13" ht="21">
      <c r="A222" s="50"/>
      <c r="B222" s="50"/>
      <c r="C222" s="155" t="s">
        <v>113</v>
      </c>
      <c r="D222" s="155"/>
      <c r="E222" s="155"/>
      <c r="F222" s="155"/>
      <c r="G222" s="155"/>
      <c r="H222" s="50"/>
      <c r="I222" s="50"/>
      <c r="J222" s="50"/>
      <c r="K222" s="173"/>
      <c r="L222" s="174"/>
      <c r="M222" s="53"/>
    </row>
    <row r="223" spans="1:13" ht="15.75">
      <c r="A223" s="50"/>
      <c r="B223" s="50"/>
      <c r="C223" s="50"/>
      <c r="D223" s="50"/>
      <c r="E223" s="162" t="str">
        <f>Inputs!D$11</f>
        <v>2009/10</v>
      </c>
      <c r="F223" s="168" t="str">
        <f>Inputs!E$11</f>
        <v>2010/11</v>
      </c>
      <c r="G223" s="162" t="str">
        <f>Inputs!F$11</f>
        <v>2011/12</v>
      </c>
      <c r="H223" s="162" t="str">
        <f>Inputs!G$11</f>
        <v>2012/13</v>
      </c>
      <c r="I223" s="162" t="str">
        <f>Inputs!H$11</f>
        <v>2013/14</v>
      </c>
      <c r="J223" s="162" t="str">
        <f>Inputs!I$11</f>
        <v>2014/15</v>
      </c>
      <c r="K223" s="95"/>
      <c r="L223" s="50"/>
      <c r="M223" s="15"/>
    </row>
    <row r="224" spans="1:13" ht="15.75">
      <c r="A224" s="50"/>
      <c r="B224" s="50"/>
      <c r="C224" s="175" t="s">
        <v>318</v>
      </c>
      <c r="D224" s="50"/>
      <c r="E224" s="162"/>
      <c r="F224" s="95"/>
      <c r="G224" s="95"/>
      <c r="H224" s="95"/>
      <c r="I224" s="95"/>
      <c r="J224" s="95"/>
      <c r="K224" s="95"/>
      <c r="L224" s="50"/>
      <c r="M224" s="15"/>
    </row>
    <row r="225" spans="1:13" ht="15.75">
      <c r="A225" s="50"/>
      <c r="B225" s="50"/>
      <c r="C225" s="175" t="s">
        <v>204</v>
      </c>
      <c r="D225" s="50"/>
      <c r="E225" s="162"/>
      <c r="F225" s="95"/>
      <c r="G225" s="95"/>
      <c r="H225" s="95"/>
      <c r="I225" s="95"/>
      <c r="J225" s="95"/>
      <c r="K225" s="95"/>
      <c r="L225" s="50"/>
      <c r="M225" s="15"/>
    </row>
    <row r="226" spans="1:13">
      <c r="A226" s="50"/>
      <c r="B226" s="50" t="s">
        <v>150</v>
      </c>
      <c r="C226" s="50" t="s">
        <v>203</v>
      </c>
      <c r="D226" s="32">
        <f>D220</f>
        <v>163186.21936001332</v>
      </c>
      <c r="E226" s="50"/>
      <c r="F226" s="169"/>
      <c r="G226" s="32"/>
      <c r="H226" s="32"/>
      <c r="I226" s="32"/>
      <c r="J226" s="32"/>
      <c r="K226" s="95"/>
      <c r="L226" s="50"/>
      <c r="M226" s="15"/>
    </row>
    <row r="227" spans="1:13">
      <c r="A227" s="32"/>
      <c r="B227" s="50" t="s">
        <v>150</v>
      </c>
      <c r="C227" s="50" t="s">
        <v>319</v>
      </c>
      <c r="D227" s="49">
        <f>IF(E26="IWX",X_industry_wide,E26)</f>
        <v>-0.08</v>
      </c>
      <c r="E227" s="32"/>
      <c r="F227" s="49"/>
      <c r="G227" s="49"/>
      <c r="H227" s="49"/>
      <c r="I227" s="49"/>
      <c r="J227" s="49"/>
      <c r="K227" s="95"/>
      <c r="L227" s="50"/>
      <c r="M227" s="15"/>
    </row>
    <row r="228" spans="1:13">
      <c r="A228" s="50"/>
      <c r="B228" s="50" t="s">
        <v>150</v>
      </c>
      <c r="C228" s="50" t="s">
        <v>143</v>
      </c>
      <c r="D228" s="50"/>
      <c r="E228" s="50"/>
      <c r="F228" s="171"/>
      <c r="G228" s="113"/>
      <c r="H228" s="113"/>
      <c r="I228" s="113">
        <v>1</v>
      </c>
      <c r="J228" s="113">
        <f>I228*(1+J$35)*(1+J$30)*(1-D227)</f>
        <v>1.1044850034520592</v>
      </c>
      <c r="K228" s="95"/>
      <c r="L228" s="50" t="s">
        <v>278</v>
      </c>
    </row>
    <row r="229" spans="1:13">
      <c r="A229" s="50"/>
      <c r="B229" s="50" t="s">
        <v>150</v>
      </c>
      <c r="C229" s="50" t="s">
        <v>102</v>
      </c>
      <c r="D229" s="50"/>
      <c r="E229" s="50"/>
      <c r="F229" s="171"/>
      <c r="G229" s="113"/>
      <c r="H229" s="113"/>
      <c r="I229" s="113">
        <f>I228/(1+WACC)^I$203</f>
        <v>0.84524331169744327</v>
      </c>
      <c r="J229" s="113">
        <f>J228/(1+WACC)^J$203</f>
        <v>0.85828680889765629</v>
      </c>
      <c r="K229" s="95"/>
      <c r="L229" s="50" t="s">
        <v>165</v>
      </c>
    </row>
    <row r="230" spans="1:13">
      <c r="A230" s="50"/>
      <c r="B230" s="50" t="s">
        <v>150</v>
      </c>
      <c r="C230" s="50" t="s">
        <v>91</v>
      </c>
      <c r="D230" s="113">
        <f>SUM(I229:J229)</f>
        <v>1.7035301205950995</v>
      </c>
      <c r="E230" s="50"/>
      <c r="F230" s="171"/>
      <c r="G230" s="113"/>
      <c r="H230" s="113"/>
      <c r="I230" s="113"/>
      <c r="J230" s="113"/>
      <c r="K230" s="95"/>
      <c r="L230" s="50" t="s">
        <v>279</v>
      </c>
    </row>
    <row r="231" spans="1:13">
      <c r="A231" s="50"/>
      <c r="B231" s="50" t="s">
        <v>150</v>
      </c>
      <c r="C231" s="50" t="s">
        <v>142</v>
      </c>
      <c r="D231" s="32">
        <f>D226/D230</f>
        <v>95792.975649298751</v>
      </c>
      <c r="E231" s="50"/>
      <c r="F231" s="171"/>
      <c r="G231" s="113"/>
      <c r="H231" s="31"/>
      <c r="I231" s="31"/>
      <c r="J231" s="31"/>
      <c r="K231" s="95"/>
      <c r="L231" s="50"/>
    </row>
    <row r="232" spans="1:13">
      <c r="A232" s="50"/>
      <c r="B232" s="50" t="s">
        <v>150</v>
      </c>
      <c r="C232" s="50" t="s">
        <v>138</v>
      </c>
      <c r="D232" s="32"/>
      <c r="E232" s="50"/>
      <c r="F232" s="171"/>
      <c r="G232" s="113"/>
      <c r="H232" s="31">
        <f>H215</f>
        <v>97149.063060106608</v>
      </c>
      <c r="I232" s="31">
        <f>$D231*I228</f>
        <v>95792.975649298751</v>
      </c>
      <c r="J232" s="31">
        <f>$D231*J228</f>
        <v>105801.90504069875</v>
      </c>
      <c r="K232" s="95"/>
      <c r="L232" s="50" t="s">
        <v>131</v>
      </c>
    </row>
    <row r="233" spans="1:13">
      <c r="A233" s="50"/>
      <c r="B233" s="50" t="s">
        <v>150</v>
      </c>
      <c r="C233" s="50" t="s">
        <v>139</v>
      </c>
      <c r="D233" s="32"/>
      <c r="E233" s="50"/>
      <c r="F233" s="171"/>
      <c r="G233" s="113"/>
      <c r="H233" s="54">
        <f>H232/$D$50</f>
        <v>93893.367425859469</v>
      </c>
      <c r="I233" s="54">
        <f>I232/$D$50</f>
        <v>92582.725722132614</v>
      </c>
      <c r="J233" s="54">
        <f>J232/$D$50</f>
        <v>102256.23213881069</v>
      </c>
      <c r="K233" s="95"/>
      <c r="L233" s="50" t="s">
        <v>133</v>
      </c>
    </row>
    <row r="234" spans="1:13">
      <c r="A234" s="50"/>
      <c r="B234" s="50" t="s">
        <v>150</v>
      </c>
      <c r="C234" s="50" t="s">
        <v>209</v>
      </c>
      <c r="D234" s="50"/>
      <c r="E234" s="50"/>
      <c r="F234" s="171"/>
      <c r="G234" s="113"/>
      <c r="H234" s="31"/>
      <c r="I234" s="31">
        <f>I232/(1+WACC)^I$203</f>
        <v>80968.371975165821</v>
      </c>
      <c r="J234" s="31">
        <f>J232/(1+WACC)^J$203</f>
        <v>82217.847384847511</v>
      </c>
      <c r="K234" s="95"/>
      <c r="L234" s="50" t="s">
        <v>181</v>
      </c>
    </row>
    <row r="235" spans="1:13">
      <c r="A235" s="50"/>
      <c r="B235" s="50" t="s">
        <v>150</v>
      </c>
      <c r="C235" s="50" t="s">
        <v>390</v>
      </c>
      <c r="D235" s="32">
        <f>SUM(I234:J234)</f>
        <v>163186.21936001332</v>
      </c>
      <c r="E235" s="50"/>
      <c r="F235" s="50"/>
      <c r="G235" s="113"/>
      <c r="H235" s="31"/>
      <c r="I235" s="31"/>
      <c r="J235" s="31"/>
      <c r="K235" s="95"/>
      <c r="L235" s="50" t="s">
        <v>134</v>
      </c>
    </row>
    <row r="236" spans="1:13">
      <c r="A236" s="50"/>
      <c r="B236" s="50" t="s">
        <v>150</v>
      </c>
      <c r="C236" s="50" t="s">
        <v>132</v>
      </c>
      <c r="D236" s="172">
        <f>D226-D235</f>
        <v>0</v>
      </c>
      <c r="E236" s="50"/>
      <c r="F236" s="171"/>
      <c r="G236" s="113"/>
      <c r="H236" s="31"/>
      <c r="I236" s="31"/>
      <c r="J236" s="31"/>
      <c r="K236" s="95"/>
      <c r="L236" s="50"/>
      <c r="M236" s="15"/>
    </row>
    <row r="237" spans="1:13">
      <c r="A237" s="50"/>
      <c r="B237" s="119" t="s">
        <v>150</v>
      </c>
      <c r="C237" s="119" t="s">
        <v>190</v>
      </c>
      <c r="D237" s="119"/>
      <c r="E237" s="50"/>
      <c r="F237" s="176"/>
      <c r="G237" s="177"/>
      <c r="H237" s="178">
        <f>(H233+H187-H$189-H$183-H152+H$180)*H$53</f>
        <v>9421.8446123964113</v>
      </c>
      <c r="I237" s="178">
        <f>(I233+I187-I$189-I$183-I152+I$180)*I$53</f>
        <v>8226.654779083854</v>
      </c>
      <c r="J237" s="178">
        <f>(J233+J187-J$189-J$183-J152+J$180)*J$53</f>
        <v>10089.143844655235</v>
      </c>
      <c r="K237" s="54"/>
      <c r="L237" s="50"/>
      <c r="M237" s="15"/>
    </row>
    <row r="238" spans="1:13">
      <c r="A238" s="50"/>
      <c r="B238" s="119"/>
      <c r="C238" s="119"/>
      <c r="D238" s="119"/>
      <c r="E238" s="178"/>
      <c r="F238" s="176"/>
      <c r="G238" s="177"/>
      <c r="H238" s="178"/>
      <c r="I238" s="178"/>
      <c r="J238" s="178"/>
      <c r="K238" s="95"/>
      <c r="L238" s="50"/>
      <c r="M238" s="15"/>
    </row>
    <row r="239" spans="1:13" ht="21">
      <c r="A239" s="50"/>
      <c r="B239" s="50"/>
      <c r="C239" s="155" t="s">
        <v>199</v>
      </c>
      <c r="D239" s="155"/>
      <c r="E239" s="155"/>
      <c r="F239" s="155"/>
      <c r="G239" s="155"/>
      <c r="H239" s="155"/>
      <c r="I239" s="155"/>
      <c r="J239" s="50"/>
      <c r="K239" s="50"/>
      <c r="L239" s="50"/>
      <c r="M239" s="15"/>
    </row>
    <row r="240" spans="1:13">
      <c r="A240" s="50"/>
      <c r="B240" s="50"/>
      <c r="C240" s="50" t="s">
        <v>197</v>
      </c>
      <c r="D240" s="179"/>
      <c r="E240" s="50"/>
      <c r="F240" s="31">
        <f>G240/((1+G35)*(1+G30)*(1-X_industry_wide))</f>
        <v>90358.929227922723</v>
      </c>
      <c r="G240" s="31">
        <f>H240/((1+H35)*(1+H30)*(1-X_industry_wide))</f>
        <v>91939.860153403992</v>
      </c>
      <c r="H240" s="31">
        <f>H233</f>
        <v>93893.367425859469</v>
      </c>
      <c r="I240" s="50"/>
      <c r="J240" s="50"/>
      <c r="K240" s="50"/>
      <c r="L240" s="50"/>
      <c r="M240" s="15"/>
    </row>
    <row r="241" spans="1:13">
      <c r="A241" s="50"/>
      <c r="B241" s="50"/>
      <c r="C241" s="50"/>
      <c r="D241" s="179"/>
      <c r="E241" s="50"/>
      <c r="F241" s="31"/>
      <c r="G241" s="31"/>
      <c r="H241" s="31"/>
      <c r="I241" s="50"/>
      <c r="J241" s="50"/>
      <c r="K241" s="50"/>
      <c r="L241" s="50"/>
      <c r="M241" s="15"/>
    </row>
    <row r="242" spans="1:13" ht="21">
      <c r="A242" s="50"/>
      <c r="B242" s="50"/>
      <c r="C242" s="155" t="s">
        <v>198</v>
      </c>
      <c r="D242" s="179"/>
      <c r="E242" s="50"/>
      <c r="F242" s="123"/>
      <c r="G242" s="50"/>
      <c r="H242" s="50"/>
      <c r="I242" s="50"/>
      <c r="J242" s="50"/>
      <c r="K242" s="50"/>
      <c r="L242" s="27"/>
      <c r="M242" s="15"/>
    </row>
    <row r="243" spans="1:13">
      <c r="A243" s="50"/>
      <c r="B243" s="50"/>
      <c r="C243" s="180" t="s">
        <v>212</v>
      </c>
      <c r="D243" s="179"/>
      <c r="E243" s="181">
        <f>(1+H30)*(1+I30)</f>
        <v>1.0009919759033561</v>
      </c>
      <c r="F243" s="123"/>
      <c r="G243" s="50"/>
      <c r="H243" s="50"/>
      <c r="I243" s="50"/>
      <c r="J243" s="50"/>
      <c r="K243" s="50"/>
      <c r="L243" s="27"/>
      <c r="M243" s="15"/>
    </row>
    <row r="244" spans="1:13">
      <c r="A244" s="50"/>
      <c r="B244" s="50"/>
      <c r="C244" s="50"/>
      <c r="D244" s="127"/>
      <c r="E244" s="50"/>
      <c r="F244" s="123"/>
      <c r="G244" s="50"/>
      <c r="H244" s="50"/>
      <c r="I244" s="50"/>
      <c r="J244" s="50"/>
      <c r="K244" s="50"/>
      <c r="L244" s="27"/>
    </row>
    <row r="245" spans="1:13" ht="21">
      <c r="A245" s="50"/>
      <c r="B245" s="50"/>
      <c r="C245" s="155" t="s">
        <v>315</v>
      </c>
      <c r="D245" s="162" t="s">
        <v>342</v>
      </c>
      <c r="E245" s="50"/>
      <c r="F245" s="123"/>
      <c r="G245" s="50"/>
      <c r="H245" s="50"/>
      <c r="I245" s="50"/>
      <c r="J245" s="50"/>
      <c r="K245" s="50"/>
      <c r="L245" s="27"/>
    </row>
    <row r="246" spans="1:13">
      <c r="A246" s="50"/>
      <c r="B246" s="50"/>
      <c r="C246" s="50"/>
      <c r="D246" s="50"/>
      <c r="E246" s="99" t="str">
        <f>Inputs!D$11</f>
        <v>2009/10</v>
      </c>
      <c r="F246" s="99" t="str">
        <f>Inputs!E$11</f>
        <v>2010/11</v>
      </c>
      <c r="G246" s="99" t="str">
        <f>Inputs!F$11</f>
        <v>2011/12</v>
      </c>
      <c r="H246" s="99" t="str">
        <f>Inputs!G$11</f>
        <v>2012/13</v>
      </c>
      <c r="I246" s="99" t="str">
        <f>Inputs!H$11</f>
        <v>2013/14</v>
      </c>
      <c r="J246" s="99" t="str">
        <f>Inputs!I$11</f>
        <v>2014/15</v>
      </c>
      <c r="K246" s="50"/>
      <c r="L246" s="27"/>
    </row>
    <row r="247" spans="1:13">
      <c r="A247" s="50"/>
      <c r="B247" s="50"/>
      <c r="C247" s="122" t="str">
        <f>C35</f>
        <v>2009 ΔCPI, 8 index, lagged, no GST adjustment</v>
      </c>
      <c r="D247" s="50"/>
      <c r="E247" s="50"/>
      <c r="F247" s="50"/>
      <c r="G247" s="50"/>
      <c r="H247" s="50"/>
      <c r="I247" s="100">
        <f>I35</f>
        <v>2.3759818812291389E-2</v>
      </c>
      <c r="J247" s="100">
        <f>J35</f>
        <v>2.2164443909808984E-2</v>
      </c>
      <c r="K247" s="50"/>
      <c r="L247" s="27"/>
    </row>
    <row r="248" spans="1:13">
      <c r="A248" s="50"/>
      <c r="B248" s="50"/>
      <c r="C248" s="122" t="str">
        <f>C37</f>
        <v>2012 ΔCPI, 8 index, lagged, with GST adjustment</v>
      </c>
      <c r="D248" s="50"/>
      <c r="E248" s="99"/>
      <c r="F248" s="100"/>
      <c r="G248" s="100"/>
      <c r="H248" s="100"/>
      <c r="I248" s="100">
        <f>I$37</f>
        <v>1.2820512820512775E-2</v>
      </c>
      <c r="J248" s="101">
        <f>J$37</f>
        <v>1.9725095732576747E-2</v>
      </c>
      <c r="K248" s="50"/>
      <c r="L248" s="27"/>
    </row>
    <row r="249" spans="1:13">
      <c r="A249" s="50"/>
      <c r="B249" s="50"/>
      <c r="C249" s="50" t="s">
        <v>200</v>
      </c>
      <c r="D249" s="50"/>
      <c r="E249" s="99"/>
      <c r="F249" s="100"/>
      <c r="G249" s="100">
        <f>G$30</f>
        <v>4.9586501062375715E-4</v>
      </c>
      <c r="H249" s="100">
        <f>H$30</f>
        <v>4.9586501062375715E-4</v>
      </c>
      <c r="I249" s="100">
        <f>I$30</f>
        <v>4.9586501062375715E-4</v>
      </c>
      <c r="J249" s="100">
        <f>J$30</f>
        <v>4.9586501062375715E-4</v>
      </c>
      <c r="K249" s="50"/>
      <c r="L249" s="27"/>
    </row>
    <row r="250" spans="1:13">
      <c r="A250" s="50"/>
      <c r="B250" s="50"/>
      <c r="C250" s="50" t="s">
        <v>309</v>
      </c>
      <c r="D250" s="54">
        <f>E25</f>
        <v>33548.421000000002</v>
      </c>
      <c r="E250" s="50"/>
      <c r="F250" s="123"/>
      <c r="G250" s="50"/>
      <c r="H250" s="50"/>
      <c r="I250" s="50"/>
      <c r="J250" s="50"/>
      <c r="K250" s="50"/>
      <c r="L250" s="27"/>
    </row>
    <row r="251" spans="1:13">
      <c r="A251" s="50"/>
      <c r="B251" s="50"/>
      <c r="C251" s="119" t="s">
        <v>335</v>
      </c>
      <c r="D251" s="32">
        <f>E24</f>
        <v>83399.337806854906</v>
      </c>
      <c r="E251" s="50"/>
      <c r="F251" s="123"/>
      <c r="G251" s="50"/>
      <c r="H251" s="50"/>
      <c r="I251" s="50"/>
      <c r="J251" s="50"/>
      <c r="K251" s="50"/>
      <c r="L251" s="27"/>
    </row>
    <row r="252" spans="1:13">
      <c r="A252" s="50"/>
      <c r="B252" s="50"/>
      <c r="C252" s="50" t="s">
        <v>383</v>
      </c>
      <c r="D252" s="50"/>
      <c r="E252" s="50"/>
      <c r="F252" s="123"/>
      <c r="G252" s="50"/>
      <c r="H252" s="124">
        <f>(D251+D250)*(1+G$249)*(1+H$249)-D250</f>
        <v>83515.347165542829</v>
      </c>
      <c r="I252" s="124">
        <f>H252*(1+I249)*(1+I248)</f>
        <v>84628.000010514515</v>
      </c>
      <c r="J252" s="124">
        <f>I252*(1+J249)*(1+J248)</f>
        <v>86340.087221684866</v>
      </c>
      <c r="K252" s="50"/>
      <c r="L252" s="27"/>
    </row>
    <row r="253" spans="1:13">
      <c r="A253" s="50"/>
      <c r="B253" s="50"/>
      <c r="C253" s="50" t="s">
        <v>314</v>
      </c>
      <c r="D253" s="50"/>
      <c r="E253" s="50"/>
      <c r="F253" s="123"/>
      <c r="G253" s="50"/>
      <c r="H253" s="124">
        <f>$D$250</f>
        <v>33548.421000000002</v>
      </c>
      <c r="I253" s="124">
        <f>H253*(1+I34)</f>
        <v>34142.949979746838</v>
      </c>
      <c r="J253" s="124"/>
      <c r="K253" s="50"/>
      <c r="L253" s="27"/>
    </row>
    <row r="254" spans="1:13">
      <c r="A254" s="50"/>
      <c r="B254" s="50"/>
      <c r="C254" s="119" t="s">
        <v>336</v>
      </c>
      <c r="D254" s="50"/>
      <c r="E254" s="50"/>
      <c r="F254" s="123"/>
      <c r="G254" s="50"/>
      <c r="H254" s="124">
        <f>D251</f>
        <v>83399.337806854906</v>
      </c>
      <c r="I254" s="124">
        <f>((H254+H253)*(1+G249)-H253)*(1+I248)*(1-X_industry_wide)</f>
        <v>84527.293853499097</v>
      </c>
      <c r="J254" s="97"/>
      <c r="K254" s="50"/>
      <c r="L254" s="27"/>
    </row>
    <row r="255" spans="1:13">
      <c r="A255" s="50"/>
      <c r="B255" s="50"/>
      <c r="C255" s="50" t="s">
        <v>337</v>
      </c>
      <c r="D255" s="50"/>
      <c r="E255" s="50"/>
      <c r="F255" s="123"/>
      <c r="G255" s="50"/>
      <c r="H255" s="124">
        <f>H216</f>
        <v>93893.367425859469</v>
      </c>
      <c r="I255" s="124">
        <f>I216</f>
        <v>96171.921479204815</v>
      </c>
      <c r="J255" s="124">
        <f>J216</f>
        <v>98352.263913843242</v>
      </c>
      <c r="K255" s="50"/>
      <c r="L255" s="27"/>
    </row>
    <row r="256" spans="1:13">
      <c r="A256" s="50"/>
      <c r="B256" s="50"/>
      <c r="C256" s="119" t="s">
        <v>371</v>
      </c>
      <c r="D256" s="50"/>
      <c r="E256" s="50"/>
      <c r="F256" s="123"/>
      <c r="G256" s="50"/>
      <c r="H256" s="124"/>
      <c r="I256" s="124">
        <f>(I255+I253)/((1+H249)*(1+I249))-I253</f>
        <v>96042.780371735338</v>
      </c>
      <c r="J256" s="124"/>
      <c r="K256" s="50"/>
      <c r="L256" s="27"/>
    </row>
    <row r="257" spans="1:12">
      <c r="A257" s="50"/>
      <c r="B257" s="50"/>
      <c r="C257" s="50" t="s">
        <v>344</v>
      </c>
      <c r="D257" s="50"/>
      <c r="E257" s="50"/>
      <c r="F257" s="123"/>
      <c r="G257" s="50"/>
      <c r="H257" s="124">
        <f>H255</f>
        <v>93893.367425859469</v>
      </c>
      <c r="I257" s="124">
        <f>I255*(1+I248)/(1+I247)</f>
        <v>95144.283885360928</v>
      </c>
      <c r="J257" s="124">
        <f>I257*(1+J$248)*(1+J$249)*(1-X_industry_wide)</f>
        <v>97069.123319541701</v>
      </c>
      <c r="K257" s="50"/>
      <c r="L257" s="27"/>
    </row>
    <row r="258" spans="1:12">
      <c r="A258" s="50"/>
      <c r="B258" s="50"/>
      <c r="C258" s="119" t="s">
        <v>346</v>
      </c>
      <c r="D258" s="50"/>
      <c r="E258" s="50"/>
      <c r="F258" s="123"/>
      <c r="G258" s="50"/>
      <c r="H258" s="124"/>
      <c r="I258" s="124">
        <f>(I257+I253)/((1+H249)*(1+I249))-I253</f>
        <v>95016.161159411975</v>
      </c>
      <c r="J258" s="97"/>
      <c r="K258" s="50"/>
      <c r="L258" s="27"/>
    </row>
    <row r="259" spans="1:12">
      <c r="A259" s="50"/>
      <c r="B259" s="50"/>
      <c r="C259" s="50" t="s">
        <v>338</v>
      </c>
      <c r="D259" s="50"/>
      <c r="E259" s="50"/>
      <c r="F259" s="123"/>
      <c r="G259" s="50"/>
      <c r="H259" s="124">
        <f>H233</f>
        <v>93893.367425859469</v>
      </c>
      <c r="I259" s="124">
        <f>I233</f>
        <v>92582.725722132614</v>
      </c>
      <c r="J259" s="124">
        <f>J233</f>
        <v>102256.23213881069</v>
      </c>
      <c r="K259" s="50"/>
      <c r="L259" s="27"/>
    </row>
    <row r="260" spans="1:12">
      <c r="A260" s="50"/>
      <c r="B260" s="50"/>
      <c r="C260" s="50" t="s">
        <v>345</v>
      </c>
      <c r="D260" s="50"/>
      <c r="E260" s="50"/>
      <c r="F260" s="123"/>
      <c r="G260" s="50"/>
      <c r="H260" s="124">
        <f>H259</f>
        <v>93893.367425859469</v>
      </c>
      <c r="I260" s="124">
        <f>I259*(1+I248)/(1+I247)</f>
        <v>91593.440200649362</v>
      </c>
      <c r="J260" s="124">
        <f>I260*(1+J$248)*(1+J$249)*(1-D227)</f>
        <v>100922.15890799445</v>
      </c>
      <c r="K260" s="50"/>
      <c r="L260" s="27"/>
    </row>
    <row r="261" spans="1:12">
      <c r="A261" s="50"/>
      <c r="B261" s="50"/>
      <c r="C261" s="119" t="s">
        <v>347</v>
      </c>
      <c r="D261" s="50"/>
      <c r="E261" s="50"/>
      <c r="F261" s="123"/>
      <c r="G261" s="50"/>
      <c r="H261" s="97"/>
      <c r="I261" s="124">
        <f>(I260+I253)/((1+H249)*(1+I249))-I253</f>
        <v>91468.83633544718</v>
      </c>
      <c r="J261" s="97"/>
      <c r="K261" s="50"/>
      <c r="L261" s="27"/>
    </row>
    <row r="262" spans="1:12">
      <c r="A262" s="50"/>
      <c r="B262" s="50"/>
      <c r="C262" s="50" t="s">
        <v>317</v>
      </c>
      <c r="D262" s="126">
        <f>E27</f>
        <v>0.2</v>
      </c>
      <c r="E262" s="50"/>
      <c r="F262" s="123"/>
      <c r="G262" s="50"/>
      <c r="H262" s="125"/>
      <c r="I262" s="125"/>
      <c r="J262" s="125"/>
      <c r="K262" s="50"/>
      <c r="L262" s="27"/>
    </row>
    <row r="263" spans="1:12" ht="18">
      <c r="A263" s="50"/>
      <c r="B263" s="50"/>
      <c r="C263" s="50" t="s">
        <v>339</v>
      </c>
      <c r="D263" s="127"/>
      <c r="E263" s="50"/>
      <c r="F263" s="123"/>
      <c r="G263" s="50"/>
      <c r="H263" s="124">
        <f>(D251+H253)*(1+G$249)*(1+H$249)-H253</f>
        <v>83515.347165542829</v>
      </c>
      <c r="I263" s="124">
        <f>H263*(1+$D262)*(1+I$247)*(1+I$249)</f>
        <v>102650.46356449297</v>
      </c>
      <c r="J263" s="124">
        <f>I264*(1+$D262)*(1+J247)*(1+J249)</f>
        <v>112403.97901800022</v>
      </c>
      <c r="K263" s="50"/>
      <c r="L263" s="27"/>
    </row>
    <row r="264" spans="1:12">
      <c r="A264" s="50"/>
      <c r="B264" s="50"/>
      <c r="C264" s="50" t="s">
        <v>367</v>
      </c>
      <c r="D264" s="127"/>
      <c r="E264" s="50"/>
      <c r="F264" s="123"/>
      <c r="G264" s="50"/>
      <c r="H264" s="124">
        <f>H260</f>
        <v>93893.367425859469</v>
      </c>
      <c r="I264" s="124">
        <f>MIN(I260,I263)</f>
        <v>91593.440200649362</v>
      </c>
      <c r="J264" s="124">
        <f>MIN(J260,J263)</f>
        <v>100922.15890799445</v>
      </c>
      <c r="K264" s="50"/>
      <c r="L264" s="27"/>
    </row>
    <row r="265" spans="1:12">
      <c r="A265" s="50"/>
      <c r="B265" s="50"/>
      <c r="C265" s="50" t="s">
        <v>373</v>
      </c>
      <c r="D265" s="31">
        <f>NPV(WACC,H255:J255)*D50</f>
        <v>252502.26519995686</v>
      </c>
      <c r="E265" s="50"/>
      <c r="F265" s="123"/>
      <c r="G265" s="50"/>
      <c r="H265" s="50"/>
      <c r="I265" s="50"/>
      <c r="J265" s="50"/>
      <c r="K265" s="50"/>
      <c r="L265" s="27"/>
    </row>
    <row r="266" spans="1:12">
      <c r="A266" s="50"/>
      <c r="B266" s="50"/>
      <c r="C266" s="50" t="s">
        <v>372</v>
      </c>
      <c r="D266" s="31">
        <f>NPV(WACC,H252:J252)*D50</f>
        <v>222876.17973821389</v>
      </c>
      <c r="E266" s="50"/>
      <c r="F266" s="123"/>
      <c r="G266" s="50"/>
      <c r="H266" s="50"/>
      <c r="I266" s="50"/>
      <c r="J266" s="50"/>
      <c r="K266" s="50"/>
      <c r="L266" s="27"/>
    </row>
    <row r="267" spans="1:12">
      <c r="A267" s="50"/>
      <c r="B267" s="50"/>
      <c r="C267" s="50" t="s">
        <v>340</v>
      </c>
      <c r="D267" s="31">
        <f>NPV(WACC,H259:J259)*D50</f>
        <v>252502.26519995692</v>
      </c>
      <c r="E267" s="50"/>
      <c r="F267" s="123"/>
      <c r="G267" s="50"/>
      <c r="H267" s="50"/>
      <c r="I267" s="50"/>
      <c r="J267" s="50"/>
      <c r="K267" s="50"/>
      <c r="L267" s="27"/>
    </row>
    <row r="268" spans="1:12">
      <c r="A268" s="50"/>
      <c r="B268" s="50"/>
      <c r="C268" s="50" t="s">
        <v>351</v>
      </c>
      <c r="D268" s="31">
        <f>NPV(WACC,H264:J264)*D50</f>
        <v>250564.43901973701</v>
      </c>
      <c r="E268" s="50"/>
      <c r="F268" s="123"/>
      <c r="G268" s="50"/>
      <c r="H268" s="50"/>
      <c r="I268" s="50"/>
      <c r="J268" s="50"/>
      <c r="K268" s="50"/>
      <c r="L268" s="27"/>
    </row>
    <row r="269" spans="1:12">
      <c r="A269" s="50"/>
      <c r="B269" s="50"/>
      <c r="C269" s="50" t="s">
        <v>348</v>
      </c>
      <c r="D269" s="31">
        <f>NPV(WACC,H257:J257)*D50</f>
        <v>250571.84990384636</v>
      </c>
      <c r="E269" s="50"/>
      <c r="F269" s="123"/>
      <c r="G269" s="50"/>
      <c r="H269" s="50"/>
      <c r="I269" s="50"/>
      <c r="J269" s="50"/>
      <c r="K269" s="50"/>
      <c r="L269" s="27"/>
    </row>
    <row r="270" spans="1:12">
      <c r="A270" s="50"/>
      <c r="B270" s="50"/>
      <c r="C270" s="50" t="s">
        <v>349</v>
      </c>
      <c r="D270" s="31">
        <f>NPV(WACC,H260:J260)*D50</f>
        <v>250564.43901973701</v>
      </c>
      <c r="E270" s="50"/>
      <c r="F270" s="123"/>
      <c r="G270" s="50"/>
      <c r="H270" s="50"/>
      <c r="I270" s="50"/>
      <c r="J270" s="50"/>
      <c r="K270" s="50"/>
      <c r="L270" s="27"/>
    </row>
    <row r="271" spans="1:12">
      <c r="A271" s="50"/>
      <c r="B271" s="50"/>
      <c r="C271" s="50" t="s">
        <v>368</v>
      </c>
      <c r="D271" s="31" t="b">
        <f>OR(I260&gt;I263,J260&gt;J263)</f>
        <v>0</v>
      </c>
      <c r="E271" s="50"/>
      <c r="F271" s="123"/>
      <c r="G271" s="50"/>
      <c r="H271" s="50"/>
      <c r="I271" s="50"/>
      <c r="J271" s="50"/>
      <c r="K271" s="50"/>
      <c r="L271" s="27"/>
    </row>
    <row r="272" spans="1:12">
      <c r="A272" s="50"/>
      <c r="B272" s="50"/>
      <c r="C272" s="50"/>
      <c r="D272" s="31"/>
      <c r="E272" s="50"/>
      <c r="F272" s="123"/>
      <c r="G272" s="50"/>
      <c r="H272" s="50"/>
      <c r="I272" s="50"/>
      <c r="J272" s="50"/>
      <c r="K272" s="50"/>
      <c r="L272" s="27"/>
    </row>
    <row r="273" spans="1:12" ht="21">
      <c r="A273" s="50"/>
      <c r="B273" s="50"/>
      <c r="C273" s="155" t="s">
        <v>343</v>
      </c>
      <c r="D273" s="127"/>
      <c r="E273" s="50"/>
      <c r="F273" s="123"/>
      <c r="G273" s="50"/>
      <c r="H273" s="50"/>
      <c r="I273" s="50"/>
      <c r="J273" s="50"/>
      <c r="K273" s="50"/>
      <c r="L273" s="27"/>
    </row>
    <row r="274" spans="1:12" ht="30">
      <c r="A274" s="50"/>
      <c r="B274" s="50"/>
      <c r="C274" s="123" t="s">
        <v>370</v>
      </c>
      <c r="D274" s="126">
        <f>I$261/(D$251*(1+I$249)*(1+I$248))-1</f>
        <v>8.2337647591046448E-2</v>
      </c>
      <c r="E274" s="50"/>
      <c r="F274" s="123"/>
      <c r="G274" s="50"/>
      <c r="H274" s="50"/>
      <c r="I274" s="50"/>
      <c r="J274" s="50"/>
      <c r="K274" s="50"/>
      <c r="L274" s="27"/>
    </row>
    <row r="275" spans="1:12" ht="30">
      <c r="A275" s="50"/>
      <c r="B275" s="50"/>
      <c r="C275" s="123" t="s">
        <v>350</v>
      </c>
      <c r="D275" s="31">
        <f>D265-D268</f>
        <v>1937.826180219854</v>
      </c>
      <c r="E275" s="50"/>
      <c r="F275" s="123"/>
      <c r="G275" s="50"/>
      <c r="H275" s="50"/>
      <c r="I275" s="50"/>
      <c r="J275" s="50"/>
      <c r="K275" s="50"/>
      <c r="L275" s="27"/>
    </row>
    <row r="276" spans="1:12">
      <c r="A276" s="50"/>
      <c r="B276" s="50"/>
      <c r="C276" s="123" t="s">
        <v>366</v>
      </c>
      <c r="D276" s="31">
        <f>ROUNDUP(I264,0)</f>
        <v>91594</v>
      </c>
      <c r="E276" s="50"/>
      <c r="F276" s="123"/>
      <c r="G276" s="50"/>
      <c r="H276" s="50"/>
      <c r="I276" s="50"/>
      <c r="J276" s="50"/>
      <c r="K276" s="50"/>
      <c r="L276" s="27"/>
    </row>
    <row r="277" spans="1:12">
      <c r="A277" s="50"/>
      <c r="B277" s="50"/>
      <c r="C277" s="123" t="s">
        <v>378</v>
      </c>
      <c r="D277" s="31">
        <f>ROUNDUP(H233,0)</f>
        <v>93894</v>
      </c>
      <c r="E277" s="50"/>
      <c r="F277" s="123"/>
      <c r="G277" s="50"/>
      <c r="H277" s="50"/>
      <c r="I277" s="50"/>
      <c r="J277" s="50"/>
      <c r="K277" s="50"/>
      <c r="L277" s="27"/>
    </row>
    <row r="278" spans="1:12">
      <c r="A278" s="50"/>
      <c r="B278" s="50"/>
      <c r="C278" s="114" t="s">
        <v>382</v>
      </c>
      <c r="D278" s="31">
        <f>D269-D266</f>
        <v>27695.670165632473</v>
      </c>
      <c r="E278" s="50"/>
      <c r="F278" s="123"/>
      <c r="G278" s="50"/>
      <c r="H278" s="50"/>
      <c r="I278" s="50"/>
      <c r="J278" s="50"/>
      <c r="K278" s="50"/>
      <c r="L278" s="27"/>
    </row>
    <row r="279" spans="1:12">
      <c r="A279" s="15"/>
      <c r="B279" s="15"/>
      <c r="C279" s="15"/>
      <c r="D279" s="15"/>
      <c r="E279" s="120"/>
      <c r="F279" s="15"/>
      <c r="G279" s="15"/>
      <c r="H279" s="15"/>
      <c r="I279" s="15"/>
      <c r="J279" s="15"/>
      <c r="K279" s="15"/>
    </row>
    <row r="280" spans="1:12">
      <c r="A280" s="15"/>
      <c r="B280" s="15"/>
      <c r="C280" s="15"/>
      <c r="D280" s="15"/>
      <c r="E280" s="120"/>
      <c r="F280" s="15"/>
      <c r="G280" s="15"/>
      <c r="H280" s="15"/>
      <c r="I280" s="15"/>
      <c r="J280" s="15"/>
      <c r="K280" s="15"/>
    </row>
    <row r="281" spans="1:12">
      <c r="A281" s="15"/>
      <c r="B281" s="15"/>
      <c r="C281" s="15"/>
      <c r="D281" s="15"/>
      <c r="E281" s="120"/>
      <c r="F281" s="15"/>
      <c r="G281" s="15"/>
      <c r="H281" s="15"/>
      <c r="I281" s="15"/>
      <c r="J281" s="15"/>
      <c r="K281" s="15"/>
    </row>
    <row r="282" spans="1:12">
      <c r="A282" s="15"/>
      <c r="B282" s="15"/>
      <c r="C282" s="15"/>
      <c r="D282" s="15"/>
      <c r="E282" s="120"/>
      <c r="F282" s="15"/>
      <c r="G282" s="15"/>
      <c r="H282" s="15"/>
      <c r="I282" s="15"/>
      <c r="J282" s="15"/>
      <c r="K282" s="15"/>
    </row>
    <row r="283" spans="1:12">
      <c r="A283" s="15"/>
      <c r="B283" s="15"/>
      <c r="C283" s="15"/>
      <c r="D283" s="15"/>
      <c r="E283" s="120"/>
      <c r="F283" s="15"/>
      <c r="G283" s="15"/>
      <c r="H283" s="15"/>
      <c r="I283" s="15"/>
      <c r="J283" s="15"/>
      <c r="K283" s="15"/>
    </row>
    <row r="284" spans="1:12">
      <c r="A284" s="15"/>
      <c r="B284" s="15"/>
      <c r="C284" s="15"/>
      <c r="D284" s="15"/>
      <c r="E284" s="120"/>
      <c r="F284" s="15"/>
      <c r="G284" s="15"/>
      <c r="H284" s="15"/>
      <c r="I284" s="15"/>
      <c r="J284" s="15"/>
      <c r="K284" s="15"/>
    </row>
    <row r="285" spans="1:12">
      <c r="A285" s="15"/>
      <c r="B285" s="15"/>
      <c r="C285" s="15"/>
      <c r="D285" s="15"/>
      <c r="E285" s="120"/>
      <c r="F285" s="15"/>
      <c r="G285" s="15"/>
      <c r="H285" s="15"/>
      <c r="I285" s="15"/>
      <c r="J285" s="15"/>
      <c r="K285" s="15"/>
    </row>
    <row r="286" spans="1:12">
      <c r="A286" s="15"/>
      <c r="B286" s="15"/>
      <c r="C286" s="15"/>
      <c r="D286" s="15"/>
      <c r="E286" s="120"/>
      <c r="F286" s="15"/>
      <c r="G286" s="15"/>
      <c r="H286" s="15"/>
      <c r="I286" s="15"/>
      <c r="J286" s="15"/>
      <c r="K286" s="15"/>
    </row>
    <row r="287" spans="1:12">
      <c r="A287" s="15"/>
      <c r="B287" s="15"/>
      <c r="C287" s="15"/>
      <c r="D287" s="15"/>
      <c r="E287" s="120"/>
      <c r="F287" s="15"/>
      <c r="G287" s="15"/>
      <c r="H287" s="15"/>
      <c r="I287" s="15"/>
      <c r="J287" s="15"/>
      <c r="K287" s="15"/>
    </row>
    <row r="288" spans="1:12">
      <c r="A288" s="15"/>
      <c r="B288" s="15"/>
      <c r="C288" s="15"/>
      <c r="D288" s="15"/>
      <c r="E288" s="120"/>
      <c r="F288" s="15"/>
      <c r="G288" s="15"/>
      <c r="H288" s="15"/>
      <c r="I288" s="15"/>
      <c r="J288" s="15"/>
      <c r="K288" s="15"/>
    </row>
    <row r="289" spans="1:11">
      <c r="A289" s="15"/>
      <c r="B289" s="15"/>
      <c r="C289" s="15"/>
      <c r="D289" s="15"/>
      <c r="E289" s="120"/>
      <c r="F289" s="15"/>
      <c r="G289" s="15"/>
      <c r="H289" s="15"/>
      <c r="I289" s="15"/>
      <c r="J289" s="15"/>
      <c r="K289" s="15"/>
    </row>
    <row r="290" spans="1:11">
      <c r="A290" s="15"/>
      <c r="B290" s="15"/>
      <c r="C290" s="15"/>
      <c r="D290" s="15"/>
      <c r="E290" s="120"/>
      <c r="F290" s="15"/>
      <c r="G290" s="15"/>
      <c r="H290" s="15"/>
      <c r="I290" s="15"/>
      <c r="J290" s="15"/>
      <c r="K290" s="15"/>
    </row>
    <row r="291" spans="1:11">
      <c r="A291" s="15"/>
      <c r="B291" s="15"/>
      <c r="C291" s="15"/>
      <c r="D291" s="15"/>
      <c r="E291" s="120"/>
      <c r="F291" s="15"/>
      <c r="G291" s="15"/>
      <c r="H291" s="15"/>
      <c r="I291" s="15"/>
      <c r="J291" s="15"/>
      <c r="K291" s="15"/>
    </row>
    <row r="292" spans="1:11">
      <c r="A292" s="15"/>
      <c r="B292" s="15"/>
      <c r="C292" s="15"/>
      <c r="D292" s="15"/>
      <c r="E292" s="120"/>
      <c r="F292" s="15"/>
      <c r="G292" s="15"/>
      <c r="H292" s="15"/>
      <c r="I292" s="15"/>
      <c r="J292" s="15"/>
      <c r="K292" s="15"/>
    </row>
    <row r="293" spans="1:11">
      <c r="A293" s="15"/>
      <c r="B293" s="15"/>
      <c r="C293" s="15"/>
      <c r="D293" s="15"/>
      <c r="E293" s="120"/>
      <c r="F293" s="15"/>
      <c r="G293" s="15"/>
      <c r="H293" s="15"/>
      <c r="I293" s="15"/>
      <c r="J293" s="15"/>
      <c r="K293" s="15"/>
    </row>
    <row r="294" spans="1:11">
      <c r="A294" s="15"/>
      <c r="B294" s="15"/>
      <c r="C294" s="15"/>
      <c r="D294" s="15"/>
      <c r="E294" s="120"/>
      <c r="F294" s="15"/>
      <c r="G294" s="15"/>
      <c r="H294" s="15"/>
      <c r="I294" s="15"/>
      <c r="J294" s="15"/>
      <c r="K294" s="15"/>
    </row>
    <row r="295" spans="1:11">
      <c r="A295" s="15"/>
      <c r="B295" s="15"/>
      <c r="C295" s="15"/>
      <c r="D295" s="15"/>
      <c r="E295" s="120"/>
      <c r="F295" s="15"/>
      <c r="G295" s="15"/>
      <c r="H295" s="15"/>
      <c r="I295" s="15"/>
      <c r="J295" s="15"/>
      <c r="K295" s="15"/>
    </row>
    <row r="296" spans="1:11">
      <c r="A296" s="15"/>
      <c r="B296" s="15"/>
      <c r="C296" s="15"/>
      <c r="D296" s="15"/>
      <c r="E296" s="120"/>
      <c r="F296" s="15"/>
      <c r="G296" s="15"/>
      <c r="H296" s="15"/>
      <c r="I296" s="15"/>
      <c r="J296" s="15"/>
      <c r="K296" s="15"/>
    </row>
    <row r="297" spans="1:11">
      <c r="A297" s="15"/>
      <c r="B297" s="15"/>
      <c r="C297" s="15"/>
      <c r="D297" s="15"/>
      <c r="E297" s="120"/>
      <c r="F297" s="15"/>
      <c r="G297" s="15"/>
      <c r="H297" s="15"/>
      <c r="I297" s="15"/>
      <c r="J297" s="15"/>
      <c r="K297" s="15"/>
    </row>
    <row r="298" spans="1:11">
      <c r="A298" s="15"/>
      <c r="B298" s="15"/>
      <c r="C298" s="15"/>
      <c r="D298" s="15"/>
      <c r="E298" s="120"/>
      <c r="F298" s="15"/>
      <c r="G298" s="15"/>
      <c r="H298" s="15"/>
      <c r="I298" s="15"/>
      <c r="J298" s="15"/>
      <c r="K298" s="15"/>
    </row>
    <row r="299" spans="1:11">
      <c r="A299" s="15"/>
      <c r="B299" s="15"/>
      <c r="C299" s="15"/>
      <c r="D299" s="15"/>
      <c r="E299" s="120"/>
      <c r="F299" s="15"/>
      <c r="G299" s="15"/>
      <c r="H299" s="15"/>
      <c r="I299" s="15"/>
      <c r="J299" s="15"/>
    </row>
    <row r="300" spans="1:11">
      <c r="A300" s="15"/>
      <c r="B300" s="15"/>
      <c r="C300" s="15"/>
      <c r="D300" s="15"/>
      <c r="E300" s="120"/>
      <c r="F300" s="15"/>
      <c r="G300" s="15"/>
      <c r="H300" s="15"/>
      <c r="I300" s="15"/>
      <c r="J300" s="15"/>
    </row>
    <row r="301" spans="1:11">
      <c r="A301" s="15"/>
      <c r="B301" s="15"/>
      <c r="C301" s="15"/>
      <c r="D301" s="15"/>
      <c r="E301" s="120"/>
      <c r="F301" s="15"/>
      <c r="G301" s="15"/>
      <c r="H301" s="15"/>
      <c r="I301" s="15"/>
      <c r="J301" s="15"/>
    </row>
    <row r="302" spans="1:11">
      <c r="A302" s="15"/>
      <c r="B302" s="15"/>
      <c r="C302" s="15"/>
      <c r="D302" s="15"/>
      <c r="E302" s="120"/>
      <c r="F302" s="15"/>
      <c r="G302" s="15"/>
      <c r="H302" s="15"/>
      <c r="I302" s="15"/>
      <c r="J302" s="15"/>
    </row>
    <row r="303" spans="1:11">
      <c r="A303" s="15"/>
      <c r="B303" s="15"/>
      <c r="C303" s="15"/>
      <c r="D303" s="15"/>
      <c r="E303" s="120"/>
      <c r="F303" s="15"/>
      <c r="G303" s="15"/>
      <c r="H303" s="15"/>
      <c r="I303" s="15"/>
      <c r="J303" s="15"/>
    </row>
    <row r="304" spans="1:11">
      <c r="A304" s="15"/>
      <c r="B304" s="15"/>
      <c r="C304" s="15"/>
      <c r="D304" s="15"/>
      <c r="E304" s="120"/>
      <c r="F304" s="15"/>
      <c r="G304" s="15"/>
      <c r="H304" s="15"/>
      <c r="I304" s="15"/>
      <c r="J304" s="15"/>
    </row>
    <row r="305" spans="1:10">
      <c r="A305" s="15"/>
      <c r="B305" s="15"/>
      <c r="C305" s="15"/>
      <c r="D305" s="15"/>
      <c r="E305" s="120"/>
      <c r="F305" s="15"/>
      <c r="G305" s="15"/>
      <c r="H305" s="15"/>
      <c r="I305" s="15"/>
      <c r="J305" s="15"/>
    </row>
    <row r="306" spans="1:10">
      <c r="A306" s="15"/>
      <c r="B306" s="15"/>
      <c r="C306" s="15"/>
      <c r="D306" s="15"/>
      <c r="E306" s="120"/>
      <c r="F306" s="15"/>
      <c r="G306" s="15"/>
      <c r="H306" s="15"/>
      <c r="I306" s="15"/>
      <c r="J306" s="15"/>
    </row>
    <row r="307" spans="1:10">
      <c r="A307" s="15"/>
      <c r="B307" s="15"/>
      <c r="C307" s="15"/>
      <c r="D307" s="15"/>
      <c r="E307" s="120"/>
      <c r="F307" s="15"/>
      <c r="G307" s="15"/>
      <c r="H307" s="15"/>
      <c r="I307" s="15"/>
      <c r="J307" s="15"/>
    </row>
    <row r="308" spans="1:10">
      <c r="A308" s="15"/>
      <c r="B308" s="15"/>
      <c r="C308" s="15"/>
      <c r="D308" s="15"/>
      <c r="E308" s="120"/>
      <c r="F308" s="15"/>
      <c r="G308" s="15"/>
      <c r="H308" s="15"/>
      <c r="I308" s="15"/>
      <c r="J308" s="15"/>
    </row>
    <row r="309" spans="1:10">
      <c r="A309" s="15"/>
      <c r="B309" s="15"/>
      <c r="C309" s="15"/>
      <c r="D309" s="15"/>
      <c r="E309" s="120"/>
      <c r="F309" s="15"/>
      <c r="G309" s="15"/>
      <c r="H309" s="15"/>
      <c r="I309" s="15"/>
      <c r="J309" s="15"/>
    </row>
    <row r="310" spans="1:10">
      <c r="A310" s="15"/>
      <c r="B310" s="15"/>
      <c r="C310" s="15"/>
      <c r="D310" s="15"/>
      <c r="E310" s="120"/>
      <c r="F310" s="15"/>
      <c r="G310" s="15"/>
      <c r="H310" s="15"/>
      <c r="I310" s="15"/>
      <c r="J310" s="15"/>
    </row>
    <row r="311" spans="1:10">
      <c r="A311" s="15"/>
      <c r="B311" s="15"/>
      <c r="C311" s="15"/>
      <c r="D311" s="15"/>
      <c r="E311" s="120"/>
      <c r="F311" s="15"/>
      <c r="G311" s="15"/>
      <c r="H311" s="15"/>
      <c r="I311" s="15"/>
      <c r="J311" s="15"/>
    </row>
    <row r="312" spans="1:10">
      <c r="A312" s="15"/>
      <c r="B312" s="15"/>
      <c r="C312" s="15"/>
      <c r="D312" s="15"/>
      <c r="E312" s="120"/>
      <c r="F312" s="15"/>
      <c r="G312" s="15"/>
      <c r="H312" s="15"/>
      <c r="I312" s="15"/>
      <c r="J312" s="15"/>
    </row>
    <row r="313" spans="1:10">
      <c r="E313" s="19"/>
    </row>
    <row r="314" spans="1:10">
      <c r="E314" s="19"/>
    </row>
    <row r="315" spans="1:10">
      <c r="E315" s="19"/>
    </row>
    <row r="316" spans="1:10">
      <c r="E316" s="19"/>
    </row>
    <row r="317" spans="1:10">
      <c r="E317" s="19"/>
    </row>
    <row r="318" spans="1:10">
      <c r="E318" s="19"/>
    </row>
    <row r="319" spans="1:10">
      <c r="E319" s="19"/>
    </row>
    <row r="320" spans="1:10">
      <c r="E320" s="19"/>
    </row>
    <row r="321" spans="5:5">
      <c r="E321" s="19"/>
    </row>
    <row r="322" spans="5:5">
      <c r="E322" s="19"/>
    </row>
    <row r="323" spans="5:5">
      <c r="E323" s="19"/>
    </row>
    <row r="324" spans="5:5">
      <c r="E324" s="19"/>
    </row>
    <row r="325" spans="5:5">
      <c r="E325" s="19"/>
    </row>
    <row r="326" spans="5:5">
      <c r="E326" s="19"/>
    </row>
    <row r="327" spans="5:5">
      <c r="E327" s="19"/>
    </row>
    <row r="328" spans="5:5">
      <c r="E328" s="19"/>
    </row>
    <row r="329" spans="5:5">
      <c r="E329" s="19"/>
    </row>
    <row r="330" spans="5:5">
      <c r="E330" s="19"/>
    </row>
    <row r="331" spans="5:5">
      <c r="E331" s="19"/>
    </row>
    <row r="332" spans="5:5">
      <c r="E332" s="19"/>
    </row>
    <row r="333" spans="5:5">
      <c r="E333" s="19"/>
    </row>
    <row r="334" spans="5:5">
      <c r="E334" s="19"/>
    </row>
    <row r="335" spans="5:5">
      <c r="E335" s="19"/>
    </row>
    <row r="336" spans="5:5">
      <c r="E336" s="19"/>
    </row>
    <row r="337" spans="5:5">
      <c r="E337" s="19"/>
    </row>
    <row r="338" spans="5:5">
      <c r="E338" s="19"/>
    </row>
    <row r="339" spans="5:5">
      <c r="E339" s="19"/>
    </row>
    <row r="340" spans="5:5">
      <c r="E340" s="19"/>
    </row>
    <row r="341" spans="5:5">
      <c r="E341" s="19"/>
    </row>
    <row r="342" spans="5:5">
      <c r="E342" s="19"/>
    </row>
    <row r="343" spans="5:5">
      <c r="E343" s="19"/>
    </row>
    <row r="344" spans="5:5">
      <c r="E344" s="19"/>
    </row>
    <row r="345" spans="5:5">
      <c r="E345" s="19"/>
    </row>
    <row r="346" spans="5:5">
      <c r="E346" s="19"/>
    </row>
    <row r="347" spans="5:5">
      <c r="E347" s="19"/>
    </row>
    <row r="348" spans="5:5">
      <c r="E348" s="19"/>
    </row>
    <row r="349" spans="5:5">
      <c r="E349" s="19"/>
    </row>
    <row r="350" spans="5:5">
      <c r="E350" s="19"/>
    </row>
    <row r="351" spans="5:5">
      <c r="E351" s="19"/>
    </row>
    <row r="352" spans="5:5">
      <c r="E352" s="19"/>
    </row>
    <row r="353" spans="5:5">
      <c r="E353" s="19"/>
    </row>
    <row r="354" spans="5:5">
      <c r="E354" s="19"/>
    </row>
    <row r="355" spans="5:5">
      <c r="E355" s="19"/>
    </row>
    <row r="356" spans="5:5">
      <c r="E356" s="19"/>
    </row>
    <row r="357" spans="5:5">
      <c r="E357" s="19"/>
    </row>
    <row r="358" spans="5:5">
      <c r="E358" s="19"/>
    </row>
    <row r="359" spans="5:5">
      <c r="E359" s="19"/>
    </row>
    <row r="360" spans="5:5">
      <c r="E360" s="19"/>
    </row>
    <row r="361" spans="5:5">
      <c r="E361" s="19"/>
    </row>
    <row r="362" spans="5:5">
      <c r="E362" s="19"/>
    </row>
    <row r="363" spans="5:5">
      <c r="E363" s="19"/>
    </row>
    <row r="364" spans="5:5">
      <c r="E364" s="19"/>
    </row>
    <row r="365" spans="5:5">
      <c r="E365" s="19"/>
    </row>
    <row r="366" spans="5:5">
      <c r="E366" s="19"/>
    </row>
    <row r="367" spans="5:5">
      <c r="E367" s="19"/>
    </row>
    <row r="368" spans="5:5">
      <c r="E368" s="19"/>
    </row>
    <row r="369" spans="5:5">
      <c r="E369" s="19"/>
    </row>
    <row r="370" spans="5:5">
      <c r="E370" s="19"/>
    </row>
    <row r="371" spans="5:5">
      <c r="E371" s="19"/>
    </row>
    <row r="372" spans="5:5">
      <c r="E372" s="19"/>
    </row>
    <row r="373" spans="5:5">
      <c r="E373" s="19"/>
    </row>
    <row r="374" spans="5:5">
      <c r="E374" s="19"/>
    </row>
    <row r="375" spans="5:5">
      <c r="E375" s="19"/>
    </row>
    <row r="376" spans="5:5">
      <c r="E376" s="19"/>
    </row>
    <row r="377" spans="5:5">
      <c r="E377" s="19"/>
    </row>
    <row r="378" spans="5:5">
      <c r="E378" s="19"/>
    </row>
    <row r="379" spans="5:5">
      <c r="E379" s="19"/>
    </row>
    <row r="380" spans="5:5">
      <c r="E380" s="19"/>
    </row>
    <row r="381" spans="5:5">
      <c r="E381" s="19"/>
    </row>
    <row r="382" spans="5:5">
      <c r="E382" s="19"/>
    </row>
    <row r="383" spans="5:5">
      <c r="E383" s="19"/>
    </row>
    <row r="384" spans="5:5">
      <c r="E384" s="19"/>
    </row>
    <row r="385" spans="5:5">
      <c r="E385" s="19"/>
    </row>
    <row r="386" spans="5:5">
      <c r="E386" s="19"/>
    </row>
    <row r="387" spans="5:5">
      <c r="E387" s="19"/>
    </row>
    <row r="388" spans="5:5">
      <c r="E388" s="19"/>
    </row>
    <row r="389" spans="5:5">
      <c r="E389" s="19"/>
    </row>
    <row r="390" spans="5:5">
      <c r="E390" s="19"/>
    </row>
    <row r="391" spans="5:5">
      <c r="E391" s="19"/>
    </row>
    <row r="392" spans="5:5">
      <c r="E392" s="19"/>
    </row>
    <row r="393" spans="5:5">
      <c r="E393" s="19"/>
    </row>
    <row r="394" spans="5:5">
      <c r="E394" s="19"/>
    </row>
    <row r="395" spans="5:5">
      <c r="E395" s="19"/>
    </row>
    <row r="396" spans="5:5">
      <c r="E396" s="19"/>
    </row>
    <row r="397" spans="5:5">
      <c r="E397" s="19"/>
    </row>
    <row r="398" spans="5:5">
      <c r="E398" s="19"/>
    </row>
    <row r="399" spans="5:5">
      <c r="E399" s="19"/>
    </row>
    <row r="400" spans="5:5">
      <c r="E400" s="19"/>
    </row>
    <row r="401" spans="5:5">
      <c r="E401" s="19"/>
    </row>
    <row r="402" spans="5:5">
      <c r="E402" s="19"/>
    </row>
    <row r="403" spans="5:5">
      <c r="E403" s="19"/>
    </row>
    <row r="404" spans="5:5">
      <c r="E404" s="19"/>
    </row>
    <row r="405" spans="5:5">
      <c r="E405" s="19"/>
    </row>
    <row r="406" spans="5:5">
      <c r="E406" s="19"/>
    </row>
    <row r="407" spans="5:5">
      <c r="E407" s="19"/>
    </row>
    <row r="408" spans="5:5">
      <c r="E408" s="19"/>
    </row>
    <row r="409" spans="5:5">
      <c r="E409" s="19"/>
    </row>
    <row r="410" spans="5:5">
      <c r="E410" s="19"/>
    </row>
    <row r="411" spans="5:5">
      <c r="E411" s="19"/>
    </row>
    <row r="412" spans="5:5">
      <c r="E412" s="19"/>
    </row>
    <row r="413" spans="5:5">
      <c r="E413" s="19"/>
    </row>
    <row r="414" spans="5:5">
      <c r="E414" s="19"/>
    </row>
    <row r="415" spans="5:5">
      <c r="E415" s="19"/>
    </row>
    <row r="416" spans="5:5">
      <c r="E416" s="19"/>
    </row>
    <row r="417" spans="5:5">
      <c r="E417" s="19"/>
    </row>
    <row r="418" spans="5:5">
      <c r="E418" s="19"/>
    </row>
    <row r="419" spans="5:5">
      <c r="E419" s="19"/>
    </row>
    <row r="420" spans="5:5">
      <c r="E420" s="19"/>
    </row>
    <row r="421" spans="5:5">
      <c r="E421" s="19"/>
    </row>
    <row r="422" spans="5:5">
      <c r="E422" s="19"/>
    </row>
    <row r="423" spans="5:5">
      <c r="E423" s="19"/>
    </row>
    <row r="424" spans="5:5">
      <c r="E424" s="19"/>
    </row>
    <row r="425" spans="5:5">
      <c r="E425" s="19"/>
    </row>
    <row r="426" spans="5:5">
      <c r="E426" s="19"/>
    </row>
    <row r="427" spans="5:5">
      <c r="E427" s="19"/>
    </row>
    <row r="428" spans="5:5">
      <c r="E428" s="19"/>
    </row>
    <row r="429" spans="5:5">
      <c r="E429" s="19"/>
    </row>
    <row r="430" spans="5:5">
      <c r="E430" s="19"/>
    </row>
    <row r="431" spans="5:5">
      <c r="E431" s="19"/>
    </row>
    <row r="432" spans="5:5">
      <c r="E432" s="19"/>
    </row>
    <row r="433" spans="5:5">
      <c r="E433" s="19"/>
    </row>
    <row r="434" spans="5:5">
      <c r="E434" s="19"/>
    </row>
    <row r="435" spans="5:5">
      <c r="E435" s="19"/>
    </row>
    <row r="436" spans="5:5">
      <c r="E436" s="19"/>
    </row>
    <row r="437" spans="5:5">
      <c r="E437" s="19"/>
    </row>
    <row r="438" spans="5:5">
      <c r="E438" s="19"/>
    </row>
    <row r="439" spans="5:5">
      <c r="E439" s="19"/>
    </row>
    <row r="440" spans="5:5">
      <c r="E440" s="19"/>
    </row>
    <row r="441" spans="5:5">
      <c r="E441" s="19"/>
    </row>
    <row r="442" spans="5:5">
      <c r="E442" s="19"/>
    </row>
    <row r="443" spans="5:5">
      <c r="E443" s="19"/>
    </row>
    <row r="444" spans="5:5">
      <c r="E444" s="19"/>
    </row>
    <row r="445" spans="5:5">
      <c r="E445" s="19"/>
    </row>
    <row r="446" spans="5:5">
      <c r="E446" s="19"/>
    </row>
    <row r="447" spans="5:5">
      <c r="E447" s="19"/>
    </row>
    <row r="448" spans="5:5">
      <c r="E448" s="19"/>
    </row>
    <row r="449" spans="5:5">
      <c r="E449" s="19"/>
    </row>
    <row r="450" spans="5:5">
      <c r="E450" s="19"/>
    </row>
    <row r="451" spans="5:5">
      <c r="E451" s="19"/>
    </row>
    <row r="452" spans="5:5">
      <c r="E452" s="19"/>
    </row>
    <row r="453" spans="5:5">
      <c r="E453" s="19"/>
    </row>
    <row r="454" spans="5:5">
      <c r="E454" s="19"/>
    </row>
    <row r="455" spans="5:5">
      <c r="E455" s="19"/>
    </row>
    <row r="456" spans="5:5">
      <c r="E456" s="19"/>
    </row>
    <row r="457" spans="5:5">
      <c r="E457" s="19"/>
    </row>
    <row r="458" spans="5:5">
      <c r="E458" s="19"/>
    </row>
    <row r="459" spans="5:5">
      <c r="E459" s="19"/>
    </row>
    <row r="460" spans="5:5">
      <c r="E460" s="19"/>
    </row>
    <row r="461" spans="5:5">
      <c r="E461" s="19"/>
    </row>
    <row r="462" spans="5:5">
      <c r="E462" s="19"/>
    </row>
    <row r="463" spans="5:5">
      <c r="E463" s="19"/>
    </row>
    <row r="464" spans="5:5">
      <c r="E464" s="19"/>
    </row>
    <row r="465" spans="5:5">
      <c r="E465" s="19"/>
    </row>
    <row r="466" spans="5:5">
      <c r="E466" s="19"/>
    </row>
    <row r="467" spans="5:5">
      <c r="E467" s="19"/>
    </row>
    <row r="468" spans="5:5">
      <c r="E468" s="19"/>
    </row>
    <row r="469" spans="5:5">
      <c r="E469" s="19"/>
    </row>
    <row r="470" spans="5:5">
      <c r="E470" s="19"/>
    </row>
    <row r="471" spans="5:5">
      <c r="E471" s="19"/>
    </row>
    <row r="472" spans="5:5">
      <c r="E472" s="19"/>
    </row>
    <row r="473" spans="5:5">
      <c r="E473" s="19"/>
    </row>
    <row r="474" spans="5:5">
      <c r="E474" s="19"/>
    </row>
    <row r="475" spans="5:5">
      <c r="E475" s="19"/>
    </row>
    <row r="476" spans="5:5">
      <c r="E476" s="19"/>
    </row>
    <row r="477" spans="5:5">
      <c r="E477" s="19"/>
    </row>
    <row r="478" spans="5:5">
      <c r="E478" s="19"/>
    </row>
    <row r="479" spans="5:5">
      <c r="E479" s="19"/>
    </row>
    <row r="480" spans="5:5">
      <c r="E480" s="19"/>
    </row>
    <row r="481" spans="5:5">
      <c r="E481" s="19"/>
    </row>
    <row r="482" spans="5:5">
      <c r="E482" s="19"/>
    </row>
    <row r="483" spans="5:5">
      <c r="E483" s="19"/>
    </row>
    <row r="484" spans="5:5">
      <c r="E484" s="19"/>
    </row>
    <row r="485" spans="5:5">
      <c r="E485" s="19"/>
    </row>
    <row r="486" spans="5:5">
      <c r="E486" s="19"/>
    </row>
    <row r="487" spans="5:5">
      <c r="E487" s="19"/>
    </row>
    <row r="488" spans="5:5">
      <c r="E488" s="19"/>
    </row>
    <row r="489" spans="5:5">
      <c r="E489" s="19"/>
    </row>
    <row r="490" spans="5:5">
      <c r="E490" s="19"/>
    </row>
    <row r="491" spans="5:5">
      <c r="E491" s="19"/>
    </row>
    <row r="492" spans="5:5">
      <c r="E492" s="19"/>
    </row>
    <row r="493" spans="5:5">
      <c r="E493" s="19"/>
    </row>
    <row r="494" spans="5:5">
      <c r="E494" s="19"/>
    </row>
    <row r="495" spans="5:5">
      <c r="E495" s="19"/>
    </row>
    <row r="496" spans="5:5">
      <c r="E496" s="19"/>
    </row>
    <row r="497" spans="5:5">
      <c r="E497" s="19"/>
    </row>
    <row r="498" spans="5:5">
      <c r="E498" s="19"/>
    </row>
    <row r="499" spans="5:5">
      <c r="E499" s="19"/>
    </row>
    <row r="500" spans="5:5">
      <c r="E500" s="19"/>
    </row>
    <row r="501" spans="5:5">
      <c r="E501" s="19"/>
    </row>
    <row r="502" spans="5:5">
      <c r="E502" s="19"/>
    </row>
    <row r="503" spans="5:5">
      <c r="E503" s="19"/>
    </row>
    <row r="504" spans="5:5">
      <c r="E504" s="19"/>
    </row>
    <row r="505" spans="5:5">
      <c r="E505" s="19"/>
    </row>
    <row r="506" spans="5:5">
      <c r="E506" s="19"/>
    </row>
    <row r="507" spans="5:5">
      <c r="E507" s="19"/>
    </row>
    <row r="508" spans="5:5">
      <c r="E508" s="19"/>
    </row>
    <row r="509" spans="5:5">
      <c r="E509" s="19"/>
    </row>
    <row r="510" spans="5:5">
      <c r="E510" s="19"/>
    </row>
    <row r="511" spans="5:5">
      <c r="E511" s="19"/>
    </row>
    <row r="512" spans="5:5">
      <c r="E512" s="19"/>
    </row>
    <row r="513" spans="5:5">
      <c r="E513" s="19"/>
    </row>
    <row r="514" spans="5:5">
      <c r="E514" s="19"/>
    </row>
    <row r="515" spans="5:5">
      <c r="E515" s="19"/>
    </row>
    <row r="516" spans="5:5">
      <c r="E516" s="19"/>
    </row>
    <row r="517" spans="5:5">
      <c r="E517" s="19"/>
    </row>
    <row r="518" spans="5:5">
      <c r="E518" s="19"/>
    </row>
    <row r="519" spans="5:5">
      <c r="E519" s="19"/>
    </row>
    <row r="520" spans="5:5">
      <c r="E520" s="19"/>
    </row>
    <row r="521" spans="5:5">
      <c r="E521" s="19"/>
    </row>
    <row r="522" spans="5:5">
      <c r="E522" s="19"/>
    </row>
    <row r="523" spans="5:5">
      <c r="E523" s="19"/>
    </row>
    <row r="524" spans="5:5">
      <c r="E524" s="19"/>
    </row>
    <row r="525" spans="5:5">
      <c r="E525" s="19"/>
    </row>
    <row r="526" spans="5:5">
      <c r="E526" s="19"/>
    </row>
    <row r="527" spans="5:5">
      <c r="E527" s="19"/>
    </row>
    <row r="528" spans="5:5">
      <c r="E528" s="19"/>
    </row>
    <row r="529" spans="5:5">
      <c r="E529" s="19"/>
    </row>
    <row r="530" spans="5:5">
      <c r="E530" s="19"/>
    </row>
    <row r="531" spans="5:5">
      <c r="E531" s="19"/>
    </row>
    <row r="532" spans="5:5">
      <c r="E532" s="19"/>
    </row>
    <row r="533" spans="5:5">
      <c r="E533" s="19"/>
    </row>
    <row r="534" spans="5:5">
      <c r="E534" s="19"/>
    </row>
    <row r="535" spans="5:5">
      <c r="E535" s="19"/>
    </row>
    <row r="536" spans="5:5">
      <c r="E536" s="19"/>
    </row>
    <row r="537" spans="5:5">
      <c r="E537" s="19"/>
    </row>
    <row r="538" spans="5:5">
      <c r="E538" s="19"/>
    </row>
    <row r="539" spans="5:5">
      <c r="E539" s="19"/>
    </row>
    <row r="540" spans="5:5">
      <c r="E540" s="19"/>
    </row>
    <row r="541" spans="5:5">
      <c r="E541" s="19"/>
    </row>
    <row r="542" spans="5:5">
      <c r="E542" s="19"/>
    </row>
    <row r="543" spans="5:5">
      <c r="E543" s="19"/>
    </row>
    <row r="544" spans="5:5">
      <c r="E544" s="19"/>
    </row>
    <row r="545" spans="5:5">
      <c r="E545" s="19"/>
    </row>
    <row r="546" spans="5:5">
      <c r="E546" s="19"/>
    </row>
    <row r="547" spans="5:5">
      <c r="E547" s="19"/>
    </row>
    <row r="548" spans="5:5">
      <c r="E548" s="19"/>
    </row>
    <row r="549" spans="5:5">
      <c r="E549" s="19"/>
    </row>
    <row r="550" spans="5:5">
      <c r="E550" s="19"/>
    </row>
    <row r="551" spans="5:5">
      <c r="E551" s="19"/>
    </row>
    <row r="552" spans="5:5">
      <c r="E552" s="19"/>
    </row>
    <row r="553" spans="5:5">
      <c r="E553" s="19"/>
    </row>
    <row r="554" spans="5:5">
      <c r="E554" s="19"/>
    </row>
    <row r="555" spans="5:5">
      <c r="E555" s="19"/>
    </row>
    <row r="556" spans="5:5">
      <c r="E556" s="19"/>
    </row>
    <row r="557" spans="5:5">
      <c r="E557" s="19"/>
    </row>
    <row r="558" spans="5:5">
      <c r="E558" s="19"/>
    </row>
    <row r="559" spans="5:5">
      <c r="E559" s="19"/>
    </row>
    <row r="560" spans="5:5">
      <c r="E560" s="19"/>
    </row>
    <row r="561" spans="5:5">
      <c r="E561" s="19"/>
    </row>
    <row r="562" spans="5:5">
      <c r="E562" s="19"/>
    </row>
    <row r="563" spans="5:5">
      <c r="E563" s="19"/>
    </row>
    <row r="564" spans="5:5">
      <c r="E564" s="19"/>
    </row>
    <row r="565" spans="5:5">
      <c r="E565" s="19"/>
    </row>
    <row r="566" spans="5:5">
      <c r="E566" s="19"/>
    </row>
    <row r="567" spans="5:5">
      <c r="E567" s="19"/>
    </row>
    <row r="568" spans="5:5">
      <c r="E568" s="19"/>
    </row>
    <row r="569" spans="5:5">
      <c r="E569" s="19"/>
    </row>
    <row r="570" spans="5:5">
      <c r="E570" s="19"/>
    </row>
    <row r="571" spans="5:5">
      <c r="E571" s="19"/>
    </row>
    <row r="572" spans="5:5">
      <c r="E572" s="19"/>
    </row>
    <row r="573" spans="5:5">
      <c r="E573" s="19"/>
    </row>
    <row r="574" spans="5:5">
      <c r="E574" s="19"/>
    </row>
    <row r="575" spans="5:5">
      <c r="E575" s="19"/>
    </row>
    <row r="576" spans="5:5">
      <c r="E576" s="19"/>
    </row>
    <row r="577" spans="5:5">
      <c r="E577" s="19"/>
    </row>
    <row r="578" spans="5:5">
      <c r="E578" s="19"/>
    </row>
    <row r="579" spans="5:5">
      <c r="E579" s="19"/>
    </row>
    <row r="580" spans="5:5">
      <c r="E580" s="19"/>
    </row>
    <row r="581" spans="5:5">
      <c r="E581" s="19"/>
    </row>
    <row r="582" spans="5:5">
      <c r="E582" s="19"/>
    </row>
    <row r="583" spans="5:5">
      <c r="E583" s="19"/>
    </row>
    <row r="584" spans="5:5">
      <c r="E584" s="19"/>
    </row>
    <row r="585" spans="5:5">
      <c r="E585" s="19"/>
    </row>
    <row r="586" spans="5:5">
      <c r="E586" s="19"/>
    </row>
    <row r="587" spans="5:5">
      <c r="E587" s="19"/>
    </row>
    <row r="588" spans="5:5">
      <c r="E588" s="19"/>
    </row>
    <row r="589" spans="5:5">
      <c r="E589" s="19"/>
    </row>
    <row r="590" spans="5:5">
      <c r="E590" s="19"/>
    </row>
    <row r="591" spans="5:5">
      <c r="E591" s="19"/>
    </row>
    <row r="592" spans="5:5">
      <c r="E592" s="19"/>
    </row>
    <row r="593" spans="5:5">
      <c r="E593" s="19"/>
    </row>
    <row r="594" spans="5:5">
      <c r="E594" s="19"/>
    </row>
    <row r="595" spans="5:5">
      <c r="E595" s="19"/>
    </row>
    <row r="596" spans="5:5">
      <c r="E596" s="19"/>
    </row>
    <row r="597" spans="5:5">
      <c r="E597" s="19"/>
    </row>
    <row r="598" spans="5:5">
      <c r="E598" s="19"/>
    </row>
    <row r="599" spans="5:5">
      <c r="E599" s="19"/>
    </row>
    <row r="600" spans="5:5">
      <c r="E600" s="19"/>
    </row>
    <row r="601" spans="5:5">
      <c r="E601" s="19"/>
    </row>
    <row r="602" spans="5:5">
      <c r="E602" s="19"/>
    </row>
    <row r="603" spans="5:5">
      <c r="E603" s="19"/>
    </row>
    <row r="604" spans="5:5">
      <c r="E604" s="19"/>
    </row>
    <row r="605" spans="5:5">
      <c r="E605" s="19"/>
    </row>
    <row r="606" spans="5:5">
      <c r="E606" s="19"/>
    </row>
    <row r="607" spans="5:5">
      <c r="E607" s="19"/>
    </row>
    <row r="608" spans="5:5">
      <c r="E608" s="19"/>
    </row>
    <row r="609" spans="5:5">
      <c r="E609" s="19"/>
    </row>
    <row r="610" spans="5:5">
      <c r="E610" s="19"/>
    </row>
    <row r="611" spans="5:5">
      <c r="E611" s="19"/>
    </row>
    <row r="612" spans="5:5">
      <c r="E612" s="19"/>
    </row>
    <row r="613" spans="5:5">
      <c r="E613" s="19"/>
    </row>
    <row r="614" spans="5:5">
      <c r="E614" s="19"/>
    </row>
    <row r="615" spans="5:5">
      <c r="E615" s="19"/>
    </row>
    <row r="616" spans="5:5">
      <c r="E616" s="19"/>
    </row>
    <row r="617" spans="5:5">
      <c r="E617" s="19"/>
    </row>
    <row r="618" spans="5:5">
      <c r="E618" s="19"/>
    </row>
    <row r="619" spans="5:5">
      <c r="E619" s="19"/>
    </row>
    <row r="620" spans="5:5">
      <c r="E620" s="19"/>
    </row>
    <row r="621" spans="5:5">
      <c r="E621" s="19"/>
    </row>
    <row r="622" spans="5:5">
      <c r="E622" s="19"/>
    </row>
    <row r="623" spans="5:5">
      <c r="E623" s="19"/>
    </row>
    <row r="624" spans="5:5">
      <c r="E624" s="19"/>
    </row>
    <row r="625" spans="5:5">
      <c r="E625" s="19"/>
    </row>
    <row r="626" spans="5:5">
      <c r="E626" s="19"/>
    </row>
    <row r="627" spans="5:5">
      <c r="E627" s="19"/>
    </row>
    <row r="628" spans="5:5">
      <c r="E628" s="19"/>
    </row>
    <row r="629" spans="5:5">
      <c r="E629" s="19"/>
    </row>
    <row r="630" spans="5:5">
      <c r="E630" s="19"/>
    </row>
    <row r="631" spans="5:5">
      <c r="E631" s="19"/>
    </row>
    <row r="632" spans="5:5">
      <c r="E632" s="19"/>
    </row>
    <row r="633" spans="5:5">
      <c r="E633" s="19"/>
    </row>
    <row r="634" spans="5:5">
      <c r="E634" s="19"/>
    </row>
    <row r="635" spans="5:5">
      <c r="E635" s="19"/>
    </row>
    <row r="636" spans="5:5">
      <c r="E636" s="19"/>
    </row>
    <row r="637" spans="5:5">
      <c r="E637" s="19"/>
    </row>
    <row r="638" spans="5:5">
      <c r="E638" s="19"/>
    </row>
    <row r="639" spans="5:5">
      <c r="E639" s="19"/>
    </row>
    <row r="640" spans="5:5">
      <c r="E640" s="19"/>
    </row>
    <row r="641" spans="5:5">
      <c r="E641" s="19"/>
    </row>
    <row r="642" spans="5:5">
      <c r="E642" s="19"/>
    </row>
    <row r="643" spans="5:5">
      <c r="E643" s="19"/>
    </row>
    <row r="644" spans="5:5">
      <c r="E644" s="19"/>
    </row>
    <row r="645" spans="5:5">
      <c r="E645" s="19"/>
    </row>
    <row r="646" spans="5:5">
      <c r="E646" s="19"/>
    </row>
    <row r="647" spans="5:5">
      <c r="E647" s="19"/>
    </row>
    <row r="648" spans="5:5">
      <c r="E648" s="19"/>
    </row>
    <row r="649" spans="5:5">
      <c r="E649" s="19"/>
    </row>
    <row r="650" spans="5:5">
      <c r="E650" s="19"/>
    </row>
    <row r="651" spans="5:5">
      <c r="E651" s="19"/>
    </row>
    <row r="652" spans="5:5">
      <c r="E652" s="19"/>
    </row>
    <row r="653" spans="5:5">
      <c r="E653" s="19"/>
    </row>
    <row r="654" spans="5:5">
      <c r="E654" s="19"/>
    </row>
    <row r="655" spans="5:5">
      <c r="E655" s="19"/>
    </row>
    <row r="656" spans="5:5">
      <c r="E656" s="19"/>
    </row>
    <row r="657" spans="5:5">
      <c r="E657" s="19"/>
    </row>
    <row r="658" spans="5:5">
      <c r="E658" s="19"/>
    </row>
    <row r="659" spans="5:5">
      <c r="E659" s="19"/>
    </row>
    <row r="660" spans="5:5">
      <c r="E660" s="19"/>
    </row>
    <row r="661" spans="5:5">
      <c r="E661" s="19"/>
    </row>
    <row r="662" spans="5:5">
      <c r="E662" s="19"/>
    </row>
    <row r="663" spans="5:5">
      <c r="E663" s="19"/>
    </row>
    <row r="664" spans="5:5">
      <c r="E664" s="19"/>
    </row>
    <row r="665" spans="5:5">
      <c r="E665" s="19"/>
    </row>
    <row r="666" spans="5:5">
      <c r="E666" s="19"/>
    </row>
    <row r="667" spans="5:5">
      <c r="E667" s="19"/>
    </row>
    <row r="668" spans="5:5">
      <c r="E668" s="19"/>
    </row>
    <row r="669" spans="5:5">
      <c r="E669" s="19"/>
    </row>
    <row r="670" spans="5:5">
      <c r="E670" s="19"/>
    </row>
    <row r="671" spans="5:5">
      <c r="E671" s="19"/>
    </row>
    <row r="672" spans="5:5">
      <c r="E672" s="19"/>
    </row>
    <row r="673" spans="5:5">
      <c r="E673" s="19"/>
    </row>
    <row r="674" spans="5:5">
      <c r="E674" s="19"/>
    </row>
    <row r="675" spans="5:5">
      <c r="E675" s="19"/>
    </row>
    <row r="676" spans="5:5">
      <c r="E676" s="19"/>
    </row>
    <row r="677" spans="5:5">
      <c r="E677" s="19"/>
    </row>
    <row r="678" spans="5:5">
      <c r="E678" s="19"/>
    </row>
    <row r="679" spans="5:5">
      <c r="E679" s="19"/>
    </row>
    <row r="680" spans="5:5">
      <c r="E680" s="19"/>
    </row>
    <row r="681" spans="5:5">
      <c r="E681" s="19"/>
    </row>
    <row r="682" spans="5:5">
      <c r="E682" s="19"/>
    </row>
    <row r="683" spans="5:5">
      <c r="E683" s="19"/>
    </row>
    <row r="684" spans="5:5">
      <c r="E684" s="19"/>
    </row>
    <row r="685" spans="5:5">
      <c r="E685" s="19"/>
    </row>
    <row r="686" spans="5:5">
      <c r="E686" s="19"/>
    </row>
    <row r="687" spans="5:5">
      <c r="E687" s="19"/>
    </row>
    <row r="688" spans="5:5">
      <c r="E688" s="19"/>
    </row>
    <row r="689" spans="5:5">
      <c r="E689" s="19"/>
    </row>
    <row r="690" spans="5:5">
      <c r="E690" s="19"/>
    </row>
    <row r="691" spans="5:5">
      <c r="E691" s="19"/>
    </row>
    <row r="692" spans="5:5">
      <c r="E692" s="19"/>
    </row>
    <row r="693" spans="5:5">
      <c r="E693" s="19"/>
    </row>
    <row r="694" spans="5:5">
      <c r="E694" s="19"/>
    </row>
    <row r="695" spans="5:5">
      <c r="E695" s="19"/>
    </row>
    <row r="696" spans="5:5">
      <c r="E696" s="19"/>
    </row>
    <row r="697" spans="5:5">
      <c r="E697" s="19"/>
    </row>
    <row r="698" spans="5:5">
      <c r="E698" s="19"/>
    </row>
    <row r="699" spans="5:5">
      <c r="E699" s="19"/>
    </row>
    <row r="700" spans="5:5">
      <c r="E700" s="19"/>
    </row>
    <row r="701" spans="5:5">
      <c r="E701" s="19"/>
    </row>
    <row r="702" spans="5:5">
      <c r="E702" s="19"/>
    </row>
    <row r="703" spans="5:5">
      <c r="E703" s="19"/>
    </row>
    <row r="704" spans="5:5">
      <c r="E704" s="19"/>
    </row>
    <row r="705" spans="5:5">
      <c r="E705" s="19"/>
    </row>
    <row r="706" spans="5:5">
      <c r="E706" s="19"/>
    </row>
    <row r="707" spans="5:5">
      <c r="E707" s="19"/>
    </row>
    <row r="708" spans="5:5">
      <c r="E708" s="19"/>
    </row>
    <row r="709" spans="5:5">
      <c r="E709" s="19"/>
    </row>
    <row r="710" spans="5:5">
      <c r="E710" s="19"/>
    </row>
    <row r="711" spans="5:5">
      <c r="E711" s="19"/>
    </row>
    <row r="712" spans="5:5">
      <c r="E712" s="19"/>
    </row>
    <row r="713" spans="5:5">
      <c r="E713" s="19"/>
    </row>
    <row r="714" spans="5:5">
      <c r="E714" s="19"/>
    </row>
    <row r="715" spans="5:5">
      <c r="E715" s="19"/>
    </row>
    <row r="716" spans="5:5">
      <c r="E716" s="19"/>
    </row>
    <row r="717" spans="5:5">
      <c r="E717" s="19"/>
    </row>
    <row r="718" spans="5:5">
      <c r="E718" s="19"/>
    </row>
    <row r="719" spans="5:5">
      <c r="E719" s="19"/>
    </row>
    <row r="720" spans="5:5">
      <c r="E720" s="19"/>
    </row>
    <row r="721" spans="5:5">
      <c r="E721" s="19"/>
    </row>
    <row r="722" spans="5:5">
      <c r="E722" s="19"/>
    </row>
    <row r="723" spans="5:5">
      <c r="E723" s="19"/>
    </row>
    <row r="724" spans="5:5">
      <c r="E724" s="19"/>
    </row>
    <row r="725" spans="5:5">
      <c r="E725" s="19"/>
    </row>
    <row r="726" spans="5:5">
      <c r="E726" s="19"/>
    </row>
    <row r="727" spans="5:5">
      <c r="E727" s="19"/>
    </row>
    <row r="728" spans="5:5">
      <c r="E728" s="19"/>
    </row>
    <row r="729" spans="5:5">
      <c r="E729" s="19"/>
    </row>
    <row r="730" spans="5:5">
      <c r="E730" s="19"/>
    </row>
    <row r="731" spans="5:5">
      <c r="E731" s="19"/>
    </row>
    <row r="732" spans="5:5">
      <c r="E732" s="19"/>
    </row>
    <row r="733" spans="5:5">
      <c r="E733" s="19"/>
    </row>
    <row r="734" spans="5:5">
      <c r="E734" s="19"/>
    </row>
    <row r="735" spans="5:5">
      <c r="E735" s="19"/>
    </row>
    <row r="736" spans="5:5">
      <c r="E736" s="19"/>
    </row>
    <row r="737" spans="5:5">
      <c r="E737" s="19"/>
    </row>
    <row r="738" spans="5:5">
      <c r="E738" s="19"/>
    </row>
    <row r="739" spans="5:5">
      <c r="E739" s="19"/>
    </row>
    <row r="740" spans="5:5">
      <c r="E740" s="19"/>
    </row>
    <row r="741" spans="5:5">
      <c r="E741" s="19"/>
    </row>
    <row r="742" spans="5:5">
      <c r="E742" s="19"/>
    </row>
    <row r="743" spans="5:5">
      <c r="E743" s="19"/>
    </row>
    <row r="744" spans="5:5">
      <c r="E744" s="19"/>
    </row>
    <row r="745" spans="5:5">
      <c r="E745" s="19"/>
    </row>
    <row r="746" spans="5:5">
      <c r="E746" s="19"/>
    </row>
    <row r="747" spans="5:5">
      <c r="E747" s="19"/>
    </row>
    <row r="748" spans="5:5">
      <c r="E748" s="19"/>
    </row>
    <row r="749" spans="5:5">
      <c r="E749" s="19"/>
    </row>
    <row r="750" spans="5:5">
      <c r="E750" s="19"/>
    </row>
    <row r="751" spans="5:5">
      <c r="E751" s="19"/>
    </row>
    <row r="752" spans="5:5">
      <c r="E752" s="19"/>
    </row>
    <row r="753" spans="5:5">
      <c r="E753" s="19"/>
    </row>
    <row r="754" spans="5:5">
      <c r="E754" s="19"/>
    </row>
    <row r="755" spans="5:5">
      <c r="E755" s="19"/>
    </row>
    <row r="756" spans="5:5">
      <c r="E756" s="19"/>
    </row>
    <row r="757" spans="5:5">
      <c r="E757" s="19"/>
    </row>
    <row r="758" spans="5:5">
      <c r="E758" s="19"/>
    </row>
    <row r="759" spans="5:5">
      <c r="E759" s="19"/>
    </row>
    <row r="760" spans="5:5">
      <c r="E760" s="19"/>
    </row>
    <row r="761" spans="5:5">
      <c r="E761" s="19"/>
    </row>
    <row r="762" spans="5:5">
      <c r="E762" s="19"/>
    </row>
    <row r="763" spans="5:5">
      <c r="E763" s="19"/>
    </row>
    <row r="764" spans="5:5">
      <c r="E764" s="19"/>
    </row>
    <row r="765" spans="5:5">
      <c r="E765" s="19"/>
    </row>
    <row r="766" spans="5:5">
      <c r="E766" s="19"/>
    </row>
    <row r="767" spans="5:5">
      <c r="E767" s="19"/>
    </row>
    <row r="768" spans="5:5">
      <c r="E768" s="19"/>
    </row>
    <row r="769" spans="5:5">
      <c r="E769" s="19"/>
    </row>
    <row r="770" spans="5:5">
      <c r="E770" s="19"/>
    </row>
    <row r="771" spans="5:5">
      <c r="E771" s="19"/>
    </row>
    <row r="772" spans="5:5">
      <c r="E772" s="19"/>
    </row>
    <row r="773" spans="5:5">
      <c r="E773" s="19"/>
    </row>
    <row r="774" spans="5:5">
      <c r="E774" s="19"/>
    </row>
    <row r="775" spans="5:5">
      <c r="E775" s="19"/>
    </row>
    <row r="776" spans="5:5">
      <c r="E776" s="19"/>
    </row>
    <row r="777" spans="5:5">
      <c r="E777" s="19"/>
    </row>
    <row r="778" spans="5:5">
      <c r="E778" s="19"/>
    </row>
    <row r="779" spans="5:5">
      <c r="E779" s="19"/>
    </row>
    <row r="780" spans="5:5">
      <c r="E780" s="19"/>
    </row>
    <row r="781" spans="5:5">
      <c r="E781" s="19"/>
    </row>
    <row r="782" spans="5:5">
      <c r="E782" s="19"/>
    </row>
    <row r="783" spans="5:5">
      <c r="E783" s="19"/>
    </row>
    <row r="784" spans="5:5">
      <c r="E784" s="19"/>
    </row>
    <row r="785" spans="5:5">
      <c r="E785" s="19"/>
    </row>
    <row r="786" spans="5:5">
      <c r="E786" s="19"/>
    </row>
    <row r="787" spans="5:5">
      <c r="E787" s="19"/>
    </row>
    <row r="788" spans="5:5">
      <c r="E788" s="19"/>
    </row>
    <row r="789" spans="5:5">
      <c r="E789" s="19"/>
    </row>
    <row r="790" spans="5:5">
      <c r="E790" s="19"/>
    </row>
    <row r="791" spans="5:5">
      <c r="E791" s="19"/>
    </row>
    <row r="792" spans="5:5">
      <c r="E792" s="19"/>
    </row>
    <row r="793" spans="5:5">
      <c r="E793" s="19"/>
    </row>
    <row r="794" spans="5:5">
      <c r="E794" s="19"/>
    </row>
    <row r="795" spans="5:5">
      <c r="E795" s="19"/>
    </row>
    <row r="796" spans="5:5">
      <c r="E796" s="19"/>
    </row>
    <row r="797" spans="5:5">
      <c r="E797" s="19"/>
    </row>
    <row r="798" spans="5:5">
      <c r="E798" s="19"/>
    </row>
    <row r="799" spans="5:5">
      <c r="E799" s="19"/>
    </row>
    <row r="800" spans="5:5">
      <c r="E800" s="19"/>
    </row>
    <row r="801" spans="5:5">
      <c r="E801" s="19"/>
    </row>
    <row r="802" spans="5:5">
      <c r="E802" s="19"/>
    </row>
    <row r="803" spans="5:5">
      <c r="E803" s="19"/>
    </row>
    <row r="804" spans="5:5">
      <c r="E804" s="19"/>
    </row>
    <row r="805" spans="5:5">
      <c r="E805" s="19"/>
    </row>
    <row r="806" spans="5:5">
      <c r="E806" s="19"/>
    </row>
    <row r="807" spans="5:5">
      <c r="E807" s="19"/>
    </row>
    <row r="808" spans="5:5">
      <c r="E808" s="19"/>
    </row>
    <row r="809" spans="5:5">
      <c r="E809" s="19"/>
    </row>
    <row r="810" spans="5:5">
      <c r="E810" s="19"/>
    </row>
    <row r="811" spans="5:5">
      <c r="E811" s="19"/>
    </row>
    <row r="812" spans="5:5">
      <c r="E812" s="19"/>
    </row>
    <row r="813" spans="5:5">
      <c r="E813" s="19"/>
    </row>
    <row r="814" spans="5:5">
      <c r="E814" s="19"/>
    </row>
    <row r="815" spans="5:5">
      <c r="E815" s="19"/>
    </row>
    <row r="816" spans="5:5">
      <c r="E816" s="19"/>
    </row>
    <row r="817" spans="5:5">
      <c r="E817" s="19"/>
    </row>
    <row r="818" spans="5:5">
      <c r="E818" s="19"/>
    </row>
    <row r="819" spans="5:5">
      <c r="E819" s="19"/>
    </row>
    <row r="820" spans="5:5">
      <c r="E820" s="19"/>
    </row>
    <row r="821" spans="5:5">
      <c r="E821" s="19"/>
    </row>
    <row r="822" spans="5:5">
      <c r="E822" s="19"/>
    </row>
    <row r="823" spans="5:5">
      <c r="E823" s="19"/>
    </row>
    <row r="824" spans="5:5">
      <c r="E824" s="19"/>
    </row>
    <row r="825" spans="5:5">
      <c r="E825" s="19"/>
    </row>
    <row r="826" spans="5:5">
      <c r="E826" s="19"/>
    </row>
    <row r="827" spans="5:5">
      <c r="E827" s="19"/>
    </row>
    <row r="828" spans="5:5">
      <c r="E828" s="19"/>
    </row>
    <row r="829" spans="5:5">
      <c r="E829" s="19"/>
    </row>
    <row r="830" spans="5:5">
      <c r="E830" s="19"/>
    </row>
    <row r="831" spans="5:5">
      <c r="E831" s="19"/>
    </row>
    <row r="832" spans="5:5">
      <c r="E832" s="19"/>
    </row>
    <row r="833" spans="5:5">
      <c r="E833" s="19"/>
    </row>
    <row r="834" spans="5:5">
      <c r="E834" s="19"/>
    </row>
    <row r="835" spans="5:5">
      <c r="E835" s="19"/>
    </row>
    <row r="836" spans="5:5">
      <c r="E836" s="19"/>
    </row>
    <row r="837" spans="5:5">
      <c r="E837" s="19"/>
    </row>
    <row r="838" spans="5:5">
      <c r="E838" s="19"/>
    </row>
    <row r="839" spans="5:5">
      <c r="E839" s="19"/>
    </row>
    <row r="840" spans="5:5">
      <c r="E840" s="19"/>
    </row>
    <row r="841" spans="5:5">
      <c r="E841" s="19"/>
    </row>
    <row r="842" spans="5:5">
      <c r="E842" s="19"/>
    </row>
    <row r="843" spans="5:5">
      <c r="E843" s="19"/>
    </row>
    <row r="844" spans="5:5">
      <c r="E844" s="19"/>
    </row>
    <row r="845" spans="5:5">
      <c r="E845" s="19"/>
    </row>
    <row r="846" spans="5:5">
      <c r="E846" s="19"/>
    </row>
    <row r="847" spans="5:5">
      <c r="E847" s="19"/>
    </row>
    <row r="848" spans="5:5">
      <c r="E848" s="19"/>
    </row>
    <row r="849" spans="5:5">
      <c r="E849" s="19"/>
    </row>
    <row r="850" spans="5:5">
      <c r="E850" s="19"/>
    </row>
    <row r="851" spans="5:5">
      <c r="E851" s="19"/>
    </row>
    <row r="852" spans="5:5">
      <c r="E852" s="19"/>
    </row>
    <row r="853" spans="5:5">
      <c r="E853" s="19"/>
    </row>
    <row r="854" spans="5:5">
      <c r="E854" s="19"/>
    </row>
    <row r="855" spans="5:5">
      <c r="E855" s="19"/>
    </row>
    <row r="856" spans="5:5">
      <c r="E856" s="19"/>
    </row>
    <row r="857" spans="5:5">
      <c r="E857" s="19"/>
    </row>
    <row r="858" spans="5:5">
      <c r="E858" s="19"/>
    </row>
  </sheetData>
  <conditionalFormatting sqref="G229:G237 F229:F234 F236:F237 F227:J227 H237:K237 H229:H231 E238:J238 H233:H236 I229:J236 F212:J220">
    <cfRule type="expression" dxfId="2" priority="1">
      <formula>#REF!=0</formula>
    </cfRule>
  </conditionalFormatting>
  <printOptions headings="1"/>
  <pageMargins left="0.23622047244094491" right="0.27559055118110237" top="0.74803149606299213" bottom="0.74803149606299213" header="0.31496062992125984" footer="0.31496062992125984"/>
  <pageSetup paperSize="8" scale="53" fitToHeight="0" orientation="portrait" r:id="rId1"/>
  <drawing r:id="rId2"/>
  <legacyDrawing r:id="rId3"/>
</worksheet>
</file>

<file path=xl/worksheets/sheet19.xml><?xml version="1.0" encoding="utf-8"?>
<worksheet xmlns="http://schemas.openxmlformats.org/spreadsheetml/2006/main" xmlns:r="http://schemas.openxmlformats.org/officeDocument/2006/relationships">
  <sheetPr codeName="Sheet31">
    <tabColor theme="9" tint="0.79998168889431442"/>
    <pageSetUpPr fitToPage="1"/>
  </sheetPr>
  <dimension ref="A1:Z858"/>
  <sheetViews>
    <sheetView zoomScaleNormal="100" workbookViewId="0"/>
  </sheetViews>
  <sheetFormatPr defaultRowHeight="15"/>
  <cols>
    <col min="1" max="2" width="4.140625" style="22" customWidth="1"/>
    <col min="3" max="3" width="47.5703125" style="22" customWidth="1"/>
    <col min="4" max="4" width="13.5703125" style="22" customWidth="1"/>
    <col min="5" max="5" width="10.5703125" style="22" customWidth="1"/>
    <col min="6" max="6" width="13.42578125" style="22" customWidth="1"/>
    <col min="7" max="7" width="10.42578125" style="22" customWidth="1"/>
    <col min="8" max="8" width="11.5703125" style="22" customWidth="1"/>
    <col min="9" max="9" width="10.28515625" style="22" customWidth="1"/>
    <col min="10" max="10" width="13.7109375" style="22" customWidth="1"/>
    <col min="11" max="11" width="11.28515625" style="22" customWidth="1"/>
    <col min="12" max="12" width="19.5703125" style="22" bestFit="1" customWidth="1"/>
    <col min="13" max="13" width="11.5703125" style="22" bestFit="1" customWidth="1"/>
    <col min="14" max="16384" width="9.140625" style="22"/>
  </cols>
  <sheetData>
    <row r="1" spans="1:16" ht="23.25">
      <c r="A1" s="27"/>
      <c r="C1" s="1" t="str">
        <f ca="1">OFFSET(Inputs_Anchor,0,G1+1)</f>
        <v xml:space="preserve">Vector </v>
      </c>
      <c r="D1" s="1"/>
      <c r="E1" s="1"/>
      <c r="F1" s="4" t="s">
        <v>109</v>
      </c>
      <c r="G1" s="5">
        <v>15</v>
      </c>
      <c r="H1" s="1"/>
      <c r="I1" s="1"/>
      <c r="J1" s="1"/>
      <c r="K1" s="1"/>
      <c r="L1" s="1"/>
      <c r="M1" s="1"/>
      <c r="N1" s="1"/>
      <c r="O1" s="1"/>
      <c r="P1" s="1"/>
    </row>
    <row r="2" spans="1:16">
      <c r="A2" s="27"/>
      <c r="L2" s="26"/>
    </row>
    <row r="3" spans="1:16" ht="23.25">
      <c r="C3" s="1" t="s">
        <v>3</v>
      </c>
      <c r="D3" s="1"/>
      <c r="E3" s="1"/>
      <c r="F3" s="1"/>
      <c r="G3" s="1"/>
      <c r="H3" s="1"/>
      <c r="I3" s="1"/>
      <c r="J3" s="1"/>
      <c r="K3" s="1"/>
      <c r="L3" s="1"/>
      <c r="M3" s="1"/>
      <c r="N3" s="1"/>
      <c r="O3" s="1"/>
      <c r="P3" s="1"/>
    </row>
    <row r="4" spans="1:16">
      <c r="A4" s="27"/>
      <c r="B4" s="27"/>
      <c r="C4" s="27"/>
      <c r="D4" s="147" t="s">
        <v>57</v>
      </c>
      <c r="E4" s="147" t="s">
        <v>58</v>
      </c>
      <c r="F4" s="27"/>
      <c r="G4" s="27"/>
      <c r="H4" s="148" t="s">
        <v>5</v>
      </c>
      <c r="I4" s="27"/>
      <c r="J4" s="27"/>
      <c r="K4" s="27"/>
      <c r="L4" s="27"/>
    </row>
    <row r="5" spans="1:16">
      <c r="A5" s="30"/>
      <c r="B5" s="27"/>
      <c r="C5" s="27"/>
      <c r="D5" s="147" t="s">
        <v>56</v>
      </c>
      <c r="E5" s="147"/>
      <c r="F5" s="27"/>
      <c r="G5" s="27"/>
      <c r="H5" s="27"/>
      <c r="I5" s="27"/>
      <c r="J5" s="27"/>
      <c r="K5" s="27"/>
      <c r="L5" s="27"/>
    </row>
    <row r="6" spans="1:16">
      <c r="A6" s="119"/>
      <c r="B6" s="50"/>
      <c r="C6" s="99" t="s">
        <v>1</v>
      </c>
      <c r="D6" s="50"/>
      <c r="E6" s="99" t="str">
        <f>Inputs!D11</f>
        <v>2009/10</v>
      </c>
      <c r="F6" s="99" t="str">
        <f>Inputs!E11</f>
        <v>2010/11</v>
      </c>
      <c r="G6" s="99" t="str">
        <f>Inputs!F11</f>
        <v>2011/12</v>
      </c>
      <c r="H6" s="99" t="str">
        <f>Inputs!G11</f>
        <v>2012/13</v>
      </c>
      <c r="I6" s="99" t="str">
        <f>Inputs!H11</f>
        <v>2013/14</v>
      </c>
      <c r="J6" s="99" t="str">
        <f>Inputs!I11</f>
        <v>2014/15</v>
      </c>
      <c r="K6" s="99"/>
      <c r="L6" s="67"/>
    </row>
    <row r="7" spans="1:16">
      <c r="A7" s="119"/>
      <c r="B7" s="50"/>
      <c r="C7" s="50" t="s">
        <v>59</v>
      </c>
      <c r="D7" s="50"/>
      <c r="E7" s="125">
        <v>1</v>
      </c>
      <c r="F7" s="125">
        <v>2</v>
      </c>
      <c r="G7" s="125">
        <v>3</v>
      </c>
      <c r="H7" s="125">
        <v>4</v>
      </c>
      <c r="I7" s="125">
        <v>5</v>
      </c>
      <c r="J7" s="125">
        <v>6</v>
      </c>
      <c r="K7" s="125"/>
      <c r="L7" s="67"/>
    </row>
    <row r="8" spans="1:16">
      <c r="A8" s="119">
        <v>1</v>
      </c>
      <c r="B8" s="149"/>
      <c r="C8" s="50" t="str">
        <f>Inputs!B20</f>
        <v>Line Revenue through Prices</v>
      </c>
      <c r="D8" s="50"/>
      <c r="E8" s="47">
        <f t="shared" ref="E8:E27" si="0">INDEX(InputsBlock,A8+1,$G$1+2)</f>
        <v>529065</v>
      </c>
      <c r="F8" s="50"/>
      <c r="G8" s="50"/>
      <c r="H8" s="50"/>
      <c r="I8" s="50"/>
      <c r="J8" s="50"/>
      <c r="K8" s="50"/>
      <c r="L8" s="27"/>
    </row>
    <row r="9" spans="1:16">
      <c r="A9" s="119">
        <f t="shared" ref="A9:A27" si="1">A8+1</f>
        <v>2</v>
      </c>
      <c r="B9" s="149"/>
      <c r="C9" s="50" t="str">
        <f>Inputs!B21</f>
        <v>Pass-through costs</v>
      </c>
      <c r="D9" s="50"/>
      <c r="E9" s="47">
        <f t="shared" si="0"/>
        <v>5071</v>
      </c>
      <c r="F9" s="50"/>
      <c r="G9" s="50"/>
      <c r="H9" s="50"/>
      <c r="I9" s="50"/>
      <c r="J9" s="50"/>
      <c r="K9" s="50"/>
      <c r="L9" s="27"/>
    </row>
    <row r="10" spans="1:16">
      <c r="A10" s="119">
        <f t="shared" si="1"/>
        <v>3</v>
      </c>
      <c r="B10" s="149"/>
      <c r="C10" s="50" t="str">
        <f>Inputs!B22</f>
        <v>Recoverable costs</v>
      </c>
      <c r="D10" s="50"/>
      <c r="E10" s="47">
        <f t="shared" si="0"/>
        <v>144726</v>
      </c>
      <c r="F10" s="50"/>
      <c r="G10" s="50"/>
      <c r="H10" s="50"/>
      <c r="I10" s="50"/>
      <c r="J10" s="50"/>
      <c r="K10" s="50"/>
      <c r="L10" s="27"/>
    </row>
    <row r="11" spans="1:16">
      <c r="A11" s="119">
        <f t="shared" si="1"/>
        <v>4</v>
      </c>
      <c r="B11" s="149"/>
      <c r="C11" s="50" t="str">
        <f>Inputs!B23</f>
        <v>Opening RAB</v>
      </c>
      <c r="D11" s="50"/>
      <c r="E11" s="47">
        <f t="shared" si="0"/>
        <v>2273866.0351738334</v>
      </c>
      <c r="F11" s="50"/>
      <c r="G11" s="50"/>
      <c r="H11" s="50"/>
      <c r="I11" s="50"/>
      <c r="J11" s="50"/>
      <c r="K11" s="50"/>
      <c r="L11" s="150"/>
    </row>
    <row r="12" spans="1:16">
      <c r="A12" s="119">
        <f t="shared" si="1"/>
        <v>5</v>
      </c>
      <c r="B12" s="149"/>
      <c r="C12" s="50" t="str">
        <f>Inputs!B24</f>
        <v>Lost assets</v>
      </c>
      <c r="D12" s="50"/>
      <c r="E12" s="47">
        <f t="shared" si="0"/>
        <v>0</v>
      </c>
      <c r="F12" s="50"/>
      <c r="G12" s="50"/>
      <c r="H12" s="50"/>
      <c r="I12" s="50"/>
      <c r="J12" s="50"/>
      <c r="K12" s="50"/>
      <c r="L12" s="150"/>
    </row>
    <row r="13" spans="1:16">
      <c r="A13" s="119">
        <f t="shared" si="1"/>
        <v>6</v>
      </c>
      <c r="B13" s="149"/>
      <c r="C13" s="50" t="str">
        <f>Inputs!B25</f>
        <v>Found Assets</v>
      </c>
      <c r="D13" s="50"/>
      <c r="E13" s="47">
        <f t="shared" si="0"/>
        <v>0</v>
      </c>
      <c r="F13" s="50"/>
      <c r="G13" s="50"/>
      <c r="H13" s="50"/>
      <c r="I13" s="50"/>
      <c r="J13" s="50"/>
      <c r="K13" s="50"/>
      <c r="L13" s="150"/>
    </row>
    <row r="14" spans="1:16">
      <c r="A14" s="119">
        <f t="shared" si="1"/>
        <v>7</v>
      </c>
      <c r="B14" s="149"/>
      <c r="C14" s="50" t="str">
        <f>Inputs!B26</f>
        <v>Total Depreciation</v>
      </c>
      <c r="D14" s="50"/>
      <c r="E14" s="47">
        <f t="shared" si="0"/>
        <v>76573.310789910291</v>
      </c>
      <c r="F14" s="47"/>
      <c r="G14" s="191" t="s">
        <v>280</v>
      </c>
      <c r="H14" s="50"/>
      <c r="I14" s="50"/>
      <c r="J14" s="50"/>
      <c r="K14" s="50"/>
      <c r="L14" s="27"/>
    </row>
    <row r="15" spans="1:16">
      <c r="A15" s="119">
        <f t="shared" si="1"/>
        <v>8</v>
      </c>
      <c r="B15" s="149"/>
      <c r="C15" s="50" t="str">
        <f>Inputs!B27</f>
        <v>RAB of disposed assets</v>
      </c>
      <c r="D15" s="50"/>
      <c r="E15" s="47">
        <f t="shared" si="0"/>
        <v>8957</v>
      </c>
      <c r="F15" s="50"/>
      <c r="G15" s="175" t="s">
        <v>281</v>
      </c>
      <c r="H15" s="50"/>
      <c r="I15" s="50"/>
      <c r="J15" s="50"/>
      <c r="K15" s="50"/>
      <c r="L15" s="27"/>
    </row>
    <row r="16" spans="1:16">
      <c r="A16" s="119">
        <f t="shared" si="1"/>
        <v>9</v>
      </c>
      <c r="B16" s="149"/>
      <c r="C16" s="50" t="str">
        <f>Inputs!B28</f>
        <v>Discretionary discounts &amp;  rebates</v>
      </c>
      <c r="D16" s="50"/>
      <c r="E16" s="47">
        <f t="shared" si="0"/>
        <v>0</v>
      </c>
      <c r="F16" s="50"/>
      <c r="G16" s="175" t="s">
        <v>282</v>
      </c>
      <c r="H16" s="50"/>
      <c r="I16" s="50"/>
      <c r="J16" s="50"/>
      <c r="K16" s="50"/>
      <c r="L16" s="27"/>
    </row>
    <row r="17" spans="1:22">
      <c r="A17" s="119">
        <f t="shared" si="1"/>
        <v>10</v>
      </c>
      <c r="B17" s="149"/>
      <c r="C17" s="50" t="str">
        <f>Inputs!B29</f>
        <v>Tax Depreciation</v>
      </c>
      <c r="D17" s="50"/>
      <c r="E17" s="47">
        <f t="shared" si="0"/>
        <v>82690</v>
      </c>
      <c r="F17" s="50"/>
      <c r="G17" s="175" t="s">
        <v>283</v>
      </c>
      <c r="H17" s="50"/>
      <c r="I17" s="50"/>
      <c r="J17" s="50"/>
      <c r="K17" s="50"/>
      <c r="L17" s="27"/>
    </row>
    <row r="18" spans="1:22">
      <c r="A18" s="119">
        <f t="shared" si="1"/>
        <v>11</v>
      </c>
      <c r="B18" s="149"/>
      <c r="C18" s="50" t="str">
        <f>Inputs!B30</f>
        <v>Opening regulatory tax asset value</v>
      </c>
      <c r="D18" s="50"/>
      <c r="E18" s="47">
        <f t="shared" si="0"/>
        <v>847206</v>
      </c>
      <c r="F18" s="50"/>
      <c r="G18" s="50"/>
      <c r="H18" s="50"/>
      <c r="I18" s="50"/>
      <c r="J18" s="50"/>
      <c r="K18" s="50"/>
      <c r="L18" s="27"/>
    </row>
    <row r="19" spans="1:22">
      <c r="A19" s="119">
        <f t="shared" si="1"/>
        <v>12</v>
      </c>
      <c r="B19" s="149"/>
      <c r="C19" s="50" t="str">
        <f>Inputs!B31</f>
        <v>Weighted Average Remaining Life at year-end</v>
      </c>
      <c r="D19" s="50"/>
      <c r="E19" s="47">
        <f t="shared" si="0"/>
        <v>39.85</v>
      </c>
      <c r="F19" s="50"/>
      <c r="G19" s="50"/>
      <c r="H19" s="50"/>
      <c r="I19" s="50"/>
      <c r="J19" s="50"/>
      <c r="K19" s="50"/>
      <c r="L19" s="27"/>
    </row>
    <row r="20" spans="1:22">
      <c r="A20" s="119">
        <f t="shared" si="1"/>
        <v>13</v>
      </c>
      <c r="B20" s="149"/>
      <c r="C20" s="50" t="str">
        <f>Inputs!B32</f>
        <v>Term Credit Spread Differential Allowance</v>
      </c>
      <c r="D20" s="50"/>
      <c r="E20" s="47">
        <f t="shared" si="0"/>
        <v>479</v>
      </c>
      <c r="F20" s="50"/>
      <c r="G20" s="50"/>
      <c r="H20" s="50"/>
      <c r="I20" s="50"/>
      <c r="J20" s="50"/>
      <c r="K20" s="50"/>
      <c r="L20" s="27"/>
    </row>
    <row r="21" spans="1:22">
      <c r="A21" s="119">
        <f t="shared" si="1"/>
        <v>14</v>
      </c>
      <c r="B21" s="149"/>
      <c r="C21" s="50" t="s">
        <v>98</v>
      </c>
      <c r="D21" s="50"/>
      <c r="E21" s="47">
        <f t="shared" si="0"/>
        <v>131577</v>
      </c>
      <c r="F21" s="50"/>
      <c r="G21" s="50"/>
      <c r="H21" s="50"/>
      <c r="I21" s="50"/>
      <c r="J21" s="50"/>
      <c r="K21" s="50"/>
      <c r="L21" s="27"/>
    </row>
    <row r="22" spans="1:22">
      <c r="A22" s="119">
        <f t="shared" si="1"/>
        <v>15</v>
      </c>
      <c r="B22" s="149"/>
      <c r="C22" s="50" t="str">
        <f>Inputs!B34</f>
        <v>Operating expenditure 2009/10</v>
      </c>
      <c r="D22" s="50"/>
      <c r="E22" s="47">
        <f t="shared" si="0"/>
        <v>102194</v>
      </c>
      <c r="F22" s="50"/>
      <c r="G22" s="50"/>
      <c r="H22" s="50"/>
      <c r="I22" s="50"/>
      <c r="J22" s="50"/>
      <c r="K22" s="50"/>
      <c r="L22" s="27"/>
    </row>
    <row r="23" spans="1:22">
      <c r="A23" s="119">
        <f t="shared" si="1"/>
        <v>16</v>
      </c>
      <c r="B23" s="149"/>
      <c r="C23" s="50" t="str">
        <f>Inputs!B35</f>
        <v>Other reg income (avg of 2008 to 11, in 2009/10 $)</v>
      </c>
      <c r="D23" s="50"/>
      <c r="E23" s="47">
        <f t="shared" si="0"/>
        <v>6717.0275661577343</v>
      </c>
      <c r="F23" s="50"/>
      <c r="G23" s="50"/>
      <c r="H23" s="50"/>
      <c r="I23" s="50"/>
      <c r="J23" s="50"/>
      <c r="K23" s="49"/>
      <c r="L23" s="27"/>
    </row>
    <row r="24" spans="1:22">
      <c r="A24" s="119">
        <f t="shared" si="1"/>
        <v>17</v>
      </c>
      <c r="B24" s="149"/>
      <c r="C24" s="119" t="str">
        <f>Inputs!B36</f>
        <v>Allowable notional revenue 2012/13</v>
      </c>
      <c r="D24" s="50"/>
      <c r="E24" s="47">
        <f t="shared" si="0"/>
        <v>428869.23757747904</v>
      </c>
      <c r="F24" s="50"/>
      <c r="G24" s="50"/>
      <c r="H24" s="50"/>
      <c r="I24" s="50"/>
      <c r="J24" s="50"/>
      <c r="K24" s="49"/>
      <c r="L24" s="27"/>
    </row>
    <row r="25" spans="1:22">
      <c r="A25" s="119">
        <f t="shared" si="1"/>
        <v>18</v>
      </c>
      <c r="B25" s="149"/>
      <c r="C25" s="119" t="str">
        <f>Inputs!B37</f>
        <v>Pass-through costs 2012/13</v>
      </c>
      <c r="D25" s="50"/>
      <c r="E25" s="47">
        <f t="shared" si="0"/>
        <v>185446.75099999999</v>
      </c>
      <c r="F25" s="50"/>
      <c r="G25" s="50"/>
      <c r="H25" s="50"/>
      <c r="I25" s="50"/>
      <c r="J25" s="50"/>
      <c r="K25" s="49"/>
      <c r="L25" s="27"/>
    </row>
    <row r="26" spans="1:22">
      <c r="A26" s="119">
        <f t="shared" si="1"/>
        <v>19</v>
      </c>
      <c r="B26" s="50"/>
      <c r="C26" s="50" t="str">
        <f>Inputs!B38</f>
        <v>Alternate X value to 2014/15</v>
      </c>
      <c r="D26" s="49"/>
      <c r="E26" s="151" t="str">
        <f t="shared" si="0"/>
        <v>IWX</v>
      </c>
      <c r="F26" s="50"/>
      <c r="G26" s="50"/>
      <c r="H26" s="50"/>
      <c r="I26" s="50"/>
      <c r="J26" s="50"/>
      <c r="K26" s="49"/>
      <c r="L26" s="27"/>
    </row>
    <row r="27" spans="1:22">
      <c r="A27" s="119">
        <f t="shared" si="1"/>
        <v>20</v>
      </c>
      <c r="B27" s="50"/>
      <c r="C27" s="50" t="str">
        <f>Inputs!B39</f>
        <v>Cap on growth of maximum allowable revenue</v>
      </c>
      <c r="D27" s="50"/>
      <c r="E27" s="151">
        <f t="shared" si="0"/>
        <v>0.2</v>
      </c>
      <c r="F27" s="50"/>
      <c r="G27" s="50"/>
      <c r="H27" s="50"/>
      <c r="I27" s="50"/>
      <c r="J27" s="50"/>
      <c r="K27" s="49"/>
      <c r="L27" s="27"/>
    </row>
    <row r="28" spans="1:22">
      <c r="A28" s="119"/>
      <c r="B28" s="149"/>
      <c r="C28" s="50" t="s">
        <v>30</v>
      </c>
      <c r="D28" s="50"/>
      <c r="E28" s="130">
        <f>E22</f>
        <v>102194</v>
      </c>
      <c r="F28" s="47">
        <f>INDEX(OpexBlock,F7-1,$G$1)</f>
        <v>105963.82868465818</v>
      </c>
      <c r="G28" s="47">
        <f>INDEX(OpexBlock,G7-1,$G$1)</f>
        <v>110738.02862403366</v>
      </c>
      <c r="H28" s="47">
        <f>INDEX(OpexBlock,H7-1,$G$1)</f>
        <v>114703.18207109997</v>
      </c>
      <c r="I28" s="47">
        <f>INDEX(OpexBlock,I7-1,$G$1)</f>
        <v>118910.67905112075</v>
      </c>
      <c r="J28" s="47">
        <f>INDEX(OpexBlock,J7-1,$G$1)</f>
        <v>123513.87046710651</v>
      </c>
      <c r="K28" s="49"/>
      <c r="L28" s="50"/>
      <c r="M28" s="15"/>
    </row>
    <row r="29" spans="1:22">
      <c r="A29" s="119"/>
      <c r="B29" s="149"/>
      <c r="C29" s="50" t="s">
        <v>158</v>
      </c>
      <c r="D29" s="47"/>
      <c r="E29" s="130">
        <f>E21</f>
        <v>131577</v>
      </c>
      <c r="F29" s="47">
        <f>INDEX(CommAssetsBlock,F7-1,$G$1)</f>
        <v>120019.6282933935</v>
      </c>
      <c r="G29" s="47">
        <f>INDEX(CommAssetsBlock,G7-1,$G$1)</f>
        <v>131068.61044637936</v>
      </c>
      <c r="H29" s="47">
        <f>INDEX(CommAssetsBlock,H7-1,$G$1)</f>
        <v>142882.94195931772</v>
      </c>
      <c r="I29" s="47">
        <f>INDEX(CommAssetsBlock,I7-1,$G$1)</f>
        <v>152682.845248414</v>
      </c>
      <c r="J29" s="47">
        <f>INDEX(CommAssetsBlock,J7-1,$G$1)</f>
        <v>146316.79520482279</v>
      </c>
      <c r="K29" s="49"/>
      <c r="L29" s="50"/>
      <c r="M29" s="15"/>
    </row>
    <row r="30" spans="1:22">
      <c r="A30" s="119"/>
      <c r="B30" s="149"/>
      <c r="C30" s="50" t="s">
        <v>200</v>
      </c>
      <c r="D30" s="47"/>
      <c r="E30" s="49"/>
      <c r="F30" s="110">
        <f>INDEX(ConstPriceRevGrwth,F$7-1,$G$1)</f>
        <v>1.6719424191413187E-2</v>
      </c>
      <c r="G30" s="110">
        <f>INDEX(ConstPriceRevGrwth,G$7-1,$G$1)</f>
        <v>1.6719424191413187E-2</v>
      </c>
      <c r="H30" s="110">
        <f>INDEX(ConstPriceRevGrwth,H$7-1,$G$1)</f>
        <v>1.6719424191413187E-2</v>
      </c>
      <c r="I30" s="110">
        <f>INDEX(ConstPriceRevGrwth,I$7-1,$G$1)</f>
        <v>1.6719424191413187E-2</v>
      </c>
      <c r="J30" s="110">
        <f>INDEX(ConstPriceRevGrwth,J$7-1,$G$1)</f>
        <v>1.6719424191413187E-2</v>
      </c>
      <c r="K30" s="49"/>
      <c r="L30" s="50"/>
      <c r="M30" s="15"/>
      <c r="U30" s="15"/>
      <c r="V30" s="15"/>
    </row>
    <row r="31" spans="1:22" ht="15.75" thickBot="1">
      <c r="A31" s="119"/>
      <c r="B31" s="149"/>
      <c r="C31" s="50"/>
      <c r="D31" s="47"/>
      <c r="E31" s="49"/>
      <c r="F31" s="50"/>
      <c r="G31" s="49"/>
      <c r="H31" s="49"/>
      <c r="I31" s="49"/>
      <c r="J31" s="49"/>
      <c r="K31" s="49"/>
      <c r="L31" s="27"/>
      <c r="M31" s="15"/>
      <c r="U31" s="15"/>
      <c r="V31" s="15"/>
    </row>
    <row r="32" spans="1:22" ht="16.5" thickBot="1">
      <c r="A32" s="119"/>
      <c r="B32" s="149"/>
      <c r="C32" s="121" t="s">
        <v>182</v>
      </c>
      <c r="D32" s="47"/>
      <c r="E32" s="49"/>
      <c r="F32" s="50"/>
      <c r="G32" s="49"/>
      <c r="H32" s="49"/>
      <c r="I32" s="49"/>
      <c r="J32" s="49"/>
      <c r="K32" s="49"/>
      <c r="L32" s="195" t="s">
        <v>322</v>
      </c>
      <c r="M32" s="111"/>
      <c r="N32" s="34"/>
      <c r="O32" s="34"/>
      <c r="P32" s="34"/>
      <c r="Q32" s="34"/>
      <c r="R32" s="34"/>
      <c r="S32" s="34"/>
      <c r="T32" s="34"/>
      <c r="U32" s="34"/>
      <c r="V32" s="35"/>
    </row>
    <row r="33" spans="1:26">
      <c r="A33" s="119"/>
      <c r="B33" s="149"/>
      <c r="C33" s="122" t="str">
        <f>Inputs!B13</f>
        <v>2009 ΔCPI, 2 index, no lag, no GST adjustment</v>
      </c>
      <c r="D33" s="47"/>
      <c r="E33" s="49">
        <f>Inputs!D13</f>
        <v>1.7233850022212005E-2</v>
      </c>
      <c r="F33" s="49">
        <f>Inputs!E13</f>
        <v>1.9812209526758329E-2</v>
      </c>
      <c r="G33" s="49">
        <f>Inputs!F13</f>
        <v>2.4339880629970168E-2</v>
      </c>
      <c r="H33" s="49">
        <f>Inputs!G13</f>
        <v>2.2893253753313525E-2</v>
      </c>
      <c r="I33" s="49">
        <f>Inputs!H13</f>
        <v>2.144662687665666E-2</v>
      </c>
      <c r="J33" s="49">
        <f>Inputs!I13</f>
        <v>2.0000000000000018E-2</v>
      </c>
      <c r="K33" s="50"/>
      <c r="L33" s="196" t="s">
        <v>194</v>
      </c>
      <c r="M33" s="50"/>
      <c r="N33" s="15"/>
      <c r="O33" s="15"/>
      <c r="P33" s="15"/>
      <c r="Q33" s="15"/>
      <c r="R33" s="15"/>
      <c r="S33" s="15"/>
      <c r="T33" s="15"/>
      <c r="U33" s="15"/>
      <c r="V33" s="29"/>
    </row>
    <row r="34" spans="1:26">
      <c r="A34" s="119"/>
      <c r="B34" s="149"/>
      <c r="C34" s="122" t="str">
        <f>Inputs!B14</f>
        <v>2012 ΔCPI, 2 index, no lag, no GST adjustment</v>
      </c>
      <c r="D34" s="47"/>
      <c r="E34" s="49"/>
      <c r="F34" s="49">
        <f>Inputs!E14</f>
        <v>4.4667274384685429E-2</v>
      </c>
      <c r="G34" s="49">
        <f>Inputs!F14</f>
        <v>1.5706806282722585E-2</v>
      </c>
      <c r="H34" s="49">
        <f>Inputs!G14</f>
        <v>1.8041237113401998E-2</v>
      </c>
      <c r="I34" s="49">
        <f>Inputs!H14</f>
        <v>1.7721518987341867E-2</v>
      </c>
      <c r="J34" s="49">
        <f>Inputs!I14</f>
        <v>2.3217247097844007E-2</v>
      </c>
      <c r="K34" s="50"/>
      <c r="L34" s="196" t="s">
        <v>320</v>
      </c>
      <c r="M34" s="50"/>
      <c r="N34" s="15"/>
      <c r="O34" s="15"/>
      <c r="P34" s="15"/>
      <c r="Q34" s="15"/>
      <c r="R34" s="15"/>
      <c r="S34" s="15"/>
      <c r="T34" s="15"/>
      <c r="U34" s="15"/>
      <c r="V34" s="29"/>
    </row>
    <row r="35" spans="1:26">
      <c r="A35" s="119"/>
      <c r="B35" s="149"/>
      <c r="C35" s="122" t="str">
        <f>Inputs!B15</f>
        <v>2009 ΔCPI, 8 index, lagged, no GST adjustment</v>
      </c>
      <c r="D35" s="47"/>
      <c r="E35" s="49"/>
      <c r="F35" s="49"/>
      <c r="G35" s="49">
        <f>Inputs!F15</f>
        <v>1.6991832174541255E-2</v>
      </c>
      <c r="H35" s="49">
        <f>Inputs!G15</f>
        <v>2.0741514169093644E-2</v>
      </c>
      <c r="I35" s="49">
        <f>Inputs!H15</f>
        <v>2.3759818812291389E-2</v>
      </c>
      <c r="J35" s="49">
        <f>Inputs!I15</f>
        <v>2.2164443909808984E-2</v>
      </c>
      <c r="K35" s="50"/>
      <c r="L35" s="196" t="s">
        <v>321</v>
      </c>
      <c r="M35" s="50"/>
      <c r="N35" s="15"/>
      <c r="O35" s="15"/>
      <c r="P35" s="15"/>
      <c r="Q35" s="15"/>
      <c r="R35" s="15"/>
      <c r="S35" s="15"/>
      <c r="T35" s="15"/>
      <c r="U35" s="15"/>
      <c r="V35" s="29"/>
    </row>
    <row r="36" spans="1:26">
      <c r="A36" s="149"/>
      <c r="B36" s="149"/>
      <c r="C36" s="122" t="str">
        <f>Inputs!B16</f>
        <v>2012 ΔCPI, 8 index, lagged, no GST adjustment</v>
      </c>
      <c r="D36" s="50"/>
      <c r="E36" s="49"/>
      <c r="F36" s="49">
        <f>Inputs!E16</f>
        <v>2.465039108793543E-2</v>
      </c>
      <c r="G36" s="49">
        <f>Inputs!F16</f>
        <v>1.7811704834605591E-2</v>
      </c>
      <c r="H36" s="49">
        <f>Inputs!G16</f>
        <v>4.5909090909090899E-2</v>
      </c>
      <c r="I36" s="49">
        <f>Inputs!H16</f>
        <v>1.2820512820512775E-2</v>
      </c>
      <c r="J36" s="49">
        <f>Inputs!I16</f>
        <v>1.9725095732576747E-2</v>
      </c>
      <c r="K36" s="50"/>
      <c r="L36" s="196" t="s">
        <v>365</v>
      </c>
      <c r="M36" s="50"/>
      <c r="N36" s="15"/>
      <c r="O36" s="15"/>
      <c r="P36" s="15"/>
      <c r="Q36" s="15"/>
      <c r="R36" s="15"/>
      <c r="S36" s="15"/>
      <c r="T36" s="15"/>
      <c r="U36" s="15"/>
      <c r="V36" s="29"/>
    </row>
    <row r="37" spans="1:26" ht="15.75" thickBot="1">
      <c r="A37" s="149"/>
      <c r="B37" s="149"/>
      <c r="C37" s="122" t="str">
        <f>Inputs!B17</f>
        <v>2012 ΔCPI, 8 index, lagged, with GST adjustment</v>
      </c>
      <c r="D37" s="50"/>
      <c r="E37" s="49"/>
      <c r="F37" s="112">
        <f>Inputs!E17</f>
        <v>2.4650391087935652E-2</v>
      </c>
      <c r="G37" s="112">
        <f>Inputs!F17</f>
        <v>1.7811704834605369E-2</v>
      </c>
      <c r="H37" s="112">
        <f>Inputs!G17</f>
        <v>2.5401069518716568E-2</v>
      </c>
      <c r="I37" s="49">
        <f>Inputs!H17</f>
        <v>1.2820512820512775E-2</v>
      </c>
      <c r="J37" s="49">
        <f>Inputs!I17</f>
        <v>1.9725095732576747E-2</v>
      </c>
      <c r="K37" s="50"/>
      <c r="L37" s="219" t="s">
        <v>409</v>
      </c>
      <c r="M37" s="220"/>
      <c r="N37" s="220"/>
      <c r="O37" s="220"/>
      <c r="P37" s="220"/>
      <c r="Q37" s="220"/>
      <c r="R37" s="220"/>
      <c r="S37" s="220"/>
      <c r="T37" s="220"/>
      <c r="U37" s="220"/>
      <c r="V37" s="221"/>
    </row>
    <row r="38" spans="1:26">
      <c r="A38" s="149"/>
      <c r="B38" s="149"/>
      <c r="C38" s="122"/>
      <c r="D38" s="50"/>
      <c r="E38" s="49"/>
      <c r="F38" s="112"/>
      <c r="G38" s="112"/>
      <c r="H38" s="112"/>
      <c r="I38" s="49"/>
      <c r="J38" s="49"/>
      <c r="K38" s="49"/>
      <c r="L38" s="49"/>
      <c r="M38" s="49"/>
      <c r="N38" s="49"/>
      <c r="O38" s="49"/>
      <c r="P38" s="49"/>
      <c r="Q38" s="49"/>
      <c r="R38" s="49"/>
      <c r="S38" s="49"/>
      <c r="T38" s="49"/>
      <c r="U38" s="49"/>
      <c r="V38" s="49"/>
      <c r="W38" s="49"/>
      <c r="X38" s="49"/>
      <c r="Y38" s="49"/>
      <c r="Z38" s="49"/>
    </row>
    <row r="39" spans="1:26" ht="23.25">
      <c r="A39" s="50"/>
      <c r="B39" s="50"/>
      <c r="C39" s="1" t="s">
        <v>4</v>
      </c>
      <c r="D39" s="153" t="s">
        <v>36</v>
      </c>
      <c r="E39" s="153" t="s">
        <v>35</v>
      </c>
      <c r="F39" s="152"/>
      <c r="G39" s="152"/>
      <c r="H39" s="152"/>
      <c r="I39" s="152"/>
      <c r="J39" s="152"/>
      <c r="K39" s="152"/>
      <c r="L39" s="152"/>
      <c r="M39" s="152"/>
      <c r="N39" s="194"/>
      <c r="O39" s="194"/>
      <c r="P39" s="194"/>
    </row>
    <row r="40" spans="1:26">
      <c r="A40" s="50"/>
      <c r="B40" s="50"/>
      <c r="C40" s="50"/>
      <c r="D40" s="50"/>
      <c r="E40" s="154" t="s">
        <v>183</v>
      </c>
      <c r="F40" s="154" t="s">
        <v>184</v>
      </c>
      <c r="G40" s="154" t="s">
        <v>185</v>
      </c>
      <c r="H40" s="154" t="s">
        <v>186</v>
      </c>
      <c r="I40" s="154" t="s">
        <v>187</v>
      </c>
      <c r="J40" s="154" t="s">
        <v>188</v>
      </c>
      <c r="K40" s="154"/>
      <c r="L40" s="154"/>
      <c r="M40" s="48"/>
    </row>
    <row r="41" spans="1:26">
      <c r="A41" s="50"/>
      <c r="B41" s="50"/>
      <c r="C41" s="50" t="s">
        <v>129</v>
      </c>
      <c r="D41" s="50"/>
      <c r="E41" s="49">
        <f t="shared" ref="E41:J41" si="2">E33</f>
        <v>1.7233850022212005E-2</v>
      </c>
      <c r="F41" s="49">
        <f t="shared" si="2"/>
        <v>1.9812209526758329E-2</v>
      </c>
      <c r="G41" s="49">
        <f t="shared" si="2"/>
        <v>2.4339880629970168E-2</v>
      </c>
      <c r="H41" s="49">
        <f t="shared" si="2"/>
        <v>2.2893253753313525E-2</v>
      </c>
      <c r="I41" s="49">
        <f t="shared" si="2"/>
        <v>2.144662687665666E-2</v>
      </c>
      <c r="J41" s="49">
        <f t="shared" si="2"/>
        <v>2.0000000000000018E-2</v>
      </c>
      <c r="K41" s="51"/>
      <c r="L41" s="47"/>
      <c r="M41" s="15"/>
    </row>
    <row r="42" spans="1:26">
      <c r="A42" s="50"/>
      <c r="B42" s="50"/>
      <c r="C42" s="50" t="s">
        <v>163</v>
      </c>
      <c r="D42" s="50"/>
      <c r="E42" s="49"/>
      <c r="F42" s="49">
        <f>F34</f>
        <v>4.4667274384685429E-2</v>
      </c>
      <c r="G42" s="49">
        <f>G34</f>
        <v>1.5706806282722585E-2</v>
      </c>
      <c r="H42" s="49">
        <f>H34</f>
        <v>1.8041237113401998E-2</v>
      </c>
      <c r="I42" s="49">
        <f>I34</f>
        <v>1.7721518987341867E-2</v>
      </c>
      <c r="J42" s="49">
        <f>J34</f>
        <v>2.3217247097844007E-2</v>
      </c>
      <c r="K42" s="51"/>
      <c r="L42" s="47"/>
      <c r="M42" s="15"/>
    </row>
    <row r="43" spans="1:26">
      <c r="A43" s="50"/>
      <c r="B43" s="50"/>
      <c r="C43" s="50" t="s">
        <v>122</v>
      </c>
      <c r="D43" s="50"/>
      <c r="E43" s="130">
        <f>E23</f>
        <v>6717.0275661577343</v>
      </c>
      <c r="F43" s="47">
        <f>E43*(1+F42)</f>
        <v>7017.0588795047979</v>
      </c>
      <c r="G43" s="47">
        <f>F43*(1+G42)</f>
        <v>7127.2744639996381</v>
      </c>
      <c r="H43" s="47">
        <f>G43*(1+H42)</f>
        <v>7255.8593125769503</v>
      </c>
      <c r="I43" s="47">
        <f>H43*(1+I42)</f>
        <v>7384.4441611542643</v>
      </c>
      <c r="J43" s="47">
        <f>I43*(1+J42)</f>
        <v>7555.8906259240139</v>
      </c>
      <c r="K43" s="50"/>
      <c r="L43" s="47"/>
      <c r="M43" s="15"/>
    </row>
    <row r="44" spans="1:26">
      <c r="A44" s="50"/>
      <c r="B44" s="50"/>
      <c r="C44" s="50"/>
      <c r="D44" s="50"/>
      <c r="E44" s="51"/>
      <c r="F44" s="51"/>
      <c r="G44" s="51"/>
      <c r="H44" s="51"/>
      <c r="I44" s="51"/>
      <c r="J44" s="51"/>
      <c r="K44" s="51"/>
      <c r="L44" s="27"/>
      <c r="M44" s="15"/>
    </row>
    <row r="45" spans="1:26" ht="21">
      <c r="A45" s="50"/>
      <c r="B45" s="50"/>
      <c r="C45" s="155" t="s">
        <v>69</v>
      </c>
      <c r="D45" s="50"/>
      <c r="E45" s="50"/>
      <c r="F45" s="51"/>
      <c r="G45" s="51"/>
      <c r="H45" s="51"/>
      <c r="I45" s="51"/>
      <c r="J45" s="51"/>
      <c r="K45" s="51"/>
      <c r="L45" s="27"/>
      <c r="M45" s="15"/>
    </row>
    <row r="46" spans="1:26" ht="18">
      <c r="A46" s="50"/>
      <c r="B46" s="50"/>
      <c r="C46" s="50" t="s">
        <v>70</v>
      </c>
      <c r="D46" s="156">
        <f>'Timing Assumptions'!C23</f>
        <v>1.0428084742793051</v>
      </c>
      <c r="E46" s="50"/>
      <c r="F46" s="51"/>
      <c r="G46" s="51"/>
      <c r="H46" s="51"/>
      <c r="I46" s="51"/>
      <c r="J46" s="51"/>
      <c r="K46" s="51"/>
      <c r="L46" s="51"/>
      <c r="M46" s="15"/>
    </row>
    <row r="47" spans="1:26" ht="18">
      <c r="A47" s="50"/>
      <c r="B47" s="50"/>
      <c r="C47" s="50" t="s">
        <v>71</v>
      </c>
      <c r="D47" s="156">
        <f>'Timing Assumptions'!C24</f>
        <v>1.0428084742793051</v>
      </c>
      <c r="E47" s="50"/>
      <c r="F47" s="51"/>
      <c r="G47" s="51"/>
      <c r="H47" s="51"/>
      <c r="I47" s="51"/>
      <c r="J47" s="51"/>
      <c r="K47" s="51"/>
      <c r="L47" s="51"/>
      <c r="M47" s="15"/>
    </row>
    <row r="48" spans="1:26" ht="18">
      <c r="A48" s="50"/>
      <c r="B48" s="50"/>
      <c r="C48" s="50" t="s">
        <v>125</v>
      </c>
      <c r="D48" s="156">
        <f>'Timing Assumptions'!C25</f>
        <v>1.0428084742793051</v>
      </c>
      <c r="E48" s="50"/>
      <c r="F48" s="50"/>
      <c r="G48" s="51"/>
      <c r="H48" s="51"/>
      <c r="I48" s="51"/>
      <c r="J48" s="51"/>
      <c r="K48" s="95"/>
      <c r="L48" s="51"/>
      <c r="M48" s="15"/>
    </row>
    <row r="49" spans="1:16" ht="18">
      <c r="A49" s="50"/>
      <c r="B49" s="50"/>
      <c r="C49" s="50" t="s">
        <v>123</v>
      </c>
      <c r="D49" s="156">
        <f>'Timing Assumptions'!C26</f>
        <v>1.0428084742793051</v>
      </c>
      <c r="E49" s="50"/>
      <c r="F49" s="50"/>
      <c r="G49" s="51"/>
      <c r="H49" s="51"/>
      <c r="I49" s="51"/>
      <c r="J49" s="51"/>
      <c r="K49" s="95"/>
      <c r="L49" s="51"/>
      <c r="M49" s="15"/>
    </row>
    <row r="50" spans="1:16" ht="18">
      <c r="A50" s="50"/>
      <c r="B50" s="50"/>
      <c r="C50" s="50" t="s">
        <v>72</v>
      </c>
      <c r="D50" s="156">
        <f>'Timing Assumptions'!C27</f>
        <v>1.0346743941931567</v>
      </c>
      <c r="E50" s="51"/>
      <c r="F50" s="51"/>
      <c r="G50" s="51"/>
      <c r="H50" s="51"/>
      <c r="I50" s="50"/>
      <c r="J50" s="50"/>
      <c r="K50" s="95"/>
      <c r="L50" s="51"/>
      <c r="M50" s="15"/>
    </row>
    <row r="51" spans="1:16">
      <c r="A51" s="50"/>
      <c r="B51" s="50"/>
      <c r="C51" s="50"/>
      <c r="D51" s="50"/>
      <c r="E51" s="50"/>
      <c r="F51" s="50"/>
      <c r="G51" s="50"/>
      <c r="H51" s="50"/>
      <c r="I51" s="50"/>
      <c r="J51" s="50"/>
      <c r="K51" s="95"/>
      <c r="L51" s="27"/>
      <c r="M51" s="15"/>
    </row>
    <row r="52" spans="1:16" ht="21">
      <c r="A52" s="50"/>
      <c r="B52" s="50"/>
      <c r="C52" s="155" t="s">
        <v>105</v>
      </c>
      <c r="D52" s="155"/>
      <c r="E52" s="155"/>
      <c r="F52" s="155"/>
      <c r="G52" s="155"/>
      <c r="H52" s="155"/>
      <c r="I52" s="155"/>
      <c r="J52" s="155"/>
      <c r="K52" s="155"/>
      <c r="L52" s="157"/>
      <c r="M52" s="52"/>
      <c r="N52" s="2"/>
      <c r="O52" s="2"/>
      <c r="P52" s="2"/>
    </row>
    <row r="53" spans="1:16" ht="15.75">
      <c r="A53" s="50"/>
      <c r="B53" s="50"/>
      <c r="C53" s="158" t="s">
        <v>37</v>
      </c>
      <c r="D53" s="50"/>
      <c r="E53" s="159">
        <f>Inputs!D12</f>
        <v>0.3</v>
      </c>
      <c r="F53" s="159">
        <f>Inputs!E12</f>
        <v>0.3</v>
      </c>
      <c r="G53" s="159">
        <f>Inputs!F12</f>
        <v>0.28000000000000003</v>
      </c>
      <c r="H53" s="159">
        <f>Inputs!G12</f>
        <v>0.28000000000000003</v>
      </c>
      <c r="I53" s="159">
        <f>Inputs!H12</f>
        <v>0.28000000000000003</v>
      </c>
      <c r="J53" s="159">
        <f>Inputs!I12</f>
        <v>0.28000000000000003</v>
      </c>
      <c r="K53" s="95"/>
      <c r="L53" s="50"/>
      <c r="M53" s="15"/>
    </row>
    <row r="54" spans="1:16">
      <c r="A54" s="50"/>
      <c r="B54" s="50"/>
      <c r="C54" s="50" t="s">
        <v>38</v>
      </c>
      <c r="D54" s="50"/>
      <c r="E54" s="160">
        <f>E11/E14</f>
        <v>29.695281707388968</v>
      </c>
      <c r="F54" s="161">
        <f>E54-1</f>
        <v>28.695281707388968</v>
      </c>
      <c r="G54" s="161">
        <f>F54-1</f>
        <v>27.695281707388968</v>
      </c>
      <c r="H54" s="161">
        <f>G54-1</f>
        <v>26.695281707388968</v>
      </c>
      <c r="I54" s="161">
        <f>H54-1</f>
        <v>25.695281707388968</v>
      </c>
      <c r="J54" s="161">
        <f>I54-1</f>
        <v>24.695281707388968</v>
      </c>
      <c r="K54" s="95"/>
      <c r="L54" s="50"/>
      <c r="M54" s="15"/>
    </row>
    <row r="55" spans="1:16">
      <c r="A55" s="50"/>
      <c r="B55" s="50"/>
      <c r="C55" s="50" t="s">
        <v>159</v>
      </c>
      <c r="D55" s="50"/>
      <c r="E55" s="156"/>
      <c r="F55" s="49">
        <f>F34</f>
        <v>4.4667274384685429E-2</v>
      </c>
      <c r="G55" s="49">
        <f>G34</f>
        <v>1.5706806282722585E-2</v>
      </c>
      <c r="H55" s="49">
        <f>H34</f>
        <v>1.8041237113401998E-2</v>
      </c>
      <c r="I55" s="49">
        <f>I34</f>
        <v>1.7721518987341867E-2</v>
      </c>
      <c r="J55" s="49">
        <f>J34</f>
        <v>2.3217247097844007E-2</v>
      </c>
      <c r="K55" s="95"/>
      <c r="L55" s="50"/>
      <c r="M55" s="15"/>
    </row>
    <row r="56" spans="1:16">
      <c r="A56" s="50"/>
      <c r="B56" s="50"/>
      <c r="C56" s="50" t="s">
        <v>40</v>
      </c>
      <c r="D56" s="50"/>
      <c r="E56" s="129">
        <f>E15</f>
        <v>8957</v>
      </c>
      <c r="F56" s="32">
        <f>E56*(1+F55)</f>
        <v>9357.0847766636271</v>
      </c>
      <c r="G56" s="32">
        <f>F56*(1+G55)</f>
        <v>9504.0546946216946</v>
      </c>
      <c r="H56" s="32">
        <f>G56*(1+H55)</f>
        <v>9675.5195989061067</v>
      </c>
      <c r="I56" s="32">
        <f>H56*(1+I55)</f>
        <v>9846.9845031905188</v>
      </c>
      <c r="J56" s="32">
        <f>I56*(1+J55)</f>
        <v>10075.604375569734</v>
      </c>
      <c r="K56" s="95"/>
      <c r="L56" s="50"/>
      <c r="M56" s="15"/>
    </row>
    <row r="57" spans="1:16">
      <c r="A57" s="50"/>
      <c r="B57" s="50"/>
      <c r="C57" s="50"/>
      <c r="D57" s="122"/>
      <c r="E57" s="50"/>
      <c r="F57" s="50"/>
      <c r="G57" s="50"/>
      <c r="H57" s="50"/>
      <c r="I57" s="50"/>
      <c r="J57" s="50"/>
      <c r="K57" s="95"/>
      <c r="L57" s="27"/>
      <c r="M57" s="15"/>
    </row>
    <row r="58" spans="1:16" ht="15.75">
      <c r="A58" s="50"/>
      <c r="B58" s="50"/>
      <c r="C58" s="162" t="s">
        <v>89</v>
      </c>
      <c r="D58" s="32"/>
      <c r="E58" s="163" t="str">
        <f>Inputs!D11</f>
        <v>2009/10</v>
      </c>
      <c r="F58" s="163" t="str">
        <f>Inputs!E11</f>
        <v>2010/11</v>
      </c>
      <c r="G58" s="163" t="str">
        <f>Inputs!F11</f>
        <v>2011/12</v>
      </c>
      <c r="H58" s="163" t="str">
        <f>Inputs!G11</f>
        <v>2012/13</v>
      </c>
      <c r="I58" s="163" t="str">
        <f>Inputs!H11</f>
        <v>2013/14</v>
      </c>
      <c r="J58" s="163" t="str">
        <f>Inputs!I11</f>
        <v>2014/15</v>
      </c>
      <c r="K58" s="95"/>
      <c r="L58" s="27"/>
      <c r="M58" s="15"/>
    </row>
    <row r="59" spans="1:16">
      <c r="A59" s="50"/>
      <c r="B59" s="50"/>
      <c r="C59" s="50" t="s">
        <v>110</v>
      </c>
      <c r="D59" s="50"/>
      <c r="E59" s="129">
        <f>E11</f>
        <v>2273866.0351738334</v>
      </c>
      <c r="F59" s="32">
        <f>E65</f>
        <v>2227329.6395438411</v>
      </c>
      <c r="G59" s="32">
        <f>F65</f>
        <v>2184251.2981387577</v>
      </c>
      <c r="H59" s="32">
        <f>G65</f>
        <v>2148759.895962128</v>
      </c>
      <c r="I59" s="32">
        <f>H65</f>
        <v>2107513.6627884656</v>
      </c>
      <c r="J59" s="32">
        <f>I65</f>
        <v>2060589.8730593298</v>
      </c>
      <c r="K59" s="95"/>
      <c r="L59" s="50"/>
      <c r="M59" s="15"/>
    </row>
    <row r="60" spans="1:16">
      <c r="A60" s="50"/>
      <c r="B60" s="50"/>
      <c r="C60" s="50" t="s">
        <v>40</v>
      </c>
      <c r="D60" s="32"/>
      <c r="E60" s="32">
        <f t="shared" ref="E60:J60" si="3">E56</f>
        <v>8957</v>
      </c>
      <c r="F60" s="32">
        <f t="shared" si="3"/>
        <v>9357.0847766636271</v>
      </c>
      <c r="G60" s="32">
        <f t="shared" si="3"/>
        <v>9504.0546946216946</v>
      </c>
      <c r="H60" s="32">
        <f t="shared" si="3"/>
        <v>9675.5195989061067</v>
      </c>
      <c r="I60" s="32">
        <f t="shared" si="3"/>
        <v>9846.9845031905188</v>
      </c>
      <c r="J60" s="32">
        <f t="shared" si="3"/>
        <v>10075.604375569734</v>
      </c>
      <c r="K60" s="95"/>
      <c r="L60" s="50"/>
      <c r="M60" s="15"/>
    </row>
    <row r="61" spans="1:16">
      <c r="A61" s="50"/>
      <c r="B61" s="50"/>
      <c r="C61" s="50" t="s">
        <v>312</v>
      </c>
      <c r="D61" s="32"/>
      <c r="E61" s="32">
        <f>Vct!E12</f>
        <v>0</v>
      </c>
      <c r="F61" s="95"/>
      <c r="G61" s="95"/>
      <c r="H61" s="95"/>
      <c r="I61" s="95"/>
      <c r="J61" s="95"/>
      <c r="K61" s="95"/>
      <c r="L61" s="50"/>
      <c r="M61" s="15"/>
    </row>
    <row r="62" spans="1:16">
      <c r="A62" s="50"/>
      <c r="B62" s="50"/>
      <c r="C62" s="50" t="s">
        <v>313</v>
      </c>
      <c r="D62" s="32"/>
      <c r="E62" s="32">
        <f>Vct!E13</f>
        <v>0</v>
      </c>
      <c r="F62" s="95"/>
      <c r="G62" s="95"/>
      <c r="H62" s="95"/>
      <c r="I62" s="95"/>
      <c r="J62" s="95"/>
      <c r="K62" s="95"/>
      <c r="L62" s="50"/>
      <c r="M62" s="15"/>
    </row>
    <row r="63" spans="1:16">
      <c r="A63" s="50"/>
      <c r="B63" s="50"/>
      <c r="C63" s="50" t="s">
        <v>41</v>
      </c>
      <c r="D63" s="50"/>
      <c r="E63" s="32">
        <f t="shared" ref="E63:J63" si="4">(E59*0.999-E60)*E41</f>
        <v>38993.915159917953</v>
      </c>
      <c r="F63" s="32">
        <f t="shared" si="4"/>
        <v>43898.808658142982</v>
      </c>
      <c r="G63" s="32">
        <f t="shared" si="4"/>
        <v>52879.923889924379</v>
      </c>
      <c r="H63" s="32">
        <f t="shared" si="4"/>
        <v>48921.40932227845</v>
      </c>
      <c r="I63" s="32">
        <f t="shared" si="4"/>
        <v>44942.675501616803</v>
      </c>
      <c r="J63" s="32">
        <f t="shared" si="4"/>
        <v>40969.073576214047</v>
      </c>
      <c r="K63" s="95"/>
      <c r="L63" s="50"/>
      <c r="M63" s="15"/>
    </row>
    <row r="64" spans="1:16">
      <c r="A64" s="50"/>
      <c r="B64" s="50"/>
      <c r="C64" s="50" t="s">
        <v>42</v>
      </c>
      <c r="D64" s="50"/>
      <c r="E64" s="129">
        <f>E14</f>
        <v>76573.310789910291</v>
      </c>
      <c r="F64" s="32">
        <f>F59/F54</f>
        <v>77620.065286562734</v>
      </c>
      <c r="G64" s="32">
        <f>G59/G54</f>
        <v>78867.271371932278</v>
      </c>
      <c r="H64" s="32">
        <f>H59/H54</f>
        <v>80492.12289703518</v>
      </c>
      <c r="I64" s="32">
        <f>I59/I54</f>
        <v>82019.480727561982</v>
      </c>
      <c r="J64" s="32">
        <f>J59/J54</f>
        <v>83440.630379316135</v>
      </c>
      <c r="K64" s="95"/>
      <c r="L64" s="50"/>
      <c r="M64" s="15"/>
    </row>
    <row r="65" spans="1:13">
      <c r="A65" s="50"/>
      <c r="B65" s="50"/>
      <c r="C65" s="50" t="s">
        <v>43</v>
      </c>
      <c r="D65" s="50"/>
      <c r="E65" s="129">
        <f>E59-E60-E61+E62+E63-E64</f>
        <v>2227329.6395438411</v>
      </c>
      <c r="F65" s="32">
        <f>F59-F60+F63-F64</f>
        <v>2184251.2981387577</v>
      </c>
      <c r="G65" s="32">
        <f>G59-G60+G63-G64</f>
        <v>2148759.895962128</v>
      </c>
      <c r="H65" s="32">
        <f>H59-H60+H63-H64</f>
        <v>2107513.6627884656</v>
      </c>
      <c r="I65" s="32">
        <f>I59-I60+I63-I64</f>
        <v>2060589.8730593298</v>
      </c>
      <c r="J65" s="32">
        <f>J59-J60+J63-J64</f>
        <v>2008042.7118806578</v>
      </c>
      <c r="K65" s="95"/>
      <c r="L65" s="50"/>
      <c r="M65" s="15"/>
    </row>
    <row r="66" spans="1:13">
      <c r="A66" s="50"/>
      <c r="B66" s="50"/>
      <c r="C66" s="50"/>
      <c r="D66" s="50"/>
      <c r="E66" s="50"/>
      <c r="F66" s="50"/>
      <c r="G66" s="50"/>
      <c r="H66" s="50"/>
      <c r="I66" s="50"/>
      <c r="J66" s="50"/>
      <c r="K66" s="95"/>
      <c r="L66" s="27"/>
      <c r="M66" s="15"/>
    </row>
    <row r="67" spans="1:13" ht="15.75">
      <c r="A67" s="50"/>
      <c r="B67" s="50"/>
      <c r="C67" s="162" t="s">
        <v>67</v>
      </c>
      <c r="D67" s="50"/>
      <c r="E67" s="162" t="str">
        <f>Inputs!D$11</f>
        <v>2009/10</v>
      </c>
      <c r="F67" s="162" t="str">
        <f>Inputs!E$11</f>
        <v>2010/11</v>
      </c>
      <c r="G67" s="162" t="str">
        <f>Inputs!F$11</f>
        <v>2011/12</v>
      </c>
      <c r="H67" s="162" t="str">
        <f>Inputs!G$11</f>
        <v>2012/13</v>
      </c>
      <c r="I67" s="162" t="str">
        <f>Inputs!H$11</f>
        <v>2013/14</v>
      </c>
      <c r="J67" s="162" t="str">
        <f>Inputs!I$11</f>
        <v>2014/15</v>
      </c>
      <c r="K67" s="95"/>
      <c r="L67" s="27"/>
      <c r="M67" s="15"/>
    </row>
    <row r="68" spans="1:13">
      <c r="A68" s="50"/>
      <c r="B68" s="50"/>
      <c r="C68" s="164" t="s">
        <v>60</v>
      </c>
      <c r="D68" s="50"/>
      <c r="E68" s="192">
        <v>1</v>
      </c>
      <c r="F68" s="164">
        <f>E68+1</f>
        <v>2</v>
      </c>
      <c r="G68" s="164">
        <f>F68+1</f>
        <v>3</v>
      </c>
      <c r="H68" s="164">
        <f>G68+1</f>
        <v>4</v>
      </c>
      <c r="I68" s="164">
        <f>H68+1</f>
        <v>5</v>
      </c>
      <c r="J68" s="164">
        <f>I68+1</f>
        <v>6</v>
      </c>
      <c r="K68" s="95"/>
      <c r="L68" s="27"/>
      <c r="M68" s="15"/>
    </row>
    <row r="69" spans="1:13">
      <c r="A69" s="50"/>
      <c r="B69" s="50"/>
      <c r="C69" s="50" t="s">
        <v>39</v>
      </c>
      <c r="D69" s="32"/>
      <c r="E69" s="32">
        <f t="shared" ref="E69:J69" si="5">E$29</f>
        <v>131577</v>
      </c>
      <c r="F69" s="32">
        <f t="shared" si="5"/>
        <v>120019.6282933935</v>
      </c>
      <c r="G69" s="32">
        <f t="shared" si="5"/>
        <v>131068.61044637936</v>
      </c>
      <c r="H69" s="32">
        <f t="shared" si="5"/>
        <v>142882.94195931772</v>
      </c>
      <c r="I69" s="32">
        <f t="shared" si="5"/>
        <v>152682.845248414</v>
      </c>
      <c r="J69" s="32">
        <f t="shared" si="5"/>
        <v>146316.79520482279</v>
      </c>
      <c r="K69" s="95"/>
      <c r="L69" s="50"/>
      <c r="M69" s="15"/>
    </row>
    <row r="70" spans="1:13">
      <c r="A70" s="50">
        <v>1</v>
      </c>
      <c r="B70" s="50"/>
      <c r="C70" s="50" t="s">
        <v>254</v>
      </c>
      <c r="D70" s="50"/>
      <c r="E70" s="129">
        <v>0</v>
      </c>
      <c r="F70" s="32">
        <f t="shared" ref="F70:J75" si="6">E94</f>
        <v>131577</v>
      </c>
      <c r="G70" s="32">
        <f t="shared" si="6"/>
        <v>131259.89775956896</v>
      </c>
      <c r="H70" s="32">
        <f t="shared" si="6"/>
        <v>131471.56850800329</v>
      </c>
      <c r="I70" s="32">
        <f t="shared" si="6"/>
        <v>131423.90214980775</v>
      </c>
      <c r="J70" s="32">
        <f t="shared" si="6"/>
        <v>131113.36101451254</v>
      </c>
      <c r="K70" s="95"/>
      <c r="L70" s="50"/>
      <c r="M70" s="15"/>
    </row>
    <row r="71" spans="1:13">
      <c r="A71" s="50">
        <v>2</v>
      </c>
      <c r="B71" s="50"/>
      <c r="C71" s="50" t="s">
        <v>255</v>
      </c>
      <c r="D71" s="50"/>
      <c r="E71" s="129">
        <v>0</v>
      </c>
      <c r="F71" s="32">
        <f t="shared" si="6"/>
        <v>0</v>
      </c>
      <c r="G71" s="32">
        <f t="shared" si="6"/>
        <v>120019.6282933935</v>
      </c>
      <c r="H71" s="32">
        <f t="shared" si="6"/>
        <v>120273.78886834378</v>
      </c>
      <c r="I71" s="32">
        <f t="shared" si="6"/>
        <v>120293.75203522596</v>
      </c>
      <c r="J71" s="32">
        <f t="shared" si="6"/>
        <v>120076.11813362023</v>
      </c>
      <c r="K71" s="95"/>
      <c r="L71" s="50"/>
      <c r="M71" s="15"/>
    </row>
    <row r="72" spans="1:13">
      <c r="A72" s="50">
        <v>3</v>
      </c>
      <c r="B72" s="50"/>
      <c r="C72" s="50" t="s">
        <v>256</v>
      </c>
      <c r="D72" s="50"/>
      <c r="E72" s="129">
        <v>0</v>
      </c>
      <c r="F72" s="32">
        <f t="shared" si="6"/>
        <v>0</v>
      </c>
      <c r="G72" s="32">
        <f t="shared" si="6"/>
        <v>0</v>
      </c>
      <c r="H72" s="32">
        <f t="shared" si="6"/>
        <v>131068.61044637936</v>
      </c>
      <c r="I72" s="32">
        <f t="shared" si="6"/>
        <v>131156.56161672523</v>
      </c>
      <c r="J72" s="32">
        <f t="shared" si="6"/>
        <v>130988.5965103097</v>
      </c>
      <c r="K72" s="95"/>
      <c r="L72" s="50"/>
      <c r="M72" s="15"/>
    </row>
    <row r="73" spans="1:13">
      <c r="A73" s="50">
        <v>4</v>
      </c>
      <c r="B73" s="50"/>
      <c r="C73" s="50" t="s">
        <v>257</v>
      </c>
      <c r="D73" s="50"/>
      <c r="E73" s="129">
        <v>0</v>
      </c>
      <c r="F73" s="32">
        <f t="shared" si="6"/>
        <v>0</v>
      </c>
      <c r="G73" s="32">
        <f t="shared" si="6"/>
        <v>0</v>
      </c>
      <c r="H73" s="32">
        <f t="shared" si="6"/>
        <v>0</v>
      </c>
      <c r="I73" s="32">
        <f t="shared" si="6"/>
        <v>142882.94195931772</v>
      </c>
      <c r="J73" s="32">
        <f t="shared" si="6"/>
        <v>142772.12261457337</v>
      </c>
      <c r="K73" s="95"/>
      <c r="L73" s="50"/>
      <c r="M73" s="15"/>
    </row>
    <row r="74" spans="1:13">
      <c r="A74" s="50">
        <v>5</v>
      </c>
      <c r="B74" s="50"/>
      <c r="C74" s="50" t="s">
        <v>258</v>
      </c>
      <c r="D74" s="50"/>
      <c r="E74" s="129">
        <v>0</v>
      </c>
      <c r="F74" s="32">
        <f t="shared" si="6"/>
        <v>0</v>
      </c>
      <c r="G74" s="32">
        <f t="shared" si="6"/>
        <v>0</v>
      </c>
      <c r="H74" s="32">
        <f t="shared" si="6"/>
        <v>0</v>
      </c>
      <c r="I74" s="32">
        <f t="shared" si="6"/>
        <v>0</v>
      </c>
      <c r="J74" s="32">
        <f t="shared" si="6"/>
        <v>152682.845248414</v>
      </c>
      <c r="K74" s="95"/>
      <c r="L74" s="50"/>
      <c r="M74" s="15"/>
    </row>
    <row r="75" spans="1:13">
      <c r="A75" s="50">
        <v>6</v>
      </c>
      <c r="B75" s="50"/>
      <c r="C75" s="50" t="s">
        <v>259</v>
      </c>
      <c r="D75" s="50"/>
      <c r="E75" s="129">
        <v>0</v>
      </c>
      <c r="F75" s="32">
        <f t="shared" si="6"/>
        <v>0</v>
      </c>
      <c r="G75" s="32">
        <f t="shared" si="6"/>
        <v>0</v>
      </c>
      <c r="H75" s="32">
        <f t="shared" si="6"/>
        <v>0</v>
      </c>
      <c r="I75" s="32">
        <f t="shared" si="6"/>
        <v>0</v>
      </c>
      <c r="J75" s="32">
        <f t="shared" si="6"/>
        <v>0</v>
      </c>
      <c r="K75" s="95"/>
      <c r="L75" s="50"/>
      <c r="M75" s="15"/>
    </row>
    <row r="76" spans="1:13">
      <c r="A76" s="50">
        <v>1</v>
      </c>
      <c r="B76" s="50"/>
      <c r="C76" s="50" t="s">
        <v>236</v>
      </c>
      <c r="D76" s="50"/>
      <c r="E76" s="129">
        <f>Inputs!$C$7+$A76</f>
        <v>46</v>
      </c>
      <c r="F76" s="32">
        <f t="shared" ref="F76:J81" si="7">E76-1</f>
        <v>45</v>
      </c>
      <c r="G76" s="32">
        <f t="shared" si="7"/>
        <v>44</v>
      </c>
      <c r="H76" s="32">
        <f t="shared" si="7"/>
        <v>43</v>
      </c>
      <c r="I76" s="32">
        <f t="shared" si="7"/>
        <v>42</v>
      </c>
      <c r="J76" s="32">
        <f t="shared" si="7"/>
        <v>41</v>
      </c>
      <c r="K76" s="95"/>
      <c r="L76" s="50"/>
      <c r="M76" s="15"/>
    </row>
    <row r="77" spans="1:13">
      <c r="A77" s="50">
        <v>2</v>
      </c>
      <c r="B77" s="50"/>
      <c r="C77" s="50" t="s">
        <v>237</v>
      </c>
      <c r="D77" s="50"/>
      <c r="E77" s="129">
        <f>Inputs!$C$7+$A77</f>
        <v>47</v>
      </c>
      <c r="F77" s="32">
        <f t="shared" si="7"/>
        <v>46</v>
      </c>
      <c r="G77" s="32">
        <f t="shared" si="7"/>
        <v>45</v>
      </c>
      <c r="H77" s="32">
        <f t="shared" si="7"/>
        <v>44</v>
      </c>
      <c r="I77" s="32">
        <f t="shared" si="7"/>
        <v>43</v>
      </c>
      <c r="J77" s="32">
        <f t="shared" si="7"/>
        <v>42</v>
      </c>
      <c r="K77" s="95"/>
      <c r="L77" s="50"/>
      <c r="M77" s="15"/>
    </row>
    <row r="78" spans="1:13">
      <c r="A78" s="50">
        <v>3</v>
      </c>
      <c r="B78" s="50"/>
      <c r="C78" s="50" t="s">
        <v>238</v>
      </c>
      <c r="D78" s="50"/>
      <c r="E78" s="129">
        <f>Inputs!$C$7+$A78</f>
        <v>48</v>
      </c>
      <c r="F78" s="32">
        <f t="shared" si="7"/>
        <v>47</v>
      </c>
      <c r="G78" s="32">
        <f t="shared" si="7"/>
        <v>46</v>
      </c>
      <c r="H78" s="32">
        <f t="shared" si="7"/>
        <v>45</v>
      </c>
      <c r="I78" s="32">
        <f t="shared" si="7"/>
        <v>44</v>
      </c>
      <c r="J78" s="32">
        <f t="shared" si="7"/>
        <v>43</v>
      </c>
      <c r="K78" s="95"/>
      <c r="L78" s="50"/>
      <c r="M78" s="15"/>
    </row>
    <row r="79" spans="1:13">
      <c r="A79" s="50">
        <v>4</v>
      </c>
      <c r="B79" s="50"/>
      <c r="C79" s="50" t="s">
        <v>239</v>
      </c>
      <c r="D79" s="50"/>
      <c r="E79" s="129">
        <f>Inputs!$C$7+$A79</f>
        <v>49</v>
      </c>
      <c r="F79" s="32">
        <f t="shared" si="7"/>
        <v>48</v>
      </c>
      <c r="G79" s="32">
        <f t="shared" si="7"/>
        <v>47</v>
      </c>
      <c r="H79" s="32">
        <f t="shared" si="7"/>
        <v>46</v>
      </c>
      <c r="I79" s="32">
        <f t="shared" si="7"/>
        <v>45</v>
      </c>
      <c r="J79" s="32">
        <f t="shared" si="7"/>
        <v>44</v>
      </c>
      <c r="K79" s="95"/>
      <c r="L79" s="50"/>
      <c r="M79" s="15"/>
    </row>
    <row r="80" spans="1:13">
      <c r="A80" s="50">
        <v>5</v>
      </c>
      <c r="B80" s="50"/>
      <c r="C80" s="50" t="s">
        <v>240</v>
      </c>
      <c r="D80" s="50"/>
      <c r="E80" s="129">
        <f>Inputs!$C$7+$A80</f>
        <v>50</v>
      </c>
      <c r="F80" s="32">
        <f t="shared" si="7"/>
        <v>49</v>
      </c>
      <c r="G80" s="32">
        <f t="shared" si="7"/>
        <v>48</v>
      </c>
      <c r="H80" s="32">
        <f t="shared" si="7"/>
        <v>47</v>
      </c>
      <c r="I80" s="32">
        <f t="shared" si="7"/>
        <v>46</v>
      </c>
      <c r="J80" s="32">
        <f t="shared" si="7"/>
        <v>45</v>
      </c>
      <c r="K80" s="95"/>
      <c r="L80" s="50"/>
      <c r="M80" s="15"/>
    </row>
    <row r="81" spans="1:13">
      <c r="A81" s="50">
        <v>6</v>
      </c>
      <c r="B81" s="50"/>
      <c r="C81" s="50" t="s">
        <v>241</v>
      </c>
      <c r="D81" s="50"/>
      <c r="E81" s="129">
        <f>Inputs!$C$7+$A81</f>
        <v>51</v>
      </c>
      <c r="F81" s="32">
        <f t="shared" si="7"/>
        <v>50</v>
      </c>
      <c r="G81" s="32">
        <f t="shared" si="7"/>
        <v>49</v>
      </c>
      <c r="H81" s="32">
        <f t="shared" si="7"/>
        <v>48</v>
      </c>
      <c r="I81" s="32">
        <f t="shared" si="7"/>
        <v>47</v>
      </c>
      <c r="J81" s="32">
        <f t="shared" si="7"/>
        <v>46</v>
      </c>
      <c r="K81" s="95"/>
      <c r="L81" s="50"/>
      <c r="M81" s="15"/>
    </row>
    <row r="82" spans="1:13">
      <c r="A82" s="50">
        <v>1</v>
      </c>
      <c r="B82" s="50"/>
      <c r="C82" s="50" t="s">
        <v>260</v>
      </c>
      <c r="D82" s="50"/>
      <c r="E82" s="32">
        <f t="shared" ref="E82:J87" si="8">E70*E$41</f>
        <v>0</v>
      </c>
      <c r="F82" s="32">
        <f t="shared" si="8"/>
        <v>2606.8310929022805</v>
      </c>
      <c r="G82" s="32">
        <f t="shared" si="8"/>
        <v>3194.8502429699975</v>
      </c>
      <c r="H82" s="32">
        <f t="shared" si="8"/>
        <v>3009.8119791998624</v>
      </c>
      <c r="I82" s="32">
        <f t="shared" si="8"/>
        <v>2818.599392081162</v>
      </c>
      <c r="J82" s="32">
        <f t="shared" si="8"/>
        <v>2622.2672202902531</v>
      </c>
      <c r="K82" s="95"/>
      <c r="L82" s="50"/>
      <c r="M82" s="15"/>
    </row>
    <row r="83" spans="1:13">
      <c r="A83" s="50">
        <v>2</v>
      </c>
      <c r="B83" s="50"/>
      <c r="C83" s="50" t="s">
        <v>261</v>
      </c>
      <c r="D83" s="50"/>
      <c r="E83" s="32">
        <f t="shared" si="8"/>
        <v>0</v>
      </c>
      <c r="F83" s="32">
        <f t="shared" si="8"/>
        <v>0</v>
      </c>
      <c r="G83" s="32">
        <f t="shared" si="8"/>
        <v>2921.263425914588</v>
      </c>
      <c r="H83" s="32">
        <f t="shared" si="8"/>
        <v>2753.4583684354498</v>
      </c>
      <c r="I83" s="32">
        <f t="shared" si="8"/>
        <v>2579.8952154925487</v>
      </c>
      <c r="J83" s="32">
        <f t="shared" si="8"/>
        <v>2401.5223626724069</v>
      </c>
      <c r="K83" s="95"/>
      <c r="L83" s="50"/>
      <c r="M83" s="15"/>
    </row>
    <row r="84" spans="1:13">
      <c r="A84" s="50">
        <v>3</v>
      </c>
      <c r="B84" s="50"/>
      <c r="C84" s="50" t="s">
        <v>262</v>
      </c>
      <c r="D84" s="50"/>
      <c r="E84" s="32">
        <f t="shared" si="8"/>
        <v>0</v>
      </c>
      <c r="F84" s="32">
        <f t="shared" si="8"/>
        <v>0</v>
      </c>
      <c r="G84" s="32">
        <f t="shared" si="8"/>
        <v>0</v>
      </c>
      <c r="H84" s="32">
        <f t="shared" si="8"/>
        <v>3000.5869580431627</v>
      </c>
      <c r="I84" s="32">
        <f t="shared" si="8"/>
        <v>2812.8658394191348</v>
      </c>
      <c r="J84" s="32">
        <f t="shared" si="8"/>
        <v>2619.7719302061964</v>
      </c>
      <c r="K84" s="95"/>
      <c r="L84" s="50"/>
      <c r="M84" s="15"/>
    </row>
    <row r="85" spans="1:13">
      <c r="A85" s="50">
        <v>4</v>
      </c>
      <c r="B85" s="50"/>
      <c r="C85" s="50" t="s">
        <v>263</v>
      </c>
      <c r="D85" s="50"/>
      <c r="E85" s="32">
        <f t="shared" si="8"/>
        <v>0</v>
      </c>
      <c r="F85" s="32">
        <f t="shared" si="8"/>
        <v>0</v>
      </c>
      <c r="G85" s="32">
        <f t="shared" si="8"/>
        <v>0</v>
      </c>
      <c r="H85" s="32">
        <f t="shared" si="8"/>
        <v>0</v>
      </c>
      <c r="I85" s="32">
        <f t="shared" si="8"/>
        <v>3064.3571432404769</v>
      </c>
      <c r="J85" s="32">
        <f t="shared" si="8"/>
        <v>2855.4424522914701</v>
      </c>
      <c r="K85" s="95"/>
      <c r="L85" s="50"/>
      <c r="M85" s="15"/>
    </row>
    <row r="86" spans="1:13">
      <c r="A86" s="50">
        <v>5</v>
      </c>
      <c r="B86" s="50"/>
      <c r="C86" s="50" t="s">
        <v>264</v>
      </c>
      <c r="D86" s="50"/>
      <c r="E86" s="32">
        <f t="shared" si="8"/>
        <v>0</v>
      </c>
      <c r="F86" s="32">
        <f t="shared" si="8"/>
        <v>0</v>
      </c>
      <c r="G86" s="32">
        <f t="shared" si="8"/>
        <v>0</v>
      </c>
      <c r="H86" s="32">
        <f t="shared" si="8"/>
        <v>0</v>
      </c>
      <c r="I86" s="32">
        <f t="shared" si="8"/>
        <v>0</v>
      </c>
      <c r="J86" s="32">
        <f t="shared" si="8"/>
        <v>3053.6569049682826</v>
      </c>
      <c r="K86" s="95"/>
      <c r="L86" s="50"/>
      <c r="M86" s="15"/>
    </row>
    <row r="87" spans="1:13">
      <c r="A87" s="50">
        <v>6</v>
      </c>
      <c r="B87" s="50"/>
      <c r="C87" s="50" t="s">
        <v>265</v>
      </c>
      <c r="D87" s="50"/>
      <c r="E87" s="32">
        <f t="shared" si="8"/>
        <v>0</v>
      </c>
      <c r="F87" s="32">
        <f t="shared" si="8"/>
        <v>0</v>
      </c>
      <c r="G87" s="32">
        <f t="shared" si="8"/>
        <v>0</v>
      </c>
      <c r="H87" s="32">
        <f t="shared" si="8"/>
        <v>0</v>
      </c>
      <c r="I87" s="32">
        <f t="shared" si="8"/>
        <v>0</v>
      </c>
      <c r="J87" s="32">
        <f t="shared" si="8"/>
        <v>0</v>
      </c>
      <c r="K87" s="95"/>
      <c r="L87" s="50"/>
      <c r="M87" s="15"/>
    </row>
    <row r="88" spans="1:13">
      <c r="A88" s="50">
        <v>1</v>
      </c>
      <c r="B88" s="50"/>
      <c r="C88" s="50" t="s">
        <v>266</v>
      </c>
      <c r="D88" s="50"/>
      <c r="E88" s="32">
        <f t="shared" ref="E88:J93" si="9">E70/E76</f>
        <v>0</v>
      </c>
      <c r="F88" s="32">
        <f t="shared" si="9"/>
        <v>2923.9333333333334</v>
      </c>
      <c r="G88" s="32">
        <f t="shared" si="9"/>
        <v>2983.1794945356583</v>
      </c>
      <c r="H88" s="32">
        <f t="shared" si="9"/>
        <v>3057.4783373954251</v>
      </c>
      <c r="I88" s="32">
        <f t="shared" si="9"/>
        <v>3129.1405273763748</v>
      </c>
      <c r="J88" s="32">
        <f t="shared" si="9"/>
        <v>3197.8868540125009</v>
      </c>
      <c r="K88" s="95"/>
      <c r="L88" s="50"/>
      <c r="M88" s="15"/>
    </row>
    <row r="89" spans="1:13">
      <c r="A89" s="50">
        <v>2</v>
      </c>
      <c r="B89" s="50"/>
      <c r="C89" s="50" t="s">
        <v>267</v>
      </c>
      <c r="D89" s="50"/>
      <c r="E89" s="32">
        <f t="shared" si="9"/>
        <v>0</v>
      </c>
      <c r="F89" s="32">
        <f t="shared" si="9"/>
        <v>0</v>
      </c>
      <c r="G89" s="32">
        <f t="shared" si="9"/>
        <v>2667.1028509643002</v>
      </c>
      <c r="H89" s="32">
        <f t="shared" si="9"/>
        <v>2733.4952015532676</v>
      </c>
      <c r="I89" s="32">
        <f t="shared" si="9"/>
        <v>2797.5291170982782</v>
      </c>
      <c r="J89" s="32">
        <f t="shared" si="9"/>
        <v>2858.9551936576245</v>
      </c>
      <c r="K89" s="95"/>
      <c r="L89" s="50"/>
      <c r="M89" s="15"/>
    </row>
    <row r="90" spans="1:13">
      <c r="A90" s="50">
        <v>3</v>
      </c>
      <c r="B90" s="50"/>
      <c r="C90" s="50" t="s">
        <v>268</v>
      </c>
      <c r="D90" s="50"/>
      <c r="E90" s="32">
        <f t="shared" si="9"/>
        <v>0</v>
      </c>
      <c r="F90" s="32">
        <f t="shared" si="9"/>
        <v>0</v>
      </c>
      <c r="G90" s="32">
        <f t="shared" si="9"/>
        <v>0</v>
      </c>
      <c r="H90" s="32">
        <f t="shared" si="9"/>
        <v>2912.6357876973193</v>
      </c>
      <c r="I90" s="32">
        <f t="shared" si="9"/>
        <v>2980.8309458346644</v>
      </c>
      <c r="J90" s="32">
        <f t="shared" si="9"/>
        <v>3046.2464304723185</v>
      </c>
      <c r="K90" s="95"/>
      <c r="L90" s="50"/>
      <c r="M90" s="15"/>
    </row>
    <row r="91" spans="1:13">
      <c r="A91" s="50">
        <v>4</v>
      </c>
      <c r="B91" s="50"/>
      <c r="C91" s="50" t="s">
        <v>269</v>
      </c>
      <c r="D91" s="50"/>
      <c r="E91" s="32">
        <f t="shared" si="9"/>
        <v>0</v>
      </c>
      <c r="F91" s="32">
        <f t="shared" si="9"/>
        <v>0</v>
      </c>
      <c r="G91" s="32">
        <f t="shared" si="9"/>
        <v>0</v>
      </c>
      <c r="H91" s="32">
        <f t="shared" si="9"/>
        <v>0</v>
      </c>
      <c r="I91" s="32">
        <f t="shared" si="9"/>
        <v>3175.1764879848383</v>
      </c>
      <c r="J91" s="32">
        <f t="shared" si="9"/>
        <v>3244.8209685130309</v>
      </c>
      <c r="K91" s="95"/>
      <c r="L91" s="50"/>
      <c r="M91" s="15"/>
    </row>
    <row r="92" spans="1:13">
      <c r="A92" s="50">
        <v>5</v>
      </c>
      <c r="B92" s="50"/>
      <c r="C92" s="50" t="s">
        <v>270</v>
      </c>
      <c r="D92" s="50"/>
      <c r="E92" s="32">
        <f t="shared" si="9"/>
        <v>0</v>
      </c>
      <c r="F92" s="32">
        <f t="shared" si="9"/>
        <v>0</v>
      </c>
      <c r="G92" s="32">
        <f t="shared" si="9"/>
        <v>0</v>
      </c>
      <c r="H92" s="32">
        <f t="shared" si="9"/>
        <v>0</v>
      </c>
      <c r="I92" s="32">
        <f t="shared" si="9"/>
        <v>0</v>
      </c>
      <c r="J92" s="32">
        <f t="shared" si="9"/>
        <v>3392.9521166314221</v>
      </c>
      <c r="K92" s="95"/>
      <c r="L92" s="50"/>
      <c r="M92" s="15"/>
    </row>
    <row r="93" spans="1:13">
      <c r="A93" s="50">
        <v>6</v>
      </c>
      <c r="B93" s="50"/>
      <c r="C93" s="50" t="s">
        <v>271</v>
      </c>
      <c r="D93" s="50"/>
      <c r="E93" s="32">
        <f t="shared" si="9"/>
        <v>0</v>
      </c>
      <c r="F93" s="32">
        <f t="shared" si="9"/>
        <v>0</v>
      </c>
      <c r="G93" s="32">
        <f t="shared" si="9"/>
        <v>0</v>
      </c>
      <c r="H93" s="32">
        <f t="shared" si="9"/>
        <v>0</v>
      </c>
      <c r="I93" s="32">
        <f t="shared" si="9"/>
        <v>0</v>
      </c>
      <c r="J93" s="32">
        <f t="shared" si="9"/>
        <v>0</v>
      </c>
      <c r="K93" s="95"/>
      <c r="L93" s="50"/>
      <c r="M93" s="15"/>
    </row>
    <row r="94" spans="1:13">
      <c r="A94" s="50">
        <v>1</v>
      </c>
      <c r="B94" s="50"/>
      <c r="C94" s="50" t="s">
        <v>272</v>
      </c>
      <c r="D94" s="50"/>
      <c r="E94" s="32">
        <f t="shared" ref="E94:J99" si="10">E70+E82-E88+IF($A94=E$68,E$69,0)</f>
        <v>131577</v>
      </c>
      <c r="F94" s="32">
        <f t="shared" si="10"/>
        <v>131259.89775956896</v>
      </c>
      <c r="G94" s="32">
        <f t="shared" si="10"/>
        <v>131471.56850800329</v>
      </c>
      <c r="H94" s="32">
        <f t="shared" si="10"/>
        <v>131423.90214980775</v>
      </c>
      <c r="I94" s="32">
        <f t="shared" si="10"/>
        <v>131113.36101451254</v>
      </c>
      <c r="J94" s="32">
        <f t="shared" si="10"/>
        <v>130537.74138079031</v>
      </c>
      <c r="K94" s="95"/>
      <c r="L94" s="50"/>
      <c r="M94" s="15"/>
    </row>
    <row r="95" spans="1:13">
      <c r="A95" s="50">
        <v>2</v>
      </c>
      <c r="B95" s="50"/>
      <c r="C95" s="50" t="s">
        <v>273</v>
      </c>
      <c r="D95" s="50"/>
      <c r="E95" s="32">
        <f t="shared" si="10"/>
        <v>0</v>
      </c>
      <c r="F95" s="32">
        <f t="shared" si="10"/>
        <v>120019.6282933935</v>
      </c>
      <c r="G95" s="32">
        <f t="shared" si="10"/>
        <v>120273.78886834378</v>
      </c>
      <c r="H95" s="32">
        <f t="shared" si="10"/>
        <v>120293.75203522596</v>
      </c>
      <c r="I95" s="32">
        <f t="shared" si="10"/>
        <v>120076.11813362023</v>
      </c>
      <c r="J95" s="32">
        <f t="shared" si="10"/>
        <v>119618.68530263501</v>
      </c>
      <c r="K95" s="95"/>
      <c r="L95" s="50"/>
      <c r="M95" s="15"/>
    </row>
    <row r="96" spans="1:13">
      <c r="A96" s="50">
        <v>3</v>
      </c>
      <c r="B96" s="50"/>
      <c r="C96" s="50" t="s">
        <v>274</v>
      </c>
      <c r="D96" s="50"/>
      <c r="E96" s="32">
        <f t="shared" si="10"/>
        <v>0</v>
      </c>
      <c r="F96" s="32">
        <f t="shared" si="10"/>
        <v>0</v>
      </c>
      <c r="G96" s="32">
        <f t="shared" si="10"/>
        <v>131068.61044637936</v>
      </c>
      <c r="H96" s="32">
        <f t="shared" si="10"/>
        <v>131156.56161672523</v>
      </c>
      <c r="I96" s="32">
        <f t="shared" si="10"/>
        <v>130988.5965103097</v>
      </c>
      <c r="J96" s="32">
        <f t="shared" si="10"/>
        <v>130562.12201004356</v>
      </c>
      <c r="K96" s="95"/>
      <c r="L96" s="50"/>
      <c r="M96" s="15"/>
    </row>
    <row r="97" spans="1:13">
      <c r="A97" s="50">
        <v>4</v>
      </c>
      <c r="B97" s="50"/>
      <c r="C97" s="50" t="s">
        <v>275</v>
      </c>
      <c r="D97" s="50"/>
      <c r="E97" s="32">
        <f t="shared" si="10"/>
        <v>0</v>
      </c>
      <c r="F97" s="32">
        <f t="shared" si="10"/>
        <v>0</v>
      </c>
      <c r="G97" s="32">
        <f t="shared" si="10"/>
        <v>0</v>
      </c>
      <c r="H97" s="32">
        <f t="shared" si="10"/>
        <v>142882.94195931772</v>
      </c>
      <c r="I97" s="32">
        <f t="shared" si="10"/>
        <v>142772.12261457337</v>
      </c>
      <c r="J97" s="32">
        <f t="shared" si="10"/>
        <v>142382.7440983518</v>
      </c>
      <c r="K97" s="95"/>
      <c r="L97" s="50"/>
      <c r="M97" s="15"/>
    </row>
    <row r="98" spans="1:13">
      <c r="A98" s="50">
        <v>5</v>
      </c>
      <c r="B98" s="50"/>
      <c r="C98" s="50" t="s">
        <v>276</v>
      </c>
      <c r="D98" s="50"/>
      <c r="E98" s="32">
        <f t="shared" si="10"/>
        <v>0</v>
      </c>
      <c r="F98" s="32">
        <f t="shared" si="10"/>
        <v>0</v>
      </c>
      <c r="G98" s="32">
        <f t="shared" si="10"/>
        <v>0</v>
      </c>
      <c r="H98" s="32">
        <f t="shared" si="10"/>
        <v>0</v>
      </c>
      <c r="I98" s="32">
        <f t="shared" si="10"/>
        <v>152682.845248414</v>
      </c>
      <c r="J98" s="32">
        <f t="shared" si="10"/>
        <v>152343.55003675088</v>
      </c>
      <c r="K98" s="95"/>
      <c r="L98" s="50"/>
      <c r="M98" s="15"/>
    </row>
    <row r="99" spans="1:13">
      <c r="A99" s="50">
        <v>6</v>
      </c>
      <c r="B99" s="50"/>
      <c r="C99" s="50" t="s">
        <v>277</v>
      </c>
      <c r="D99" s="50"/>
      <c r="E99" s="32">
        <f t="shared" si="10"/>
        <v>0</v>
      </c>
      <c r="F99" s="32">
        <f t="shared" si="10"/>
        <v>0</v>
      </c>
      <c r="G99" s="32">
        <f t="shared" si="10"/>
        <v>0</v>
      </c>
      <c r="H99" s="32">
        <f t="shared" si="10"/>
        <v>0</v>
      </c>
      <c r="I99" s="32">
        <f t="shared" si="10"/>
        <v>0</v>
      </c>
      <c r="J99" s="32">
        <f t="shared" si="10"/>
        <v>146316.79520482279</v>
      </c>
      <c r="K99" s="95"/>
      <c r="L99" s="50"/>
      <c r="M99" s="15"/>
    </row>
    <row r="100" spans="1:13">
      <c r="A100" s="50"/>
      <c r="B100" s="50"/>
      <c r="C100" s="50" t="s">
        <v>146</v>
      </c>
      <c r="D100" s="50"/>
      <c r="E100" s="32">
        <f t="shared" ref="E100:J100" si="11">SUM(E70:E75)</f>
        <v>0</v>
      </c>
      <c r="F100" s="32">
        <f t="shared" si="11"/>
        <v>131577</v>
      </c>
      <c r="G100" s="32">
        <f t="shared" si="11"/>
        <v>251279.52605296246</v>
      </c>
      <c r="H100" s="32">
        <f t="shared" si="11"/>
        <v>382813.96782272641</v>
      </c>
      <c r="I100" s="32">
        <f t="shared" si="11"/>
        <v>525757.1577610767</v>
      </c>
      <c r="J100" s="32">
        <f t="shared" si="11"/>
        <v>677633.04352142976</v>
      </c>
      <c r="K100" s="95"/>
      <c r="L100" s="27"/>
      <c r="M100" s="15"/>
    </row>
    <row r="101" spans="1:13">
      <c r="A101" s="50"/>
      <c r="B101" s="50"/>
      <c r="C101" s="50" t="s">
        <v>147</v>
      </c>
      <c r="D101" s="50"/>
      <c r="E101" s="32">
        <f t="shared" ref="E101:J101" si="12">SUM(E82:E87)</f>
        <v>0</v>
      </c>
      <c r="F101" s="32">
        <f t="shared" si="12"/>
        <v>2606.8310929022805</v>
      </c>
      <c r="G101" s="32">
        <f t="shared" si="12"/>
        <v>6116.1136688845854</v>
      </c>
      <c r="H101" s="32">
        <f t="shared" si="12"/>
        <v>8763.8573056784753</v>
      </c>
      <c r="I101" s="32">
        <f t="shared" si="12"/>
        <v>11275.717590233322</v>
      </c>
      <c r="J101" s="32">
        <f t="shared" si="12"/>
        <v>13552.660870428608</v>
      </c>
      <c r="K101" s="95"/>
      <c r="L101" s="27"/>
      <c r="M101" s="15"/>
    </row>
    <row r="102" spans="1:13">
      <c r="A102" s="50"/>
      <c r="B102" s="50"/>
      <c r="C102" s="50" t="s">
        <v>68</v>
      </c>
      <c r="D102" s="50"/>
      <c r="E102" s="32">
        <f t="shared" ref="E102:J102" si="13">SUM(E88:E93)</f>
        <v>0</v>
      </c>
      <c r="F102" s="32">
        <f t="shared" si="13"/>
        <v>2923.9333333333334</v>
      </c>
      <c r="G102" s="32">
        <f t="shared" si="13"/>
        <v>5650.282345499958</v>
      </c>
      <c r="H102" s="32">
        <f t="shared" si="13"/>
        <v>8703.6093266460121</v>
      </c>
      <c r="I102" s="32">
        <f t="shared" si="13"/>
        <v>12082.677078294155</v>
      </c>
      <c r="J102" s="32">
        <f t="shared" si="13"/>
        <v>15740.861563286897</v>
      </c>
      <c r="K102" s="95"/>
      <c r="L102" s="27"/>
      <c r="M102" s="15"/>
    </row>
    <row r="103" spans="1:13">
      <c r="A103" s="50"/>
      <c r="B103" s="50"/>
      <c r="C103" s="50" t="s">
        <v>148</v>
      </c>
      <c r="D103" s="50"/>
      <c r="E103" s="32">
        <f t="shared" ref="E103:J103" si="14">SUM(E94:E99)</f>
        <v>131577</v>
      </c>
      <c r="F103" s="32">
        <f t="shared" si="14"/>
        <v>251279.52605296246</v>
      </c>
      <c r="G103" s="32">
        <f t="shared" si="14"/>
        <v>382813.96782272641</v>
      </c>
      <c r="H103" s="32">
        <f t="shared" si="14"/>
        <v>525757.1577610767</v>
      </c>
      <c r="I103" s="32">
        <f t="shared" si="14"/>
        <v>677633.04352142976</v>
      </c>
      <c r="J103" s="32">
        <f t="shared" si="14"/>
        <v>821761.63803339435</v>
      </c>
      <c r="K103" s="95"/>
      <c r="L103" s="50"/>
      <c r="M103" s="15"/>
    </row>
    <row r="104" spans="1:13">
      <c r="A104" s="50"/>
      <c r="B104" s="50"/>
      <c r="C104" s="50"/>
      <c r="D104" s="50"/>
      <c r="E104" s="32"/>
      <c r="F104" s="32"/>
      <c r="G104" s="32"/>
      <c r="H104" s="32"/>
      <c r="I104" s="32"/>
      <c r="J104" s="32"/>
      <c r="K104" s="95"/>
      <c r="L104" s="50"/>
      <c r="M104" s="15"/>
    </row>
    <row r="105" spans="1:13" ht="15.75">
      <c r="A105" s="50"/>
      <c r="B105" s="50"/>
      <c r="C105" s="162" t="s">
        <v>121</v>
      </c>
      <c r="D105" s="50"/>
      <c r="E105" s="162" t="str">
        <f>Inputs!D$11</f>
        <v>2009/10</v>
      </c>
      <c r="F105" s="162" t="str">
        <f>Inputs!E$11</f>
        <v>2010/11</v>
      </c>
      <c r="G105" s="162" t="str">
        <f>Inputs!F$11</f>
        <v>2011/12</v>
      </c>
      <c r="H105" s="162" t="str">
        <f>Inputs!G$11</f>
        <v>2012/13</v>
      </c>
      <c r="I105" s="162" t="str">
        <f>Inputs!H$11</f>
        <v>2013/14</v>
      </c>
      <c r="J105" s="162" t="str">
        <f>Inputs!I$11</f>
        <v>2014/15</v>
      </c>
      <c r="K105" s="95"/>
      <c r="L105" s="50"/>
      <c r="M105" s="15"/>
    </row>
    <row r="106" spans="1:13">
      <c r="A106" s="50"/>
      <c r="B106" s="50"/>
      <c r="C106" s="164" t="s">
        <v>60</v>
      </c>
      <c r="D106" s="50"/>
      <c r="E106" s="164">
        <v>1</v>
      </c>
      <c r="F106" s="164">
        <v>2</v>
      </c>
      <c r="G106" s="164">
        <v>3</v>
      </c>
      <c r="H106" s="164">
        <v>4</v>
      </c>
      <c r="I106" s="164">
        <v>5</v>
      </c>
      <c r="J106" s="164">
        <v>6</v>
      </c>
      <c r="K106" s="95"/>
      <c r="L106" s="50"/>
      <c r="M106" s="15"/>
    </row>
    <row r="107" spans="1:13">
      <c r="A107" s="50"/>
      <c r="B107" s="50"/>
      <c r="C107" s="50" t="s">
        <v>39</v>
      </c>
      <c r="D107" s="32"/>
      <c r="E107" s="32">
        <f t="shared" ref="E107:J107" si="15">E$29</f>
        <v>131577</v>
      </c>
      <c r="F107" s="32">
        <f t="shared" si="15"/>
        <v>120019.6282933935</v>
      </c>
      <c r="G107" s="32">
        <f t="shared" si="15"/>
        <v>131068.61044637936</v>
      </c>
      <c r="H107" s="32">
        <f t="shared" si="15"/>
        <v>142882.94195931772</v>
      </c>
      <c r="I107" s="32">
        <f t="shared" si="15"/>
        <v>152682.845248414</v>
      </c>
      <c r="J107" s="32">
        <f t="shared" si="15"/>
        <v>146316.79520482279</v>
      </c>
      <c r="K107" s="95"/>
      <c r="L107" s="50"/>
      <c r="M107" s="15"/>
    </row>
    <row r="108" spans="1:13">
      <c r="A108" s="50">
        <v>1</v>
      </c>
      <c r="B108" s="50"/>
      <c r="C108" s="50" t="s">
        <v>230</v>
      </c>
      <c r="D108" s="50"/>
      <c r="E108" s="129">
        <v>0</v>
      </c>
      <c r="F108" s="32">
        <f t="shared" ref="F108:J113" si="16">E126</f>
        <v>131577</v>
      </c>
      <c r="G108" s="32">
        <f t="shared" si="16"/>
        <v>128653.06666666667</v>
      </c>
      <c r="H108" s="32">
        <f t="shared" si="16"/>
        <v>125729.13333333333</v>
      </c>
      <c r="I108" s="32">
        <f t="shared" si="16"/>
        <v>122805.2</v>
      </c>
      <c r="J108" s="32">
        <f t="shared" si="16"/>
        <v>119881.26666666666</v>
      </c>
      <c r="K108" s="95"/>
      <c r="L108" s="50"/>
      <c r="M108" s="15"/>
    </row>
    <row r="109" spans="1:13">
      <c r="A109" s="50">
        <v>2</v>
      </c>
      <c r="B109" s="50"/>
      <c r="C109" s="50" t="s">
        <v>231</v>
      </c>
      <c r="D109" s="50"/>
      <c r="E109" s="129">
        <v>0</v>
      </c>
      <c r="F109" s="32">
        <f t="shared" si="16"/>
        <v>0</v>
      </c>
      <c r="G109" s="32">
        <f t="shared" si="16"/>
        <v>120019.6282933935</v>
      </c>
      <c r="H109" s="32">
        <f t="shared" si="16"/>
        <v>117352.52544242921</v>
      </c>
      <c r="I109" s="32">
        <f t="shared" si="16"/>
        <v>114685.42259146491</v>
      </c>
      <c r="J109" s="32">
        <f t="shared" si="16"/>
        <v>112018.31974050062</v>
      </c>
      <c r="K109" s="95"/>
      <c r="L109" s="50"/>
      <c r="M109" s="15"/>
    </row>
    <row r="110" spans="1:13">
      <c r="A110" s="50">
        <v>3</v>
      </c>
      <c r="B110" s="50"/>
      <c r="C110" s="50" t="s">
        <v>232</v>
      </c>
      <c r="D110" s="50"/>
      <c r="E110" s="129">
        <v>0</v>
      </c>
      <c r="F110" s="32">
        <f t="shared" si="16"/>
        <v>0</v>
      </c>
      <c r="G110" s="32">
        <f t="shared" si="16"/>
        <v>0</v>
      </c>
      <c r="H110" s="32">
        <f t="shared" si="16"/>
        <v>131068.61044637936</v>
      </c>
      <c r="I110" s="32">
        <f t="shared" si="16"/>
        <v>128155.97465868204</v>
      </c>
      <c r="J110" s="32">
        <f t="shared" si="16"/>
        <v>125243.33887098472</v>
      </c>
      <c r="K110" s="95"/>
      <c r="L110" s="50"/>
      <c r="M110" s="15"/>
    </row>
    <row r="111" spans="1:13">
      <c r="A111" s="50">
        <v>4</v>
      </c>
      <c r="B111" s="50"/>
      <c r="C111" s="50" t="s">
        <v>233</v>
      </c>
      <c r="D111" s="50"/>
      <c r="E111" s="129">
        <v>0</v>
      </c>
      <c r="F111" s="32">
        <f t="shared" si="16"/>
        <v>0</v>
      </c>
      <c r="G111" s="32">
        <f t="shared" si="16"/>
        <v>0</v>
      </c>
      <c r="H111" s="32">
        <f t="shared" si="16"/>
        <v>0</v>
      </c>
      <c r="I111" s="32">
        <f t="shared" si="16"/>
        <v>142882.94195931772</v>
      </c>
      <c r="J111" s="32">
        <f t="shared" si="16"/>
        <v>139707.76547133288</v>
      </c>
      <c r="K111" s="95"/>
      <c r="L111" s="50"/>
      <c r="M111" s="15"/>
    </row>
    <row r="112" spans="1:13">
      <c r="A112" s="50">
        <v>5</v>
      </c>
      <c r="B112" s="50"/>
      <c r="C112" s="50" t="s">
        <v>234</v>
      </c>
      <c r="D112" s="50"/>
      <c r="E112" s="129">
        <v>0</v>
      </c>
      <c r="F112" s="32">
        <f t="shared" si="16"/>
        <v>0</v>
      </c>
      <c r="G112" s="32">
        <f t="shared" si="16"/>
        <v>0</v>
      </c>
      <c r="H112" s="32">
        <f t="shared" si="16"/>
        <v>0</v>
      </c>
      <c r="I112" s="32">
        <f t="shared" si="16"/>
        <v>0</v>
      </c>
      <c r="J112" s="32">
        <f t="shared" si="16"/>
        <v>152682.845248414</v>
      </c>
      <c r="K112" s="95"/>
      <c r="L112" s="50"/>
      <c r="M112" s="15"/>
    </row>
    <row r="113" spans="1:13">
      <c r="A113" s="50">
        <v>6</v>
      </c>
      <c r="B113" s="50"/>
      <c r="C113" s="50" t="s">
        <v>235</v>
      </c>
      <c r="D113" s="50"/>
      <c r="E113" s="129">
        <v>0</v>
      </c>
      <c r="F113" s="32">
        <f t="shared" si="16"/>
        <v>0</v>
      </c>
      <c r="G113" s="32">
        <f t="shared" si="16"/>
        <v>0</v>
      </c>
      <c r="H113" s="32">
        <f t="shared" si="16"/>
        <v>0</v>
      </c>
      <c r="I113" s="32">
        <f t="shared" si="16"/>
        <v>0</v>
      </c>
      <c r="J113" s="32">
        <f t="shared" si="16"/>
        <v>0</v>
      </c>
      <c r="K113" s="95"/>
      <c r="L113" s="50"/>
      <c r="M113" s="15"/>
    </row>
    <row r="114" spans="1:13">
      <c r="A114" s="50">
        <v>1</v>
      </c>
      <c r="B114" s="50"/>
      <c r="C114" s="50" t="s">
        <v>236</v>
      </c>
      <c r="D114" s="50"/>
      <c r="E114" s="129">
        <f>Inputs!$C$7+$A114</f>
        <v>46</v>
      </c>
      <c r="F114" s="32">
        <f t="shared" ref="F114:J119" si="17">E114-1</f>
        <v>45</v>
      </c>
      <c r="G114" s="32">
        <f t="shared" si="17"/>
        <v>44</v>
      </c>
      <c r="H114" s="32">
        <f t="shared" si="17"/>
        <v>43</v>
      </c>
      <c r="I114" s="32">
        <f t="shared" si="17"/>
        <v>42</v>
      </c>
      <c r="J114" s="32">
        <f t="shared" si="17"/>
        <v>41</v>
      </c>
      <c r="K114" s="95"/>
      <c r="L114" s="50"/>
      <c r="M114" s="15"/>
    </row>
    <row r="115" spans="1:13">
      <c r="A115" s="50">
        <v>2</v>
      </c>
      <c r="B115" s="50"/>
      <c r="C115" s="50" t="s">
        <v>237</v>
      </c>
      <c r="D115" s="50"/>
      <c r="E115" s="129">
        <f>Inputs!$C$7+$A115</f>
        <v>47</v>
      </c>
      <c r="F115" s="32">
        <f t="shared" si="17"/>
        <v>46</v>
      </c>
      <c r="G115" s="32">
        <f t="shared" si="17"/>
        <v>45</v>
      </c>
      <c r="H115" s="32">
        <f t="shared" si="17"/>
        <v>44</v>
      </c>
      <c r="I115" s="32">
        <f t="shared" si="17"/>
        <v>43</v>
      </c>
      <c r="J115" s="32">
        <f t="shared" si="17"/>
        <v>42</v>
      </c>
      <c r="K115" s="95"/>
      <c r="L115" s="50"/>
      <c r="M115" s="15"/>
    </row>
    <row r="116" spans="1:13">
      <c r="A116" s="50">
        <v>3</v>
      </c>
      <c r="B116" s="50"/>
      <c r="C116" s="50" t="s">
        <v>238</v>
      </c>
      <c r="D116" s="50"/>
      <c r="E116" s="129">
        <f>Inputs!$C$7+$A116</f>
        <v>48</v>
      </c>
      <c r="F116" s="32">
        <f t="shared" si="17"/>
        <v>47</v>
      </c>
      <c r="G116" s="32">
        <f t="shared" si="17"/>
        <v>46</v>
      </c>
      <c r="H116" s="32">
        <f t="shared" si="17"/>
        <v>45</v>
      </c>
      <c r="I116" s="32">
        <f t="shared" si="17"/>
        <v>44</v>
      </c>
      <c r="J116" s="32">
        <f t="shared" si="17"/>
        <v>43</v>
      </c>
      <c r="K116" s="95"/>
      <c r="L116" s="50"/>
      <c r="M116" s="15"/>
    </row>
    <row r="117" spans="1:13">
      <c r="A117" s="50">
        <v>4</v>
      </c>
      <c r="B117" s="50"/>
      <c r="C117" s="50" t="s">
        <v>239</v>
      </c>
      <c r="D117" s="50"/>
      <c r="E117" s="129">
        <f>Inputs!$C$7+$A117</f>
        <v>49</v>
      </c>
      <c r="F117" s="32">
        <f t="shared" si="17"/>
        <v>48</v>
      </c>
      <c r="G117" s="32">
        <f t="shared" si="17"/>
        <v>47</v>
      </c>
      <c r="H117" s="32">
        <f t="shared" si="17"/>
        <v>46</v>
      </c>
      <c r="I117" s="32">
        <f t="shared" si="17"/>
        <v>45</v>
      </c>
      <c r="J117" s="32">
        <f t="shared" si="17"/>
        <v>44</v>
      </c>
      <c r="K117" s="95"/>
      <c r="L117" s="50"/>
      <c r="M117" s="15"/>
    </row>
    <row r="118" spans="1:13">
      <c r="A118" s="50">
        <v>5</v>
      </c>
      <c r="B118" s="50"/>
      <c r="C118" s="50" t="s">
        <v>240</v>
      </c>
      <c r="D118" s="50"/>
      <c r="E118" s="129">
        <f>Inputs!$C$7+$A118</f>
        <v>50</v>
      </c>
      <c r="F118" s="32">
        <f t="shared" si="17"/>
        <v>49</v>
      </c>
      <c r="G118" s="32">
        <f t="shared" si="17"/>
        <v>48</v>
      </c>
      <c r="H118" s="32">
        <f t="shared" si="17"/>
        <v>47</v>
      </c>
      <c r="I118" s="32">
        <f t="shared" si="17"/>
        <v>46</v>
      </c>
      <c r="J118" s="32">
        <f t="shared" si="17"/>
        <v>45</v>
      </c>
      <c r="K118" s="95"/>
      <c r="L118" s="50"/>
      <c r="M118" s="15"/>
    </row>
    <row r="119" spans="1:13">
      <c r="A119" s="50">
        <v>6</v>
      </c>
      <c r="B119" s="50"/>
      <c r="C119" s="50" t="s">
        <v>241</v>
      </c>
      <c r="D119" s="50"/>
      <c r="E119" s="129">
        <f>Inputs!$C$7+$A119</f>
        <v>51</v>
      </c>
      <c r="F119" s="32">
        <f t="shared" si="17"/>
        <v>50</v>
      </c>
      <c r="G119" s="32">
        <f t="shared" si="17"/>
        <v>49</v>
      </c>
      <c r="H119" s="32">
        <f t="shared" si="17"/>
        <v>48</v>
      </c>
      <c r="I119" s="32">
        <f t="shared" si="17"/>
        <v>47</v>
      </c>
      <c r="J119" s="32">
        <f t="shared" si="17"/>
        <v>46</v>
      </c>
      <c r="K119" s="95"/>
      <c r="L119" s="50"/>
      <c r="M119" s="15"/>
    </row>
    <row r="120" spans="1:13">
      <c r="A120" s="50">
        <v>1</v>
      </c>
      <c r="B120" s="50"/>
      <c r="C120" s="50" t="s">
        <v>242</v>
      </c>
      <c r="D120" s="50"/>
      <c r="E120" s="32">
        <f t="shared" ref="E120:J125" si="18">E108/E114</f>
        <v>0</v>
      </c>
      <c r="F120" s="32">
        <f t="shared" si="18"/>
        <v>2923.9333333333334</v>
      </c>
      <c r="G120" s="32">
        <f t="shared" si="18"/>
        <v>2923.9333333333334</v>
      </c>
      <c r="H120" s="32">
        <f t="shared" si="18"/>
        <v>2923.9333333333334</v>
      </c>
      <c r="I120" s="32">
        <f t="shared" si="18"/>
        <v>2923.9333333333334</v>
      </c>
      <c r="J120" s="32">
        <f t="shared" si="18"/>
        <v>2923.9333333333334</v>
      </c>
      <c r="K120" s="95"/>
      <c r="L120" s="50"/>
      <c r="M120" s="15"/>
    </row>
    <row r="121" spans="1:13">
      <c r="A121" s="50">
        <v>2</v>
      </c>
      <c r="B121" s="50"/>
      <c r="C121" s="50" t="s">
        <v>243</v>
      </c>
      <c r="D121" s="50"/>
      <c r="E121" s="32">
        <f t="shared" si="18"/>
        <v>0</v>
      </c>
      <c r="F121" s="32">
        <f t="shared" si="18"/>
        <v>0</v>
      </c>
      <c r="G121" s="32">
        <f t="shared" si="18"/>
        <v>2667.1028509643002</v>
      </c>
      <c r="H121" s="32">
        <f t="shared" si="18"/>
        <v>2667.1028509643002</v>
      </c>
      <c r="I121" s="32">
        <f t="shared" si="18"/>
        <v>2667.1028509643002</v>
      </c>
      <c r="J121" s="32">
        <f t="shared" si="18"/>
        <v>2667.1028509643006</v>
      </c>
      <c r="K121" s="95"/>
      <c r="L121" s="50"/>
      <c r="M121" s="15"/>
    </row>
    <row r="122" spans="1:13">
      <c r="A122" s="50">
        <v>3</v>
      </c>
      <c r="B122" s="50"/>
      <c r="C122" s="50" t="s">
        <v>244</v>
      </c>
      <c r="D122" s="50"/>
      <c r="E122" s="32">
        <f t="shared" si="18"/>
        <v>0</v>
      </c>
      <c r="F122" s="32">
        <f t="shared" si="18"/>
        <v>0</v>
      </c>
      <c r="G122" s="32">
        <f t="shared" si="18"/>
        <v>0</v>
      </c>
      <c r="H122" s="32">
        <f t="shared" si="18"/>
        <v>2912.6357876973193</v>
      </c>
      <c r="I122" s="32">
        <f t="shared" si="18"/>
        <v>2912.6357876973193</v>
      </c>
      <c r="J122" s="32">
        <f t="shared" si="18"/>
        <v>2912.6357876973193</v>
      </c>
      <c r="K122" s="95"/>
      <c r="L122" s="50"/>
      <c r="M122" s="15"/>
    </row>
    <row r="123" spans="1:13">
      <c r="A123" s="50">
        <v>4</v>
      </c>
      <c r="B123" s="50"/>
      <c r="C123" s="50" t="s">
        <v>245</v>
      </c>
      <c r="D123" s="50"/>
      <c r="E123" s="32">
        <f t="shared" si="18"/>
        <v>0</v>
      </c>
      <c r="F123" s="32">
        <f t="shared" si="18"/>
        <v>0</v>
      </c>
      <c r="G123" s="32">
        <f t="shared" si="18"/>
        <v>0</v>
      </c>
      <c r="H123" s="32">
        <f t="shared" si="18"/>
        <v>0</v>
      </c>
      <c r="I123" s="32">
        <f t="shared" si="18"/>
        <v>3175.1764879848383</v>
      </c>
      <c r="J123" s="32">
        <f t="shared" si="18"/>
        <v>3175.1764879848383</v>
      </c>
      <c r="K123" s="95"/>
      <c r="L123" s="50"/>
      <c r="M123" s="15"/>
    </row>
    <row r="124" spans="1:13">
      <c r="A124" s="50">
        <v>5</v>
      </c>
      <c r="B124" s="50"/>
      <c r="C124" s="50" t="s">
        <v>246</v>
      </c>
      <c r="D124" s="50"/>
      <c r="E124" s="32">
        <f t="shared" si="18"/>
        <v>0</v>
      </c>
      <c r="F124" s="32">
        <f t="shared" si="18"/>
        <v>0</v>
      </c>
      <c r="G124" s="32">
        <f t="shared" si="18"/>
        <v>0</v>
      </c>
      <c r="H124" s="32">
        <f t="shared" si="18"/>
        <v>0</v>
      </c>
      <c r="I124" s="32">
        <f t="shared" si="18"/>
        <v>0</v>
      </c>
      <c r="J124" s="32">
        <f t="shared" si="18"/>
        <v>3392.9521166314221</v>
      </c>
      <c r="K124" s="95"/>
      <c r="L124" s="50"/>
      <c r="M124" s="15"/>
    </row>
    <row r="125" spans="1:13">
      <c r="A125" s="50">
        <v>6</v>
      </c>
      <c r="B125" s="50"/>
      <c r="C125" s="50" t="s">
        <v>247</v>
      </c>
      <c r="D125" s="50"/>
      <c r="E125" s="32">
        <f t="shared" si="18"/>
        <v>0</v>
      </c>
      <c r="F125" s="32">
        <f t="shared" si="18"/>
        <v>0</v>
      </c>
      <c r="G125" s="32">
        <f t="shared" si="18"/>
        <v>0</v>
      </c>
      <c r="H125" s="32">
        <f t="shared" si="18"/>
        <v>0</v>
      </c>
      <c r="I125" s="32">
        <f t="shared" si="18"/>
        <v>0</v>
      </c>
      <c r="J125" s="32">
        <f t="shared" si="18"/>
        <v>0</v>
      </c>
      <c r="K125" s="95"/>
      <c r="L125" s="50"/>
      <c r="M125" s="15"/>
    </row>
    <row r="126" spans="1:13">
      <c r="A126" s="50">
        <v>1</v>
      </c>
      <c r="B126" s="50"/>
      <c r="C126" s="50" t="s">
        <v>248</v>
      </c>
      <c r="D126" s="50"/>
      <c r="E126" s="32">
        <f t="shared" ref="E126:J131" si="19">E108-E120+IF($A126=E$106,E$107,0)</f>
        <v>131577</v>
      </c>
      <c r="F126" s="32">
        <f t="shared" si="19"/>
        <v>128653.06666666667</v>
      </c>
      <c r="G126" s="32">
        <f t="shared" si="19"/>
        <v>125729.13333333333</v>
      </c>
      <c r="H126" s="32">
        <f t="shared" si="19"/>
        <v>122805.2</v>
      </c>
      <c r="I126" s="32">
        <f t="shared" si="19"/>
        <v>119881.26666666666</v>
      </c>
      <c r="J126" s="32">
        <f t="shared" si="19"/>
        <v>116957.33333333333</v>
      </c>
      <c r="K126" s="95"/>
      <c r="L126" s="50"/>
      <c r="M126" s="15"/>
    </row>
    <row r="127" spans="1:13">
      <c r="A127" s="50">
        <v>2</v>
      </c>
      <c r="B127" s="50"/>
      <c r="C127" s="50" t="s">
        <v>249</v>
      </c>
      <c r="D127" s="50"/>
      <c r="E127" s="32">
        <f t="shared" si="19"/>
        <v>0</v>
      </c>
      <c r="F127" s="32">
        <f t="shared" si="19"/>
        <v>120019.6282933935</v>
      </c>
      <c r="G127" s="32">
        <f t="shared" si="19"/>
        <v>117352.52544242921</v>
      </c>
      <c r="H127" s="32">
        <f t="shared" si="19"/>
        <v>114685.42259146491</v>
      </c>
      <c r="I127" s="32">
        <f t="shared" si="19"/>
        <v>112018.31974050062</v>
      </c>
      <c r="J127" s="32">
        <f t="shared" si="19"/>
        <v>109351.21688953631</v>
      </c>
      <c r="K127" s="95"/>
      <c r="L127" s="50"/>
      <c r="M127" s="15"/>
    </row>
    <row r="128" spans="1:13">
      <c r="A128" s="50">
        <v>3</v>
      </c>
      <c r="B128" s="50"/>
      <c r="C128" s="50" t="s">
        <v>250</v>
      </c>
      <c r="D128" s="50"/>
      <c r="E128" s="32">
        <f t="shared" si="19"/>
        <v>0</v>
      </c>
      <c r="F128" s="32">
        <f t="shared" si="19"/>
        <v>0</v>
      </c>
      <c r="G128" s="32">
        <f t="shared" si="19"/>
        <v>131068.61044637936</v>
      </c>
      <c r="H128" s="32">
        <f t="shared" si="19"/>
        <v>128155.97465868204</v>
      </c>
      <c r="I128" s="32">
        <f t="shared" si="19"/>
        <v>125243.33887098472</v>
      </c>
      <c r="J128" s="32">
        <f t="shared" si="19"/>
        <v>122330.7030832874</v>
      </c>
      <c r="K128" s="95"/>
      <c r="L128" s="50"/>
      <c r="M128" s="15"/>
    </row>
    <row r="129" spans="1:13">
      <c r="A129" s="50">
        <v>4</v>
      </c>
      <c r="B129" s="50"/>
      <c r="C129" s="50" t="s">
        <v>251</v>
      </c>
      <c r="D129" s="50"/>
      <c r="E129" s="32">
        <f t="shared" si="19"/>
        <v>0</v>
      </c>
      <c r="F129" s="32">
        <f t="shared" si="19"/>
        <v>0</v>
      </c>
      <c r="G129" s="32">
        <f t="shared" si="19"/>
        <v>0</v>
      </c>
      <c r="H129" s="32">
        <f t="shared" si="19"/>
        <v>142882.94195931772</v>
      </c>
      <c r="I129" s="32">
        <f t="shared" si="19"/>
        <v>139707.76547133288</v>
      </c>
      <c r="J129" s="32">
        <f t="shared" si="19"/>
        <v>136532.58898334805</v>
      </c>
      <c r="K129" s="95"/>
      <c r="L129" s="50"/>
      <c r="M129" s="15"/>
    </row>
    <row r="130" spans="1:13">
      <c r="A130" s="50">
        <v>5</v>
      </c>
      <c r="B130" s="50"/>
      <c r="C130" s="50" t="s">
        <v>252</v>
      </c>
      <c r="D130" s="50"/>
      <c r="E130" s="32">
        <f t="shared" si="19"/>
        <v>0</v>
      </c>
      <c r="F130" s="32">
        <f t="shared" si="19"/>
        <v>0</v>
      </c>
      <c r="G130" s="32">
        <f t="shared" si="19"/>
        <v>0</v>
      </c>
      <c r="H130" s="32">
        <f t="shared" si="19"/>
        <v>0</v>
      </c>
      <c r="I130" s="32">
        <f t="shared" si="19"/>
        <v>152682.845248414</v>
      </c>
      <c r="J130" s="32">
        <f t="shared" si="19"/>
        <v>149289.89313178259</v>
      </c>
      <c r="K130" s="95"/>
      <c r="L130" s="50"/>
      <c r="M130" s="15"/>
    </row>
    <row r="131" spans="1:13">
      <c r="A131" s="50">
        <v>6</v>
      </c>
      <c r="B131" s="50"/>
      <c r="C131" s="50" t="s">
        <v>253</v>
      </c>
      <c r="D131" s="50"/>
      <c r="E131" s="32">
        <f t="shared" si="19"/>
        <v>0</v>
      </c>
      <c r="F131" s="32">
        <f t="shared" si="19"/>
        <v>0</v>
      </c>
      <c r="G131" s="32">
        <f t="shared" si="19"/>
        <v>0</v>
      </c>
      <c r="H131" s="32">
        <f t="shared" si="19"/>
        <v>0</v>
      </c>
      <c r="I131" s="32">
        <f t="shared" si="19"/>
        <v>0</v>
      </c>
      <c r="J131" s="32">
        <f t="shared" si="19"/>
        <v>146316.79520482279</v>
      </c>
      <c r="K131" s="95"/>
      <c r="L131" s="50"/>
      <c r="M131" s="15"/>
    </row>
    <row r="132" spans="1:13">
      <c r="A132" s="50"/>
      <c r="B132" s="50"/>
      <c r="C132" s="50" t="s">
        <v>62</v>
      </c>
      <c r="D132" s="50"/>
      <c r="E132" s="32">
        <f t="shared" ref="E132:J132" si="20">SUM(E120:E125)</f>
        <v>0</v>
      </c>
      <c r="F132" s="32">
        <f t="shared" si="20"/>
        <v>2923.9333333333334</v>
      </c>
      <c r="G132" s="32">
        <f t="shared" si="20"/>
        <v>5591.0361842976336</v>
      </c>
      <c r="H132" s="32">
        <f t="shared" si="20"/>
        <v>8503.6719719949524</v>
      </c>
      <c r="I132" s="32">
        <f t="shared" si="20"/>
        <v>11678.84845997979</v>
      </c>
      <c r="J132" s="32">
        <f t="shared" si="20"/>
        <v>15071.800576611215</v>
      </c>
      <c r="K132" s="95"/>
      <c r="L132" s="27"/>
      <c r="M132" s="15"/>
    </row>
    <row r="133" spans="1:13" s="15" customFormat="1">
      <c r="A133" s="50"/>
      <c r="B133" s="50"/>
      <c r="C133" s="50"/>
      <c r="D133" s="50"/>
      <c r="E133" s="32"/>
      <c r="F133" s="32"/>
      <c r="G133" s="32"/>
      <c r="H133" s="32"/>
      <c r="I133" s="32"/>
      <c r="J133" s="32"/>
      <c r="K133" s="95"/>
      <c r="L133" s="50"/>
    </row>
    <row r="134" spans="1:13" ht="15.75">
      <c r="A134" s="50"/>
      <c r="B134" s="50"/>
      <c r="C134" s="162" t="s">
        <v>63</v>
      </c>
      <c r="D134" s="50"/>
      <c r="E134" s="50"/>
      <c r="F134" s="50"/>
      <c r="G134" s="50"/>
      <c r="H134" s="50"/>
      <c r="I134" s="50"/>
      <c r="J134" s="50"/>
      <c r="K134" s="95"/>
      <c r="L134" s="50"/>
      <c r="M134" s="15"/>
    </row>
    <row r="135" spans="1:13">
      <c r="A135" s="50"/>
      <c r="B135" s="50"/>
      <c r="C135" s="50" t="s">
        <v>65</v>
      </c>
      <c r="D135" s="50"/>
      <c r="E135" s="129">
        <f>E59</f>
        <v>2273866.0351738334</v>
      </c>
      <c r="F135" s="32">
        <f>E140</f>
        <v>2188335.7243839232</v>
      </c>
      <c r="G135" s="32">
        <f>F140</f>
        <v>2102717.4707259508</v>
      </c>
      <c r="H135" s="32">
        <f>G140</f>
        <v>2017290.1055937626</v>
      </c>
      <c r="I135" s="32">
        <f>H140</f>
        <v>1932047.2955760632</v>
      </c>
      <c r="J135" s="32">
        <f>I140</f>
        <v>1847009.5691468762</v>
      </c>
      <c r="K135" s="95"/>
      <c r="L135" s="50"/>
      <c r="M135" s="15"/>
    </row>
    <row r="136" spans="1:13">
      <c r="A136" s="50"/>
      <c r="B136" s="50"/>
      <c r="C136" s="50" t="s">
        <v>40</v>
      </c>
      <c r="D136" s="50"/>
      <c r="E136" s="32">
        <f t="shared" ref="E136:J136" si="21">E56</f>
        <v>8957</v>
      </c>
      <c r="F136" s="32">
        <f t="shared" si="21"/>
        <v>9357.0847766636271</v>
      </c>
      <c r="G136" s="32">
        <f t="shared" si="21"/>
        <v>9504.0546946216946</v>
      </c>
      <c r="H136" s="32">
        <f t="shared" si="21"/>
        <v>9675.5195989061067</v>
      </c>
      <c r="I136" s="32">
        <f t="shared" si="21"/>
        <v>9846.9845031905188</v>
      </c>
      <c r="J136" s="32">
        <f t="shared" si="21"/>
        <v>10075.604375569734</v>
      </c>
      <c r="K136" s="95"/>
      <c r="L136" s="50"/>
      <c r="M136" s="15"/>
    </row>
    <row r="137" spans="1:13">
      <c r="A137" s="50"/>
      <c r="B137" s="50"/>
      <c r="C137" s="50" t="s">
        <v>312</v>
      </c>
      <c r="D137" s="50"/>
      <c r="E137" s="32">
        <f>Vct!E12</f>
        <v>0</v>
      </c>
      <c r="F137" s="32"/>
      <c r="G137" s="32"/>
      <c r="H137" s="32"/>
      <c r="I137" s="32"/>
      <c r="J137" s="32"/>
      <c r="K137" s="95"/>
      <c r="L137" s="50"/>
      <c r="M137" s="15"/>
    </row>
    <row r="138" spans="1:13">
      <c r="A138" s="50"/>
      <c r="B138" s="50"/>
      <c r="C138" s="50" t="s">
        <v>313</v>
      </c>
      <c r="D138" s="50"/>
      <c r="E138" s="32">
        <f>Vct!E13</f>
        <v>0</v>
      </c>
      <c r="F138" s="32"/>
      <c r="G138" s="32"/>
      <c r="H138" s="32"/>
      <c r="I138" s="32"/>
      <c r="J138" s="32"/>
      <c r="K138" s="95"/>
      <c r="L138" s="50"/>
      <c r="M138" s="15"/>
    </row>
    <row r="139" spans="1:13">
      <c r="A139" s="50"/>
      <c r="B139" s="50"/>
      <c r="C139" s="50" t="s">
        <v>64</v>
      </c>
      <c r="D139" s="50"/>
      <c r="E139" s="32">
        <f t="shared" ref="E139:J139" si="22">E135/E$54</f>
        <v>76573.310789910291</v>
      </c>
      <c r="F139" s="32">
        <f t="shared" si="22"/>
        <v>76261.168881308869</v>
      </c>
      <c r="G139" s="32">
        <f t="shared" si="22"/>
        <v>75923.310437566543</v>
      </c>
      <c r="H139" s="32">
        <f t="shared" si="22"/>
        <v>75567.290418793302</v>
      </c>
      <c r="I139" s="32">
        <f t="shared" si="22"/>
        <v>75190.741925996525</v>
      </c>
      <c r="J139" s="32">
        <f t="shared" si="22"/>
        <v>74792.002416973468</v>
      </c>
      <c r="K139" s="95"/>
      <c r="L139" s="50"/>
      <c r="M139" s="15"/>
    </row>
    <row r="140" spans="1:13">
      <c r="A140" s="50"/>
      <c r="B140" s="50"/>
      <c r="C140" s="50" t="s">
        <v>61</v>
      </c>
      <c r="D140" s="50"/>
      <c r="E140" s="129">
        <f>E135-E136-E137+E138-E139</f>
        <v>2188335.7243839232</v>
      </c>
      <c r="F140" s="32">
        <f>F135-F136-F139</f>
        <v>2102717.4707259508</v>
      </c>
      <c r="G140" s="32">
        <f>G135-G136-G139</f>
        <v>2017290.1055937626</v>
      </c>
      <c r="H140" s="32">
        <f>H135-H136-H139</f>
        <v>1932047.2955760632</v>
      </c>
      <c r="I140" s="32">
        <f>I135-I136-I139</f>
        <v>1847009.5691468762</v>
      </c>
      <c r="J140" s="32">
        <f>J135-J136-J139</f>
        <v>1762141.9623543329</v>
      </c>
      <c r="K140" s="95"/>
      <c r="L140" s="50"/>
      <c r="M140" s="15"/>
    </row>
    <row r="141" spans="1:13">
      <c r="A141" s="50"/>
      <c r="B141" s="50"/>
      <c r="C141" s="50"/>
      <c r="D141" s="50"/>
      <c r="E141" s="32"/>
      <c r="F141" s="32"/>
      <c r="G141" s="32"/>
      <c r="H141" s="32"/>
      <c r="I141" s="32"/>
      <c r="J141" s="32"/>
      <c r="K141" s="95"/>
      <c r="L141" s="27"/>
      <c r="M141" s="15"/>
    </row>
    <row r="142" spans="1:13" ht="15.75">
      <c r="A142" s="50"/>
      <c r="B142" s="50"/>
      <c r="C142" s="162" t="s">
        <v>66</v>
      </c>
      <c r="D142" s="50"/>
      <c r="E142" s="50"/>
      <c r="F142" s="50"/>
      <c r="G142" s="50"/>
      <c r="H142" s="50"/>
      <c r="I142" s="50"/>
      <c r="J142" s="50"/>
      <c r="K142" s="95"/>
      <c r="L142" s="27"/>
      <c r="M142" s="15"/>
    </row>
    <row r="143" spans="1:13">
      <c r="A143" s="50"/>
      <c r="B143" s="50"/>
      <c r="C143" s="50" t="s">
        <v>155</v>
      </c>
      <c r="D143" s="50"/>
      <c r="E143" s="32">
        <f t="shared" ref="E143:J143" si="23">E59+E100</f>
        <v>2273866.0351738334</v>
      </c>
      <c r="F143" s="32">
        <f t="shared" si="23"/>
        <v>2358906.6395438411</v>
      </c>
      <c r="G143" s="32">
        <f t="shared" si="23"/>
        <v>2435530.8241917202</v>
      </c>
      <c r="H143" s="32">
        <f t="shared" si="23"/>
        <v>2531573.8637848543</v>
      </c>
      <c r="I143" s="32">
        <f t="shared" si="23"/>
        <v>2633270.8205495421</v>
      </c>
      <c r="J143" s="32">
        <f t="shared" si="23"/>
        <v>2738222.9165807595</v>
      </c>
      <c r="K143" s="95"/>
      <c r="L143" s="27"/>
      <c r="M143" s="15"/>
    </row>
    <row r="144" spans="1:13">
      <c r="A144" s="50"/>
      <c r="B144" s="50"/>
      <c r="C144" s="50" t="s">
        <v>154</v>
      </c>
      <c r="D144" s="50"/>
      <c r="E144" s="32">
        <f t="shared" ref="E144:J146" si="24">E63+E101</f>
        <v>38993.915159917953</v>
      </c>
      <c r="F144" s="32">
        <f t="shared" si="24"/>
        <v>46505.639751045259</v>
      </c>
      <c r="G144" s="32">
        <f t="shared" si="24"/>
        <v>58996.037558808966</v>
      </c>
      <c r="H144" s="32">
        <f t="shared" si="24"/>
        <v>57685.266627956924</v>
      </c>
      <c r="I144" s="32">
        <f t="shared" si="24"/>
        <v>56218.393091850128</v>
      </c>
      <c r="J144" s="32">
        <f t="shared" si="24"/>
        <v>54521.734446642658</v>
      </c>
      <c r="K144" s="95"/>
      <c r="L144" s="50"/>
      <c r="M144" s="15"/>
    </row>
    <row r="145" spans="1:13">
      <c r="A145" s="50"/>
      <c r="B145" s="50"/>
      <c r="C145" s="50" t="s">
        <v>153</v>
      </c>
      <c r="D145" s="50"/>
      <c r="E145" s="32">
        <f t="shared" si="24"/>
        <v>76573.310789910291</v>
      </c>
      <c r="F145" s="32">
        <f t="shared" si="24"/>
        <v>80543.998619896069</v>
      </c>
      <c r="G145" s="32">
        <f t="shared" si="24"/>
        <v>84517.553717432238</v>
      </c>
      <c r="H145" s="32">
        <f t="shared" si="24"/>
        <v>89195.732223681189</v>
      </c>
      <c r="I145" s="32">
        <f t="shared" si="24"/>
        <v>94102.157805856143</v>
      </c>
      <c r="J145" s="32">
        <f t="shared" si="24"/>
        <v>99181.491942603025</v>
      </c>
      <c r="K145" s="95"/>
      <c r="L145" s="50"/>
      <c r="M145" s="15"/>
    </row>
    <row r="146" spans="1:13">
      <c r="A146" s="50"/>
      <c r="B146" s="50"/>
      <c r="C146" s="50" t="s">
        <v>156</v>
      </c>
      <c r="D146" s="50"/>
      <c r="E146" s="32">
        <f t="shared" si="24"/>
        <v>2358906.6395438411</v>
      </c>
      <c r="F146" s="32">
        <f t="shared" si="24"/>
        <v>2435530.8241917202</v>
      </c>
      <c r="G146" s="32">
        <f t="shared" si="24"/>
        <v>2531573.8637848543</v>
      </c>
      <c r="H146" s="32">
        <f t="shared" si="24"/>
        <v>2633270.8205495421</v>
      </c>
      <c r="I146" s="32">
        <f t="shared" si="24"/>
        <v>2738222.9165807595</v>
      </c>
      <c r="J146" s="32">
        <f t="shared" si="24"/>
        <v>2829804.3499140521</v>
      </c>
      <c r="K146" s="95"/>
      <c r="L146" s="50"/>
      <c r="M146" s="15"/>
    </row>
    <row r="147" spans="1:13">
      <c r="A147" s="50"/>
      <c r="B147" s="50"/>
      <c r="C147" s="50" t="s">
        <v>45</v>
      </c>
      <c r="D147" s="50"/>
      <c r="E147" s="32">
        <f t="shared" ref="E147:J147" si="25">E132+E139</f>
        <v>76573.310789910291</v>
      </c>
      <c r="F147" s="32">
        <f t="shared" si="25"/>
        <v>79185.102214642204</v>
      </c>
      <c r="G147" s="32">
        <f t="shared" si="25"/>
        <v>81514.34662186417</v>
      </c>
      <c r="H147" s="32">
        <f t="shared" si="25"/>
        <v>84070.962390788249</v>
      </c>
      <c r="I147" s="32">
        <f t="shared" si="25"/>
        <v>86869.59038597632</v>
      </c>
      <c r="J147" s="32">
        <f t="shared" si="25"/>
        <v>89863.802993584686</v>
      </c>
      <c r="K147" s="95"/>
      <c r="L147" s="50"/>
      <c r="M147" s="15"/>
    </row>
    <row r="148" spans="1:13">
      <c r="A148" s="50"/>
      <c r="B148" s="50"/>
      <c r="C148" s="50" t="s">
        <v>178</v>
      </c>
      <c r="D148" s="50"/>
      <c r="E148" s="128"/>
      <c r="F148" s="165">
        <f>F143+F107+F144-F145-F56-F146</f>
        <v>0</v>
      </c>
      <c r="G148" s="165">
        <f>G143+G107+G144-G145-G56-G146</f>
        <v>0</v>
      </c>
      <c r="H148" s="165">
        <f>H143+H107+H144-H145-H56-H146</f>
        <v>0</v>
      </c>
      <c r="I148" s="165">
        <f>I143+I107+I144-I145-I56-I146</f>
        <v>0</v>
      </c>
      <c r="J148" s="165">
        <f>J143+J107+J144-J145-J56-J146</f>
        <v>0</v>
      </c>
      <c r="K148" s="95"/>
      <c r="L148" s="50"/>
      <c r="M148" s="15"/>
    </row>
    <row r="149" spans="1:13">
      <c r="A149" s="50"/>
      <c r="B149" s="50"/>
      <c r="C149" s="50"/>
      <c r="D149" s="50"/>
      <c r="E149" s="50"/>
      <c r="F149" s="32"/>
      <c r="G149" s="32"/>
      <c r="H149" s="50"/>
      <c r="I149" s="50"/>
      <c r="J149" s="50"/>
      <c r="K149" s="95"/>
      <c r="L149" s="50"/>
      <c r="M149" s="15"/>
    </row>
    <row r="150" spans="1:13" ht="15.75">
      <c r="A150" s="50"/>
      <c r="B150" s="50"/>
      <c r="C150" s="162" t="s">
        <v>90</v>
      </c>
      <c r="D150" s="50"/>
      <c r="E150" s="50"/>
      <c r="F150" s="50"/>
      <c r="G150" s="50"/>
      <c r="H150" s="50"/>
      <c r="I150" s="50"/>
      <c r="J150" s="50"/>
      <c r="K150" s="95"/>
      <c r="L150" s="50"/>
      <c r="M150" s="15"/>
    </row>
    <row r="151" spans="1:13" ht="15.75">
      <c r="A151" s="50"/>
      <c r="B151" s="50"/>
      <c r="C151" s="158" t="s">
        <v>160</v>
      </c>
      <c r="D151" s="50"/>
      <c r="E151" s="129"/>
      <c r="F151" s="166">
        <f>F143/$E143</f>
        <v>1.0373991268854617</v>
      </c>
      <c r="G151" s="166">
        <f>G143/$E143</f>
        <v>1.0710968836849388</v>
      </c>
      <c r="H151" s="166">
        <f>H143/$E143</f>
        <v>1.1133346576379639</v>
      </c>
      <c r="I151" s="166">
        <f>I143/$E143</f>
        <v>1.1580589092832079</v>
      </c>
      <c r="J151" s="166">
        <f>J143/$E143</f>
        <v>1.2042147049227667</v>
      </c>
      <c r="K151" s="95"/>
      <c r="L151" s="50"/>
      <c r="M151" s="15"/>
    </row>
    <row r="152" spans="1:13">
      <c r="A152" s="50"/>
      <c r="B152" s="50"/>
      <c r="C152" s="50" t="s">
        <v>90</v>
      </c>
      <c r="D152" s="50"/>
      <c r="E152" s="129">
        <f>IF(E20&gt;0,E20,0)</f>
        <v>479</v>
      </c>
      <c r="F152" s="32">
        <f>$E152*F151</f>
        <v>496.91418177813614</v>
      </c>
      <c r="G152" s="32">
        <f>$E152*G151</f>
        <v>513.05540728508572</v>
      </c>
      <c r="H152" s="32">
        <f>$E152*H151</f>
        <v>533.28730100858468</v>
      </c>
      <c r="I152" s="32">
        <f>$E152*I151</f>
        <v>554.71021754665662</v>
      </c>
      <c r="J152" s="32">
        <f>$E152*J151</f>
        <v>576.81884365800522</v>
      </c>
      <c r="K152" s="95"/>
      <c r="L152" s="50"/>
      <c r="M152" s="15"/>
    </row>
    <row r="153" spans="1:13">
      <c r="A153" s="50"/>
      <c r="B153" s="50"/>
      <c r="C153" s="50"/>
      <c r="D153" s="50"/>
      <c r="E153" s="50"/>
      <c r="F153" s="50"/>
      <c r="G153" s="50"/>
      <c r="H153" s="50"/>
      <c r="I153" s="50"/>
      <c r="J153" s="50"/>
      <c r="K153" s="95"/>
      <c r="L153" s="50"/>
      <c r="M153" s="15"/>
    </row>
    <row r="154" spans="1:13" ht="15.75">
      <c r="A154" s="50"/>
      <c r="B154" s="50"/>
      <c r="C154" s="162" t="s">
        <v>46</v>
      </c>
      <c r="D154" s="50"/>
      <c r="E154" s="50"/>
      <c r="F154" s="50"/>
      <c r="G154" s="50"/>
      <c r="H154" s="50"/>
      <c r="I154" s="50"/>
      <c r="J154" s="50"/>
      <c r="K154" s="95"/>
      <c r="L154" s="27"/>
      <c r="M154" s="15"/>
    </row>
    <row r="155" spans="1:13">
      <c r="A155" s="50"/>
      <c r="B155" s="50"/>
      <c r="C155" s="50" t="s">
        <v>157</v>
      </c>
      <c r="D155" s="49">
        <f>E17/E18</f>
        <v>9.7603180336305453E-2</v>
      </c>
      <c r="E155" s="50"/>
      <c r="F155" s="50"/>
      <c r="G155" s="50"/>
      <c r="H155" s="50"/>
      <c r="I155" s="50"/>
      <c r="J155" s="50"/>
      <c r="K155" s="95"/>
      <c r="L155" s="125"/>
      <c r="M155" s="15"/>
    </row>
    <row r="156" spans="1:13">
      <c r="A156" s="50"/>
      <c r="B156" s="50"/>
      <c r="C156" s="50" t="s">
        <v>167</v>
      </c>
      <c r="D156" s="50"/>
      <c r="E156" s="129">
        <f>E18</f>
        <v>847206</v>
      </c>
      <c r="F156" s="32">
        <f>E159</f>
        <v>896093</v>
      </c>
      <c r="G156" s="32">
        <f>F159</f>
        <v>928651.10161629261</v>
      </c>
      <c r="H156" s="32">
        <f>G159</f>
        <v>969080.41112210823</v>
      </c>
      <c r="I156" s="32">
        <f>H159</f>
        <v>1017378.0229542938</v>
      </c>
      <c r="J156" s="32">
        <f>I159</f>
        <v>1070761.537558106</v>
      </c>
      <c r="K156" s="95"/>
      <c r="L156" s="125"/>
      <c r="M156" s="15"/>
    </row>
    <row r="157" spans="1:13">
      <c r="A157" s="50"/>
      <c r="B157" s="50"/>
      <c r="C157" s="50" t="s">
        <v>34</v>
      </c>
      <c r="D157" s="50"/>
      <c r="E157" s="129">
        <f>E17</f>
        <v>82690</v>
      </c>
      <c r="F157" s="32">
        <f>F156*$D155</f>
        <v>87461.526677100963</v>
      </c>
      <c r="G157" s="32">
        <f>G156*$D155</f>
        <v>90639.300940563728</v>
      </c>
      <c r="H157" s="32">
        <f>H156*$D155</f>
        <v>94585.330127132154</v>
      </c>
      <c r="I157" s="32">
        <f>I156*$D155</f>
        <v>99299.33064460184</v>
      </c>
      <c r="J157" s="32">
        <f>J156*$D155</f>
        <v>104509.73144746352</v>
      </c>
      <c r="K157" s="95"/>
      <c r="L157" s="50"/>
      <c r="M157" s="15"/>
    </row>
    <row r="158" spans="1:13">
      <c r="A158" s="50"/>
      <c r="B158" s="50"/>
      <c r="C158" s="50" t="s">
        <v>98</v>
      </c>
      <c r="D158" s="50"/>
      <c r="E158" s="32">
        <f t="shared" ref="E158:J158" si="26">E29</f>
        <v>131577</v>
      </c>
      <c r="F158" s="32">
        <f t="shared" si="26"/>
        <v>120019.6282933935</v>
      </c>
      <c r="G158" s="32">
        <f t="shared" si="26"/>
        <v>131068.61044637936</v>
      </c>
      <c r="H158" s="32">
        <f t="shared" si="26"/>
        <v>142882.94195931772</v>
      </c>
      <c r="I158" s="32">
        <f t="shared" si="26"/>
        <v>152682.845248414</v>
      </c>
      <c r="J158" s="32">
        <f t="shared" si="26"/>
        <v>146316.79520482279</v>
      </c>
      <c r="K158" s="95"/>
      <c r="L158" s="125"/>
      <c r="M158" s="15"/>
    </row>
    <row r="159" spans="1:13">
      <c r="A159" s="50"/>
      <c r="B159" s="50"/>
      <c r="C159" s="50" t="s">
        <v>127</v>
      </c>
      <c r="D159" s="50"/>
      <c r="E159" s="32">
        <f t="shared" ref="E159:J159" si="27">E156-E157+E158</f>
        <v>896093</v>
      </c>
      <c r="F159" s="32">
        <f t="shared" si="27"/>
        <v>928651.10161629261</v>
      </c>
      <c r="G159" s="32">
        <f t="shared" si="27"/>
        <v>969080.41112210823</v>
      </c>
      <c r="H159" s="32">
        <f t="shared" si="27"/>
        <v>1017378.0229542938</v>
      </c>
      <c r="I159" s="32">
        <f t="shared" si="27"/>
        <v>1070761.537558106</v>
      </c>
      <c r="J159" s="32">
        <f t="shared" si="27"/>
        <v>1112568.6013154653</v>
      </c>
      <c r="K159" s="95"/>
      <c r="L159" s="125"/>
      <c r="M159" s="15"/>
    </row>
    <row r="160" spans="1:13">
      <c r="A160" s="50"/>
      <c r="B160" s="50"/>
      <c r="C160" s="50"/>
      <c r="D160" s="50"/>
      <c r="E160" s="50"/>
      <c r="F160" s="50"/>
      <c r="G160" s="50"/>
      <c r="H160" s="50"/>
      <c r="I160" s="50"/>
      <c r="J160" s="50"/>
      <c r="K160" s="95"/>
      <c r="L160" s="27"/>
      <c r="M160" s="15"/>
    </row>
    <row r="161" spans="1:13" ht="15.75">
      <c r="A161" s="50"/>
      <c r="B161" s="50"/>
      <c r="C161" s="162" t="s">
        <v>128</v>
      </c>
      <c r="D161" s="50"/>
      <c r="E161" s="50"/>
      <c r="F161" s="50"/>
      <c r="G161" s="50"/>
      <c r="H161" s="50"/>
      <c r="I161" s="50"/>
      <c r="J161" s="50"/>
      <c r="K161" s="95"/>
      <c r="L161" s="27"/>
      <c r="M161" s="15"/>
    </row>
    <row r="162" spans="1:13">
      <c r="A162" s="50"/>
      <c r="B162" s="50"/>
      <c r="C162" s="50" t="s">
        <v>126</v>
      </c>
      <c r="D162" s="50"/>
      <c r="E162" s="32">
        <f t="shared" ref="E162:J162" si="28">E147-E157</f>
        <v>-6116.6892100897094</v>
      </c>
      <c r="F162" s="32">
        <f t="shared" si="28"/>
        <v>-8276.4244624587591</v>
      </c>
      <c r="G162" s="32">
        <f t="shared" si="28"/>
        <v>-9124.9543186995579</v>
      </c>
      <c r="H162" s="32">
        <f t="shared" si="28"/>
        <v>-10514.367736343906</v>
      </c>
      <c r="I162" s="32">
        <f t="shared" si="28"/>
        <v>-12429.740258625519</v>
      </c>
      <c r="J162" s="32">
        <f t="shared" si="28"/>
        <v>-14645.928453878834</v>
      </c>
      <c r="K162" s="95"/>
      <c r="L162" s="50"/>
      <c r="M162" s="15"/>
    </row>
    <row r="163" spans="1:13">
      <c r="A163" s="50"/>
      <c r="B163" s="50"/>
      <c r="C163" s="50"/>
      <c r="D163" s="50"/>
      <c r="E163" s="50"/>
      <c r="F163" s="50"/>
      <c r="G163" s="50"/>
      <c r="H163" s="50"/>
      <c r="I163" s="50"/>
      <c r="J163" s="50"/>
      <c r="K163" s="95"/>
      <c r="L163" s="50"/>
      <c r="M163" s="15"/>
    </row>
    <row r="164" spans="1:13" ht="15.75">
      <c r="A164" s="50"/>
      <c r="B164" s="50"/>
      <c r="C164" s="162" t="s">
        <v>47</v>
      </c>
      <c r="D164" s="50"/>
      <c r="E164" s="50"/>
      <c r="F164" s="50"/>
      <c r="G164" s="50"/>
      <c r="H164" s="50"/>
      <c r="I164" s="50"/>
      <c r="J164" s="50"/>
      <c r="K164" s="95"/>
      <c r="L164" s="50"/>
      <c r="M164" s="15"/>
    </row>
    <row r="165" spans="1:13">
      <c r="A165" s="50"/>
      <c r="B165" s="50"/>
      <c r="C165" s="50" t="s">
        <v>151</v>
      </c>
      <c r="D165" s="50"/>
      <c r="E165" s="193">
        <v>0</v>
      </c>
      <c r="F165" s="31">
        <f>E168</f>
        <v>-12575.232874749623</v>
      </c>
      <c r="G165" s="31">
        <f>F168</f>
        <v>-25798.386325209962</v>
      </c>
      <c r="H165" s="31">
        <f>G168</f>
        <v>-38377.584572053704</v>
      </c>
      <c r="I165" s="31">
        <f>H168</f>
        <v>-51345.81857583786</v>
      </c>
      <c r="J165" s="31">
        <f>I168</f>
        <v>-64850.356885860871</v>
      </c>
      <c r="K165" s="95"/>
      <c r="L165" s="50"/>
      <c r="M165" s="15"/>
    </row>
    <row r="166" spans="1:13">
      <c r="A166" s="50"/>
      <c r="B166" s="50"/>
      <c r="C166" s="50" t="s">
        <v>126</v>
      </c>
      <c r="D166" s="50"/>
      <c r="E166" s="32">
        <f t="shared" ref="E166:J166" si="29">E162</f>
        <v>-6116.6892100897094</v>
      </c>
      <c r="F166" s="32">
        <f t="shared" si="29"/>
        <v>-8276.4244624587591</v>
      </c>
      <c r="G166" s="32">
        <f t="shared" si="29"/>
        <v>-9124.9543186995579</v>
      </c>
      <c r="H166" s="32">
        <f t="shared" si="29"/>
        <v>-10514.367736343906</v>
      </c>
      <c r="I166" s="32">
        <f t="shared" si="29"/>
        <v>-12429.740258625519</v>
      </c>
      <c r="J166" s="32">
        <f t="shared" si="29"/>
        <v>-14645.928453878834</v>
      </c>
      <c r="K166" s="95"/>
      <c r="L166" s="50"/>
      <c r="M166" s="15"/>
    </row>
    <row r="167" spans="1:13">
      <c r="A167" s="50"/>
      <c r="B167" s="50"/>
      <c r="C167" s="50" t="s">
        <v>48</v>
      </c>
      <c r="D167" s="50"/>
      <c r="E167" s="129">
        <f>(E11-E18)/E19</f>
        <v>35800.753705742369</v>
      </c>
      <c r="F167" s="32">
        <f>E167</f>
        <v>35800.753705742369</v>
      </c>
      <c r="G167" s="32">
        <f>F167</f>
        <v>35800.753705742369</v>
      </c>
      <c r="H167" s="32">
        <f>G167</f>
        <v>35800.753705742369</v>
      </c>
      <c r="I167" s="32">
        <f>H167</f>
        <v>35800.753705742369</v>
      </c>
      <c r="J167" s="32">
        <f>I167</f>
        <v>35800.753705742369</v>
      </c>
      <c r="K167" s="95"/>
      <c r="L167" s="50"/>
      <c r="M167" s="15"/>
    </row>
    <row r="168" spans="1:13">
      <c r="A168" s="50"/>
      <c r="B168" s="50"/>
      <c r="C168" s="50" t="s">
        <v>152</v>
      </c>
      <c r="D168" s="50"/>
      <c r="E168" s="31">
        <f t="shared" ref="E168:J168" si="30">E165+(E166-E167)*E53</f>
        <v>-12575.232874749623</v>
      </c>
      <c r="F168" s="31">
        <f t="shared" si="30"/>
        <v>-25798.386325209962</v>
      </c>
      <c r="G168" s="31">
        <f t="shared" si="30"/>
        <v>-38377.584572053704</v>
      </c>
      <c r="H168" s="31">
        <f t="shared" si="30"/>
        <v>-51345.81857583786</v>
      </c>
      <c r="I168" s="31">
        <f t="shared" si="30"/>
        <v>-64850.356885860871</v>
      </c>
      <c r="J168" s="31">
        <f t="shared" si="30"/>
        <v>-78975.427890554813</v>
      </c>
      <c r="K168" s="95"/>
      <c r="L168" s="50"/>
      <c r="M168" s="15"/>
    </row>
    <row r="169" spans="1:13">
      <c r="A169" s="50"/>
      <c r="B169" s="50"/>
      <c r="C169" s="50"/>
      <c r="D169" s="50"/>
      <c r="E169" s="31"/>
      <c r="F169" s="31"/>
      <c r="G169" s="31"/>
      <c r="H169" s="31"/>
      <c r="I169" s="31"/>
      <c r="J169" s="31"/>
      <c r="K169" s="95"/>
      <c r="L169" s="27"/>
      <c r="M169" s="15"/>
    </row>
    <row r="170" spans="1:13" ht="15.75">
      <c r="A170" s="50"/>
      <c r="B170" s="50"/>
      <c r="C170" s="162" t="s">
        <v>196</v>
      </c>
      <c r="D170" s="50"/>
      <c r="E170" s="50"/>
      <c r="F170" s="50"/>
      <c r="G170" s="50"/>
      <c r="H170" s="50"/>
      <c r="I170" s="50"/>
      <c r="J170" s="50"/>
      <c r="K170" s="95"/>
      <c r="L170" s="27"/>
      <c r="M170" s="15"/>
    </row>
    <row r="171" spans="1:13">
      <c r="A171" s="50"/>
      <c r="B171" s="50"/>
      <c r="C171" s="50" t="s">
        <v>106</v>
      </c>
      <c r="D171" s="50"/>
      <c r="E171" s="32">
        <f t="shared" ref="E171:J171" si="31">E143+E165</f>
        <v>2273866.0351738334</v>
      </c>
      <c r="F171" s="32">
        <f t="shared" si="31"/>
        <v>2346331.4066690914</v>
      </c>
      <c r="G171" s="32">
        <f t="shared" si="31"/>
        <v>2409732.4378665104</v>
      </c>
      <c r="H171" s="32">
        <f t="shared" si="31"/>
        <v>2493196.2792128008</v>
      </c>
      <c r="I171" s="32">
        <f t="shared" si="31"/>
        <v>2581925.0019737044</v>
      </c>
      <c r="J171" s="32">
        <f t="shared" si="31"/>
        <v>2673372.5596948988</v>
      </c>
      <c r="K171" s="95"/>
      <c r="L171" s="50"/>
      <c r="M171" s="15"/>
    </row>
    <row r="172" spans="1:13">
      <c r="A172" s="50"/>
      <c r="B172" s="50"/>
      <c r="C172" s="50" t="s">
        <v>98</v>
      </c>
      <c r="D172" s="50"/>
      <c r="E172" s="32">
        <f t="shared" ref="E172:J172" si="32">E29</f>
        <v>131577</v>
      </c>
      <c r="F172" s="32">
        <f t="shared" si="32"/>
        <v>120019.6282933935</v>
      </c>
      <c r="G172" s="32">
        <f t="shared" si="32"/>
        <v>131068.61044637936</v>
      </c>
      <c r="H172" s="32">
        <f t="shared" si="32"/>
        <v>142882.94195931772</v>
      </c>
      <c r="I172" s="32">
        <f t="shared" si="32"/>
        <v>152682.845248414</v>
      </c>
      <c r="J172" s="32">
        <f t="shared" si="32"/>
        <v>146316.79520482279</v>
      </c>
      <c r="K172" s="95"/>
      <c r="L172" s="50"/>
      <c r="M172" s="15"/>
    </row>
    <row r="173" spans="1:13">
      <c r="A173" s="50"/>
      <c r="B173" s="50"/>
      <c r="C173" s="50" t="s">
        <v>111</v>
      </c>
      <c r="D173" s="50"/>
      <c r="E173" s="96">
        <f t="shared" ref="E173:J173" si="33">E152</f>
        <v>479</v>
      </c>
      <c r="F173" s="96">
        <f t="shared" si="33"/>
        <v>496.91418177813614</v>
      </c>
      <c r="G173" s="96">
        <f t="shared" si="33"/>
        <v>513.05540728508572</v>
      </c>
      <c r="H173" s="96">
        <f t="shared" si="33"/>
        <v>533.28730100858468</v>
      </c>
      <c r="I173" s="96">
        <f t="shared" si="33"/>
        <v>554.71021754665662</v>
      </c>
      <c r="J173" s="96">
        <f t="shared" si="33"/>
        <v>576.81884365800522</v>
      </c>
      <c r="K173" s="95"/>
      <c r="L173" s="50"/>
      <c r="M173" s="15"/>
    </row>
    <row r="174" spans="1:13">
      <c r="A174" s="50"/>
      <c r="B174" s="50"/>
      <c r="C174" s="50" t="s">
        <v>44</v>
      </c>
      <c r="D174" s="50"/>
      <c r="E174" s="96">
        <f t="shared" ref="E174:J174" si="34">E144</f>
        <v>38993.915159917953</v>
      </c>
      <c r="F174" s="96">
        <f t="shared" si="34"/>
        <v>46505.639751045259</v>
      </c>
      <c r="G174" s="96">
        <f t="shared" si="34"/>
        <v>58996.037558808966</v>
      </c>
      <c r="H174" s="96">
        <f t="shared" si="34"/>
        <v>57685.266627956924</v>
      </c>
      <c r="I174" s="96">
        <f t="shared" si="34"/>
        <v>56218.393091850128</v>
      </c>
      <c r="J174" s="96">
        <f t="shared" si="34"/>
        <v>54521.734446642658</v>
      </c>
      <c r="K174" s="95"/>
      <c r="L174" s="50"/>
      <c r="M174" s="15"/>
    </row>
    <row r="175" spans="1:13">
      <c r="A175" s="50"/>
      <c r="B175" s="50"/>
      <c r="C175" s="50" t="s">
        <v>196</v>
      </c>
      <c r="D175" s="50"/>
      <c r="E175" s="32">
        <f t="shared" ref="E175:J175" si="35">E171*WACC+E172*($D$48-1)+E173-E174</f>
        <v>166535.74674507536</v>
      </c>
      <c r="F175" s="32">
        <f t="shared" si="35"/>
        <v>164902.3959664217</v>
      </c>
      <c r="G175" s="32">
        <f t="shared" si="35"/>
        <v>158461.39988848718</v>
      </c>
      <c r="H175" s="32">
        <f t="shared" si="35"/>
        <v>167617.93510583119</v>
      </c>
      <c r="I175" s="32">
        <f t="shared" si="35"/>
        <v>177307.25945249826</v>
      </c>
      <c r="J175" s="32">
        <f t="shared" si="35"/>
        <v>186773.45664641398</v>
      </c>
      <c r="K175" s="95"/>
      <c r="L175" s="50"/>
      <c r="M175" s="15"/>
    </row>
    <row r="176" spans="1:13">
      <c r="A176" s="50"/>
      <c r="B176" s="50"/>
      <c r="C176" s="50"/>
      <c r="D176" s="50"/>
      <c r="E176" s="31"/>
      <c r="F176" s="31"/>
      <c r="G176" s="31"/>
      <c r="H176" s="31"/>
      <c r="I176" s="31"/>
      <c r="J176" s="31"/>
      <c r="K176" s="95"/>
      <c r="L176" s="27"/>
      <c r="M176" s="15"/>
    </row>
    <row r="177" spans="1:13" ht="15.75">
      <c r="A177" s="50"/>
      <c r="B177" s="50"/>
      <c r="C177" s="162" t="s">
        <v>49</v>
      </c>
      <c r="D177" s="50"/>
      <c r="E177" s="50"/>
      <c r="F177" s="50"/>
      <c r="G177" s="50"/>
      <c r="H177" s="50"/>
      <c r="I177" s="50"/>
      <c r="J177" s="50"/>
      <c r="K177" s="95"/>
      <c r="L177" s="27"/>
      <c r="M177" s="15"/>
    </row>
    <row r="178" spans="1:13">
      <c r="A178" s="50"/>
      <c r="B178" s="50"/>
      <c r="C178" s="50" t="s">
        <v>50</v>
      </c>
      <c r="D178" s="50"/>
      <c r="E178" s="31">
        <f t="shared" ref="E178:J178" si="36">E171*Leverage*Debt+E152</f>
        <v>79818.733699285396</v>
      </c>
      <c r="F178" s="31">
        <f t="shared" si="36"/>
        <v>82365.109623276061</v>
      </c>
      <c r="G178" s="31">
        <f t="shared" si="36"/>
        <v>84593.439629323344</v>
      </c>
      <c r="H178" s="31">
        <f t="shared" si="36"/>
        <v>87525.891875301633</v>
      </c>
      <c r="I178" s="31">
        <f t="shared" si="36"/>
        <v>90643.237386413137</v>
      </c>
      <c r="J178" s="31">
        <f t="shared" si="36"/>
        <v>93856.13419653241</v>
      </c>
      <c r="K178" s="95"/>
      <c r="L178" s="50"/>
      <c r="M178" s="15"/>
    </row>
    <row r="179" spans="1:13">
      <c r="A179" s="50"/>
      <c r="B179" s="50"/>
      <c r="C179" s="50" t="s">
        <v>51</v>
      </c>
      <c r="D179" s="50"/>
      <c r="E179" s="31">
        <f t="shared" ref="E179:J179" si="37">E145-E147</f>
        <v>0</v>
      </c>
      <c r="F179" s="31">
        <f t="shared" si="37"/>
        <v>1358.8964052538649</v>
      </c>
      <c r="G179" s="31">
        <f t="shared" si="37"/>
        <v>3003.2070955680683</v>
      </c>
      <c r="H179" s="31">
        <f t="shared" si="37"/>
        <v>5124.76983289294</v>
      </c>
      <c r="I179" s="31">
        <f t="shared" si="37"/>
        <v>7232.5674198798224</v>
      </c>
      <c r="J179" s="31">
        <f t="shared" si="37"/>
        <v>9317.6889490183385</v>
      </c>
      <c r="K179" s="95"/>
      <c r="L179" s="50"/>
      <c r="M179" s="15"/>
    </row>
    <row r="180" spans="1:13">
      <c r="A180" s="50"/>
      <c r="B180" s="50"/>
      <c r="C180" s="50" t="s">
        <v>52</v>
      </c>
      <c r="D180" s="50"/>
      <c r="E180" s="31">
        <f t="shared" ref="E180:J180" si="38">E167+E179-E178</f>
        <v>-44017.979993543027</v>
      </c>
      <c r="F180" s="31">
        <f t="shared" si="38"/>
        <v>-45205.459512279827</v>
      </c>
      <c r="G180" s="31">
        <f t="shared" si="38"/>
        <v>-45789.478828012907</v>
      </c>
      <c r="H180" s="31">
        <f t="shared" si="38"/>
        <v>-46600.368336666324</v>
      </c>
      <c r="I180" s="31">
        <f t="shared" si="38"/>
        <v>-47609.916260790946</v>
      </c>
      <c r="J180" s="31">
        <f t="shared" si="38"/>
        <v>-48737.691541771703</v>
      </c>
      <c r="K180" s="95"/>
      <c r="L180" s="50"/>
      <c r="M180" s="15"/>
    </row>
    <row r="181" spans="1:13">
      <c r="A181" s="50"/>
      <c r="B181" s="50"/>
      <c r="C181" s="50"/>
      <c r="D181" s="50"/>
      <c r="E181" s="50"/>
      <c r="F181" s="167"/>
      <c r="G181" s="32"/>
      <c r="H181" s="32"/>
      <c r="I181" s="32"/>
      <c r="J181" s="32"/>
      <c r="K181" s="95"/>
      <c r="L181" s="50"/>
      <c r="M181" s="15"/>
    </row>
    <row r="182" spans="1:13" ht="15.75">
      <c r="A182" s="50"/>
      <c r="B182" s="50"/>
      <c r="C182" s="162" t="s">
        <v>107</v>
      </c>
      <c r="D182" s="50"/>
      <c r="E182" s="50"/>
      <c r="F182" s="167"/>
      <c r="G182" s="32"/>
      <c r="H182" s="32"/>
      <c r="I182" s="32"/>
      <c r="J182" s="32"/>
      <c r="K182" s="95"/>
      <c r="L182" s="27"/>
      <c r="M182" s="15"/>
    </row>
    <row r="183" spans="1:13">
      <c r="A183" s="50"/>
      <c r="B183" s="50"/>
      <c r="C183" s="50" t="s">
        <v>153</v>
      </c>
      <c r="D183" s="50"/>
      <c r="E183" s="32">
        <f t="shared" ref="E183:J183" si="39">E145</f>
        <v>76573.310789910291</v>
      </c>
      <c r="F183" s="32">
        <f t="shared" si="39"/>
        <v>80543.998619896069</v>
      </c>
      <c r="G183" s="32">
        <f t="shared" si="39"/>
        <v>84517.553717432238</v>
      </c>
      <c r="H183" s="32">
        <f t="shared" si="39"/>
        <v>89195.732223681189</v>
      </c>
      <c r="I183" s="32">
        <f t="shared" si="39"/>
        <v>94102.157805856143</v>
      </c>
      <c r="J183" s="32">
        <f t="shared" si="39"/>
        <v>99181.491942603025</v>
      </c>
      <c r="K183" s="95"/>
      <c r="L183" s="50"/>
      <c r="M183" s="15"/>
    </row>
    <row r="184" spans="1:13">
      <c r="A184" s="50"/>
      <c r="B184" s="50"/>
      <c r="C184" s="50" t="s">
        <v>107</v>
      </c>
      <c r="D184" s="50"/>
      <c r="E184" s="96">
        <f t="shared" ref="E184:J184" si="40">E183</f>
        <v>76573.310789910291</v>
      </c>
      <c r="F184" s="96">
        <f t="shared" si="40"/>
        <v>80543.998619896069</v>
      </c>
      <c r="G184" s="96">
        <f t="shared" si="40"/>
        <v>84517.553717432238</v>
      </c>
      <c r="H184" s="96">
        <f t="shared" si="40"/>
        <v>89195.732223681189</v>
      </c>
      <c r="I184" s="96">
        <f t="shared" si="40"/>
        <v>94102.157805856143</v>
      </c>
      <c r="J184" s="96">
        <f t="shared" si="40"/>
        <v>99181.491942603025</v>
      </c>
      <c r="K184" s="95"/>
      <c r="L184" s="50"/>
      <c r="M184" s="15"/>
    </row>
    <row r="185" spans="1:13">
      <c r="A185" s="50"/>
      <c r="B185" s="50"/>
      <c r="C185" s="50"/>
      <c r="D185" s="50"/>
      <c r="E185" s="50"/>
      <c r="F185" s="96"/>
      <c r="G185" s="96"/>
      <c r="H185" s="96"/>
      <c r="I185" s="96"/>
      <c r="J185" s="96"/>
      <c r="K185" s="95"/>
      <c r="L185" s="50"/>
      <c r="M185" s="15"/>
    </row>
    <row r="186" spans="1:13" ht="15.75">
      <c r="A186" s="50"/>
      <c r="B186" s="50"/>
      <c r="C186" s="121" t="s">
        <v>122</v>
      </c>
      <c r="D186" s="50"/>
      <c r="E186" s="50"/>
      <c r="F186" s="96"/>
      <c r="G186" s="96"/>
      <c r="H186" s="96"/>
      <c r="I186" s="96"/>
      <c r="J186" s="96"/>
      <c r="K186" s="95"/>
      <c r="L186" s="27"/>
      <c r="M186" s="15"/>
    </row>
    <row r="187" spans="1:13">
      <c r="A187" s="50"/>
      <c r="B187" s="50"/>
      <c r="C187" s="50" t="s">
        <v>122</v>
      </c>
      <c r="D187" s="50"/>
      <c r="E187" s="32">
        <f t="shared" ref="E187:J187" si="41">E43</f>
        <v>6717.0275661577343</v>
      </c>
      <c r="F187" s="32">
        <f t="shared" si="41"/>
        <v>7017.0588795047979</v>
      </c>
      <c r="G187" s="32">
        <f t="shared" si="41"/>
        <v>7127.2744639996381</v>
      </c>
      <c r="H187" s="32">
        <f t="shared" si="41"/>
        <v>7255.8593125769503</v>
      </c>
      <c r="I187" s="32">
        <f t="shared" si="41"/>
        <v>7384.4441611542643</v>
      </c>
      <c r="J187" s="32">
        <f t="shared" si="41"/>
        <v>7555.8906259240139</v>
      </c>
      <c r="K187" s="95"/>
      <c r="L187" s="125"/>
      <c r="M187" s="15"/>
    </row>
    <row r="188" spans="1:13">
      <c r="A188" s="50"/>
      <c r="B188" s="50"/>
      <c r="C188" s="50"/>
      <c r="D188" s="50"/>
      <c r="E188" s="50"/>
      <c r="F188" s="96"/>
      <c r="G188" s="96"/>
      <c r="H188" s="96"/>
      <c r="I188" s="96"/>
      <c r="J188" s="96"/>
      <c r="K188" s="95"/>
      <c r="L188" s="27"/>
      <c r="M188" s="15"/>
    </row>
    <row r="189" spans="1:13" ht="15.75">
      <c r="A189" s="50"/>
      <c r="B189" s="50"/>
      <c r="C189" s="162" t="s">
        <v>179</v>
      </c>
      <c r="D189" s="50"/>
      <c r="E189" s="32">
        <f t="shared" ref="E189:J189" si="42">E28</f>
        <v>102194</v>
      </c>
      <c r="F189" s="32">
        <f t="shared" si="42"/>
        <v>105963.82868465818</v>
      </c>
      <c r="G189" s="32">
        <f t="shared" si="42"/>
        <v>110738.02862403366</v>
      </c>
      <c r="H189" s="32">
        <f t="shared" si="42"/>
        <v>114703.18207109997</v>
      </c>
      <c r="I189" s="32">
        <f t="shared" si="42"/>
        <v>118910.67905112075</v>
      </c>
      <c r="J189" s="32">
        <f t="shared" si="42"/>
        <v>123513.87046710651</v>
      </c>
      <c r="K189" s="95"/>
      <c r="L189" s="125"/>
      <c r="M189" s="15"/>
    </row>
    <row r="190" spans="1:13">
      <c r="A190" s="50"/>
      <c r="B190" s="50"/>
      <c r="C190" s="50" t="s">
        <v>180</v>
      </c>
      <c r="D190" s="50"/>
      <c r="E190" s="32">
        <f t="shared" ref="E190:J190" si="43">E189*$D$46</f>
        <v>106568.76922049931</v>
      </c>
      <c r="F190" s="32">
        <f t="shared" si="43"/>
        <v>110499.97851944205</v>
      </c>
      <c r="G190" s="32">
        <f t="shared" si="43"/>
        <v>115478.55467412656</v>
      </c>
      <c r="H190" s="32">
        <f t="shared" si="43"/>
        <v>119613.45029054511</v>
      </c>
      <c r="I190" s="32">
        <f t="shared" si="43"/>
        <v>124001.06379681536</v>
      </c>
      <c r="J190" s="32">
        <f t="shared" si="43"/>
        <v>128801.31081413505</v>
      </c>
      <c r="K190" s="95"/>
      <c r="L190" s="125"/>
      <c r="M190" s="15"/>
    </row>
    <row r="191" spans="1:13">
      <c r="A191" s="50"/>
      <c r="B191" s="50"/>
      <c r="C191" s="50"/>
      <c r="D191" s="50"/>
      <c r="E191" s="50"/>
      <c r="F191" s="96"/>
      <c r="G191" s="32"/>
      <c r="H191" s="32"/>
      <c r="I191" s="32"/>
      <c r="J191" s="32"/>
      <c r="K191" s="95"/>
      <c r="L191" s="27"/>
      <c r="M191" s="15"/>
    </row>
    <row r="192" spans="1:13" ht="15.75">
      <c r="A192" s="50"/>
      <c r="B192" s="50"/>
      <c r="C192" s="162" t="s">
        <v>229</v>
      </c>
      <c r="D192" s="50"/>
      <c r="E192" s="50"/>
      <c r="F192" s="50"/>
      <c r="G192" s="50"/>
      <c r="H192" s="50"/>
      <c r="I192" s="50"/>
      <c r="J192" s="50"/>
      <c r="K192" s="95"/>
      <c r="L192" s="125"/>
      <c r="M192" s="15"/>
    </row>
    <row r="193" spans="1:15">
      <c r="A193" s="50"/>
      <c r="B193" s="50"/>
      <c r="C193" s="50" t="s">
        <v>169</v>
      </c>
      <c r="D193" s="50"/>
      <c r="E193" s="31">
        <f t="shared" ref="E193:J193" si="44">E168-E165</f>
        <v>-12575.232874749623</v>
      </c>
      <c r="F193" s="31">
        <f t="shared" si="44"/>
        <v>-13223.153450460339</v>
      </c>
      <c r="G193" s="31">
        <f t="shared" si="44"/>
        <v>-12579.198246843742</v>
      </c>
      <c r="H193" s="31">
        <f t="shared" si="44"/>
        <v>-12968.234003784157</v>
      </c>
      <c r="I193" s="31">
        <f t="shared" si="44"/>
        <v>-13504.53831002301</v>
      </c>
      <c r="J193" s="31">
        <f t="shared" si="44"/>
        <v>-14125.071004693942</v>
      </c>
      <c r="K193" s="95"/>
      <c r="L193" s="125"/>
      <c r="M193" s="15"/>
    </row>
    <row r="194" spans="1:15">
      <c r="A194" s="50"/>
      <c r="B194" s="50"/>
      <c r="C194" s="50" t="s">
        <v>170</v>
      </c>
      <c r="D194" s="50"/>
      <c r="E194" s="50"/>
      <c r="F194" s="31">
        <f>(F175+F184+F190+((F187-F189-F145-F152+F180)*F53+F193)*$D47-F193-F187*$D49)/($D50-F53*$D47)</f>
        <v>384594.9244239793</v>
      </c>
      <c r="G194" s="31">
        <f>(G175+G184+G190+((G187-G189-G145-G152+G180)*G53+G193)*$D47-G193-G187*$D49)/($D50-G53*$D47)</f>
        <v>379750.3263828067</v>
      </c>
      <c r="H194" s="31">
        <f>(H175+H184+H190+((H187-H189-H145-H152+H180)*H53+H193)*$D47-H193-H187*$D49)/($D50-H53*$D47)</f>
        <v>400068.41320029995</v>
      </c>
      <c r="I194" s="31">
        <f>(I175+I184+I190+((I187-I189-I145-I152+I180)*I53+I193)*$D47-I193-I187*$D49)/($D50-I53*$D47)</f>
        <v>421479.40898126457</v>
      </c>
      <c r="J194" s="31">
        <f>(J175+J184+J190+((J187-J189-J145-J152+J180)*J53+J193)*$D47-J193-J187*$D49)/($D50-J53*$D47)</f>
        <v>443059.9005020113</v>
      </c>
      <c r="K194" s="95"/>
      <c r="L194" s="125"/>
      <c r="M194" s="15"/>
    </row>
    <row r="195" spans="1:15">
      <c r="A195" s="50"/>
      <c r="B195" s="50"/>
      <c r="C195" s="50" t="s">
        <v>177</v>
      </c>
      <c r="D195" s="50"/>
      <c r="E195" s="50"/>
      <c r="F195" s="31">
        <f>(F194+F187-F189-F183-F152+F180)*F53</f>
        <v>47820.534691461566</v>
      </c>
      <c r="G195" s="31">
        <f>(G194+G187-G189-G183-G152+G180)*G53</f>
        <v>40689.455595611871</v>
      </c>
      <c r="H195" s="31">
        <f>(H194+H187-H189-H183-H152+H180)*H53</f>
        <v>43761.676722517834</v>
      </c>
      <c r="I195" s="31">
        <f>(I194+I187-I189-I183-I152+I180)*I53</f>
        <v>46952.189145989221</v>
      </c>
      <c r="J195" s="31">
        <f>(J194+J187-J189-J183-J152+J180)*J53</f>
        <v>50009.657133182896</v>
      </c>
      <c r="K195" s="95"/>
      <c r="L195" s="125"/>
      <c r="M195" s="15"/>
    </row>
    <row r="196" spans="1:15">
      <c r="A196" s="50"/>
      <c r="B196" s="50"/>
      <c r="C196" s="50" t="s">
        <v>162</v>
      </c>
      <c r="D196" s="50"/>
      <c r="E196" s="50"/>
      <c r="F196" s="31">
        <f>IF(F195&lt;0,#N/A,F195)</f>
        <v>47820.534691461566</v>
      </c>
      <c r="G196" s="31">
        <f>IF(G195&lt;0,#N/A,G195)</f>
        <v>40689.455595611871</v>
      </c>
      <c r="H196" s="31">
        <f>IF(H195&lt;0,#N/A,H195)</f>
        <v>43761.676722517834</v>
      </c>
      <c r="I196" s="31">
        <f>IF(I195&lt;0,#N/A,I195)</f>
        <v>46952.189145989221</v>
      </c>
      <c r="J196" s="31">
        <f>IF(J195&lt;0,#N/A,J195)</f>
        <v>50009.657133182896</v>
      </c>
      <c r="K196" s="95"/>
      <c r="L196" s="50"/>
      <c r="M196" s="15"/>
    </row>
    <row r="197" spans="1:15">
      <c r="A197" s="50"/>
      <c r="B197" s="50"/>
      <c r="C197" s="50" t="s">
        <v>171</v>
      </c>
      <c r="D197" s="50"/>
      <c r="E197" s="50"/>
      <c r="F197" s="31">
        <f>F175+F184+F190+(F196+F193)*$D$47-F193-F187*$D$49</f>
        <v>397930.52043814369</v>
      </c>
      <c r="G197" s="31">
        <f>G175+G184+G190+(G196+G193)*$D$47-G193-G187*$D$49</f>
        <v>392917.93889478396</v>
      </c>
      <c r="H197" s="31">
        <f>H175+H184+H190+(H196+H193)*$D$47-H193-H187*$D$49</f>
        <v>413940.5430638378</v>
      </c>
      <c r="I197" s="31">
        <f>I175+I184+I190+(I196+I193)*$D$47-I193-I187*$D$49</f>
        <v>436093.95215257956</v>
      </c>
      <c r="J197" s="31">
        <f>J175+J184+J190+(J196+J193)*$D$47-J193-J187*$D$49</f>
        <v>458422.73414319876</v>
      </c>
      <c r="K197" s="95"/>
      <c r="L197" s="27"/>
      <c r="M197" s="15"/>
    </row>
    <row r="198" spans="1:15">
      <c r="A198" s="50"/>
      <c r="B198" s="50"/>
      <c r="C198" s="50" t="s">
        <v>172</v>
      </c>
      <c r="D198" s="50"/>
      <c r="E198" s="50"/>
      <c r="F198" s="31">
        <f>F197/$D$50</f>
        <v>384594.92442397936</v>
      </c>
      <c r="G198" s="31">
        <f>G197/$D$50</f>
        <v>379750.32638280664</v>
      </c>
      <c r="H198" s="31">
        <f>H197/$D$50</f>
        <v>400068.41320029995</v>
      </c>
      <c r="I198" s="31">
        <f>I197/$D$50</f>
        <v>421479.40898126451</v>
      </c>
      <c r="J198" s="31">
        <f>J197/$D$50</f>
        <v>443059.90050201124</v>
      </c>
      <c r="K198" s="95"/>
      <c r="L198" s="50"/>
      <c r="M198" s="15"/>
    </row>
    <row r="199" spans="1:15">
      <c r="A199" s="50"/>
      <c r="B199" s="50"/>
      <c r="C199" s="50" t="s">
        <v>173</v>
      </c>
      <c r="D199" s="50"/>
      <c r="E199" s="50"/>
      <c r="F199" s="31">
        <f>F194-F198</f>
        <v>0</v>
      </c>
      <c r="G199" s="31">
        <f>G194-G198</f>
        <v>0</v>
      </c>
      <c r="H199" s="31">
        <f>H194-H198</f>
        <v>0</v>
      </c>
      <c r="I199" s="31">
        <f>I194-I198</f>
        <v>0</v>
      </c>
      <c r="J199" s="31">
        <f>J194-J198</f>
        <v>0</v>
      </c>
      <c r="K199" s="95"/>
      <c r="L199" s="27"/>
      <c r="M199" s="15"/>
    </row>
    <row r="200" spans="1:15">
      <c r="A200" s="50"/>
      <c r="B200" s="50"/>
      <c r="C200" s="50"/>
      <c r="D200" s="50"/>
      <c r="E200" s="50"/>
      <c r="F200" s="50"/>
      <c r="G200" s="50"/>
      <c r="H200" s="50"/>
      <c r="I200" s="50"/>
      <c r="J200" s="50"/>
      <c r="K200" s="50"/>
      <c r="L200" s="50"/>
      <c r="M200" s="15"/>
    </row>
    <row r="201" spans="1:15" ht="15.75">
      <c r="A201" s="50"/>
      <c r="B201" s="50"/>
      <c r="C201" s="162" t="s">
        <v>174</v>
      </c>
      <c r="D201" s="50"/>
      <c r="E201" s="50"/>
      <c r="F201" s="31"/>
      <c r="G201" s="31"/>
      <c r="H201" s="31"/>
      <c r="I201" s="31"/>
      <c r="J201" s="50"/>
      <c r="K201" s="95"/>
      <c r="L201" s="27"/>
      <c r="M201" s="15"/>
    </row>
    <row r="202" spans="1:15">
      <c r="A202" s="50"/>
      <c r="B202" s="50"/>
      <c r="C202" s="95" t="s">
        <v>103</v>
      </c>
      <c r="D202" s="50"/>
      <c r="E202" s="50"/>
      <c r="F202" s="31"/>
      <c r="G202" s="31"/>
      <c r="H202" s="31"/>
      <c r="I202" s="31"/>
      <c r="J202" s="50"/>
      <c r="K202" s="95"/>
      <c r="L202" s="50"/>
      <c r="M202" s="15"/>
      <c r="O202" s="8"/>
    </row>
    <row r="203" spans="1:15">
      <c r="A203" s="50"/>
      <c r="B203" s="50"/>
      <c r="C203" s="50" t="s">
        <v>175</v>
      </c>
      <c r="D203" s="50"/>
      <c r="E203" s="50"/>
      <c r="F203" s="50"/>
      <c r="G203" s="50"/>
      <c r="H203" s="31">
        <v>1</v>
      </c>
      <c r="I203" s="31">
        <v>2</v>
      </c>
      <c r="J203" s="31">
        <v>3</v>
      </c>
      <c r="K203" s="95"/>
      <c r="L203" s="27"/>
      <c r="M203" s="15"/>
    </row>
    <row r="204" spans="1:15">
      <c r="A204" s="50"/>
      <c r="B204" s="50" t="s">
        <v>135</v>
      </c>
      <c r="C204" s="50" t="s">
        <v>136</v>
      </c>
      <c r="D204" s="50"/>
      <c r="E204" s="50"/>
      <c r="F204" s="31"/>
      <c r="G204" s="31"/>
      <c r="H204" s="31">
        <f>H197</f>
        <v>413940.5430638378</v>
      </c>
      <c r="I204" s="31">
        <f>I197</f>
        <v>436093.95215257956</v>
      </c>
      <c r="J204" s="31">
        <f>J197</f>
        <v>458422.73414319876</v>
      </c>
      <c r="K204" s="95"/>
      <c r="L204" s="50"/>
      <c r="M204" s="15"/>
    </row>
    <row r="205" spans="1:15">
      <c r="A205" s="50"/>
      <c r="B205" s="50" t="s">
        <v>135</v>
      </c>
      <c r="C205" s="50" t="s">
        <v>137</v>
      </c>
      <c r="D205" s="50"/>
      <c r="E205" s="50"/>
      <c r="F205" s="31"/>
      <c r="G205" s="31"/>
      <c r="H205" s="31">
        <f>H204/(1+WACC)^H$203</f>
        <v>380564.99316340702</v>
      </c>
      <c r="I205" s="31">
        <f>I204/(1+WACC)^I$203</f>
        <v>368605.49632867274</v>
      </c>
      <c r="J205" s="31">
        <f>J204/(1+WACC)^J$203</f>
        <v>356236.78400716552</v>
      </c>
      <c r="K205" s="95"/>
      <c r="L205" s="50"/>
      <c r="M205" s="15"/>
    </row>
    <row r="206" spans="1:15">
      <c r="A206" s="50"/>
      <c r="B206" s="50" t="s">
        <v>135</v>
      </c>
      <c r="C206" s="50" t="s">
        <v>101</v>
      </c>
      <c r="D206" s="31">
        <f>SUM(H205:J205)</f>
        <v>1105407.2734992453</v>
      </c>
      <c r="E206" s="50"/>
      <c r="F206" s="31"/>
      <c r="G206" s="31"/>
      <c r="H206" s="31"/>
      <c r="I206" s="31"/>
      <c r="J206" s="31"/>
      <c r="K206" s="95"/>
      <c r="L206" s="50"/>
      <c r="M206" s="15"/>
    </row>
    <row r="207" spans="1:15">
      <c r="A207" s="50"/>
      <c r="B207" s="50"/>
      <c r="C207" s="50"/>
      <c r="D207" s="50"/>
      <c r="E207" s="50"/>
      <c r="F207" s="123"/>
      <c r="G207" s="50"/>
      <c r="H207" s="50"/>
      <c r="I207" s="50"/>
      <c r="J207" s="50"/>
      <c r="K207" s="95"/>
      <c r="L207" s="50"/>
      <c r="M207" s="15"/>
    </row>
    <row r="208" spans="1:15" ht="21">
      <c r="A208" s="50"/>
      <c r="B208" s="50"/>
      <c r="C208" s="155" t="s">
        <v>104</v>
      </c>
      <c r="D208" s="50"/>
      <c r="E208" s="50"/>
      <c r="F208" s="123"/>
      <c r="G208" s="50"/>
      <c r="H208" s="50"/>
      <c r="I208" s="50"/>
      <c r="J208" s="50"/>
      <c r="K208" s="95"/>
      <c r="L208" s="50"/>
      <c r="M208" s="15"/>
    </row>
    <row r="209" spans="1:13" ht="15.75">
      <c r="A209" s="50"/>
      <c r="B209" s="50"/>
      <c r="C209" s="50"/>
      <c r="D209" s="50"/>
      <c r="E209" s="162" t="str">
        <f>Inputs!D$11</f>
        <v>2009/10</v>
      </c>
      <c r="F209" s="168" t="str">
        <f>Inputs!E$11</f>
        <v>2010/11</v>
      </c>
      <c r="G209" s="162" t="str">
        <f>Inputs!F$11</f>
        <v>2011/12</v>
      </c>
      <c r="H209" s="162" t="str">
        <f>Inputs!G$11</f>
        <v>2012/13</v>
      </c>
      <c r="I209" s="162" t="str">
        <f>Inputs!H$11</f>
        <v>2013/14</v>
      </c>
      <c r="J209" s="162" t="str">
        <f>Inputs!I$11</f>
        <v>2014/15</v>
      </c>
      <c r="K209" s="95"/>
      <c r="L209" s="50"/>
      <c r="M209" s="15"/>
    </row>
    <row r="210" spans="1:13">
      <c r="A210" s="50"/>
      <c r="B210" s="50"/>
      <c r="C210" s="50" t="s">
        <v>53</v>
      </c>
      <c r="D210" s="32">
        <f>D206</f>
        <v>1105407.2734992453</v>
      </c>
      <c r="E210" s="50"/>
      <c r="F210" s="169"/>
      <c r="G210" s="32"/>
      <c r="H210" s="32"/>
      <c r="I210" s="32"/>
      <c r="J210" s="32"/>
      <c r="K210" s="95"/>
      <c r="L210" s="50"/>
      <c r="M210" s="15"/>
    </row>
    <row r="211" spans="1:13">
      <c r="A211" s="50"/>
      <c r="B211" s="50"/>
      <c r="C211" s="50" t="s">
        <v>143</v>
      </c>
      <c r="D211" s="50"/>
      <c r="E211" s="50"/>
      <c r="F211" s="113"/>
      <c r="G211" s="113"/>
      <c r="H211" s="170">
        <v>1</v>
      </c>
      <c r="I211" s="113">
        <f>H211*(1+I$35)*(1+I$30)*(1-X_industry_wide)</f>
        <v>1.0408764934931385</v>
      </c>
      <c r="J211" s="113">
        <f>I211*(1+J$35)*(1+J$30)*(1-X_industry_wide)</f>
        <v>1.0817355223931722</v>
      </c>
      <c r="K211" s="95"/>
      <c r="L211" s="50" t="s">
        <v>290</v>
      </c>
    </row>
    <row r="212" spans="1:13">
      <c r="A212" s="50"/>
      <c r="B212" s="50"/>
      <c r="C212" s="50" t="s">
        <v>102</v>
      </c>
      <c r="D212" s="50"/>
      <c r="E212" s="50"/>
      <c r="F212" s="171"/>
      <c r="G212" s="113"/>
      <c r="H212" s="113">
        <f>H211/(1+WACC)^H$203</f>
        <v>0.91937115013330895</v>
      </c>
      <c r="I212" s="113">
        <f>I211/(1+WACC)^I$203</f>
        <v>0.87979389442816269</v>
      </c>
      <c r="J212" s="113">
        <f>J211/(1+WACC)^J$203</f>
        <v>0.84060836198250322</v>
      </c>
      <c r="K212" s="95"/>
      <c r="L212" s="50" t="s">
        <v>165</v>
      </c>
    </row>
    <row r="213" spans="1:13">
      <c r="A213" s="50"/>
      <c r="B213" s="50"/>
      <c r="C213" s="50" t="s">
        <v>91</v>
      </c>
      <c r="D213" s="113">
        <f>SUM(H212:J212)</f>
        <v>2.6397734065439749</v>
      </c>
      <c r="E213" s="50"/>
      <c r="F213" s="171"/>
      <c r="G213" s="113"/>
      <c r="H213" s="113"/>
      <c r="I213" s="113"/>
      <c r="J213" s="113"/>
      <c r="K213" s="95"/>
      <c r="L213" s="50" t="s">
        <v>279</v>
      </c>
    </row>
    <row r="214" spans="1:13">
      <c r="A214" s="50"/>
      <c r="B214" s="50"/>
      <c r="C214" s="50" t="s">
        <v>142</v>
      </c>
      <c r="D214" s="32">
        <f>D210/D213</f>
        <v>418750.8180660319</v>
      </c>
      <c r="E214" s="50"/>
      <c r="F214" s="171"/>
      <c r="G214" s="113"/>
      <c r="H214" s="31"/>
      <c r="I214" s="31"/>
      <c r="J214" s="31"/>
      <c r="K214" s="95"/>
      <c r="L214" s="31"/>
    </row>
    <row r="215" spans="1:13">
      <c r="A215" s="50"/>
      <c r="B215" s="50"/>
      <c r="C215" s="50" t="s">
        <v>138</v>
      </c>
      <c r="D215" s="32"/>
      <c r="E215" s="50"/>
      <c r="F215" s="171"/>
      <c r="G215" s="113"/>
      <c r="H215" s="31">
        <f>$D214*H211</f>
        <v>418750.8180660319</v>
      </c>
      <c r="I215" s="31">
        <f>$D214*I211</f>
        <v>435867.88315595448</v>
      </c>
      <c r="J215" s="31">
        <f>$D214*J211</f>
        <v>452977.63493322721</v>
      </c>
      <c r="K215" s="95"/>
      <c r="L215" s="50" t="s">
        <v>131</v>
      </c>
    </row>
    <row r="216" spans="1:13">
      <c r="A216" s="50"/>
      <c r="B216" s="50"/>
      <c r="C216" s="50" t="s">
        <v>139</v>
      </c>
      <c r="D216" s="32"/>
      <c r="E216" s="50"/>
      <c r="F216" s="171"/>
      <c r="G216" s="113"/>
      <c r="H216" s="54">
        <f>H215/$D$50</f>
        <v>404717.48447256733</v>
      </c>
      <c r="I216" s="54">
        <f>I215/$D$50</f>
        <v>421260.91609316965</v>
      </c>
      <c r="J216" s="54">
        <f>J215/$D$50</f>
        <v>437797.27948758315</v>
      </c>
      <c r="K216" s="95"/>
      <c r="L216" s="50" t="s">
        <v>133</v>
      </c>
    </row>
    <row r="217" spans="1:13">
      <c r="A217" s="50"/>
      <c r="B217" s="50"/>
      <c r="C217" s="50" t="s">
        <v>140</v>
      </c>
      <c r="D217" s="50"/>
      <c r="E217" s="50"/>
      <c r="F217" s="171"/>
      <c r="G217" s="113"/>
      <c r="H217" s="31">
        <f>H215/(1+WACC)^H$203</f>
        <v>384987.42122463172</v>
      </c>
      <c r="I217" s="31">
        <f>I215/(1+WACC)^I$203</f>
        <v>368414.41302129324</v>
      </c>
      <c r="J217" s="31">
        <f>J215/(1+WACC)^J$203</f>
        <v>352005.43925332028</v>
      </c>
      <c r="K217" s="95"/>
      <c r="L217" s="50" t="s">
        <v>181</v>
      </c>
    </row>
    <row r="218" spans="1:13">
      <c r="A218" s="50"/>
      <c r="B218" s="50"/>
      <c r="C218" s="50" t="s">
        <v>141</v>
      </c>
      <c r="D218" s="32">
        <f>SUM(H217:J217)</f>
        <v>1105407.2734992453</v>
      </c>
      <c r="E218" s="50"/>
      <c r="F218" s="171"/>
      <c r="G218" s="113"/>
      <c r="H218" s="31"/>
      <c r="I218" s="31"/>
      <c r="J218" s="31"/>
      <c r="K218" s="95"/>
      <c r="L218" s="50" t="s">
        <v>134</v>
      </c>
      <c r="M218" s="15"/>
    </row>
    <row r="219" spans="1:13">
      <c r="A219" s="50"/>
      <c r="B219" s="50"/>
      <c r="C219" s="50" t="s">
        <v>132</v>
      </c>
      <c r="D219" s="172">
        <f>D210-D218</f>
        <v>0</v>
      </c>
      <c r="E219" s="50"/>
      <c r="F219" s="171"/>
      <c r="G219" s="113"/>
      <c r="H219" s="31"/>
      <c r="I219" s="31"/>
      <c r="J219" s="31"/>
      <c r="K219" s="95"/>
      <c r="L219" s="50"/>
      <c r="M219" s="15"/>
    </row>
    <row r="220" spans="1:13">
      <c r="A220" s="50"/>
      <c r="B220" s="50"/>
      <c r="C220" s="50" t="s">
        <v>202</v>
      </c>
      <c r="D220" s="32">
        <f>SUM(I217:J217)</f>
        <v>720419.85227461345</v>
      </c>
      <c r="E220" s="50"/>
      <c r="F220" s="171"/>
      <c r="G220" s="113"/>
      <c r="H220" s="31"/>
      <c r="I220" s="31"/>
      <c r="J220" s="31"/>
      <c r="K220" s="95"/>
      <c r="L220" s="27"/>
      <c r="M220" s="15"/>
    </row>
    <row r="221" spans="1:13">
      <c r="A221" s="50"/>
      <c r="B221" s="50"/>
      <c r="C221" s="50"/>
      <c r="D221" s="31"/>
      <c r="E221" s="50"/>
      <c r="F221" s="123"/>
      <c r="G221" s="50"/>
      <c r="H221" s="50"/>
      <c r="I221" s="50"/>
      <c r="J221" s="50"/>
      <c r="K221" s="95"/>
      <c r="L221" s="50"/>
      <c r="M221" s="15"/>
    </row>
    <row r="222" spans="1:13" ht="21">
      <c r="A222" s="50"/>
      <c r="B222" s="50"/>
      <c r="C222" s="155" t="s">
        <v>113</v>
      </c>
      <c r="D222" s="155"/>
      <c r="E222" s="155"/>
      <c r="F222" s="155"/>
      <c r="G222" s="155"/>
      <c r="H222" s="50"/>
      <c r="I222" s="50"/>
      <c r="J222" s="50"/>
      <c r="K222" s="173"/>
      <c r="L222" s="174"/>
      <c r="M222" s="53"/>
    </row>
    <row r="223" spans="1:13" ht="15.75">
      <c r="A223" s="50"/>
      <c r="B223" s="50"/>
      <c r="C223" s="50"/>
      <c r="D223" s="50"/>
      <c r="E223" s="162" t="str">
        <f>Inputs!D$11</f>
        <v>2009/10</v>
      </c>
      <c r="F223" s="168" t="str">
        <f>Inputs!E$11</f>
        <v>2010/11</v>
      </c>
      <c r="G223" s="162" t="str">
        <f>Inputs!F$11</f>
        <v>2011/12</v>
      </c>
      <c r="H223" s="162" t="str">
        <f>Inputs!G$11</f>
        <v>2012/13</v>
      </c>
      <c r="I223" s="162" t="str">
        <f>Inputs!H$11</f>
        <v>2013/14</v>
      </c>
      <c r="J223" s="162" t="str">
        <f>Inputs!I$11</f>
        <v>2014/15</v>
      </c>
      <c r="K223" s="95"/>
      <c r="L223" s="50"/>
      <c r="M223" s="15"/>
    </row>
    <row r="224" spans="1:13" ht="15.75">
      <c r="A224" s="50"/>
      <c r="B224" s="50"/>
      <c r="C224" s="175" t="s">
        <v>318</v>
      </c>
      <c r="D224" s="50"/>
      <c r="E224" s="162"/>
      <c r="F224" s="95"/>
      <c r="G224" s="95"/>
      <c r="H224" s="95"/>
      <c r="I224" s="95"/>
      <c r="J224" s="95"/>
      <c r="K224" s="95"/>
      <c r="L224" s="50"/>
      <c r="M224" s="15"/>
    </row>
    <row r="225" spans="1:13" ht="15.75">
      <c r="A225" s="50"/>
      <c r="B225" s="50"/>
      <c r="C225" s="175" t="s">
        <v>204</v>
      </c>
      <c r="D225" s="50"/>
      <c r="E225" s="162"/>
      <c r="F225" s="95"/>
      <c r="G225" s="95"/>
      <c r="H225" s="95"/>
      <c r="I225" s="95"/>
      <c r="J225" s="95"/>
      <c r="K225" s="95"/>
      <c r="L225" s="50"/>
      <c r="M225" s="15"/>
    </row>
    <row r="226" spans="1:13">
      <c r="A226" s="50"/>
      <c r="B226" s="50" t="s">
        <v>150</v>
      </c>
      <c r="C226" s="50" t="s">
        <v>203</v>
      </c>
      <c r="D226" s="32">
        <f>D220</f>
        <v>720419.85227461345</v>
      </c>
      <c r="E226" s="50"/>
      <c r="F226" s="169"/>
      <c r="G226" s="32"/>
      <c r="H226" s="32"/>
      <c r="I226" s="32"/>
      <c r="J226" s="32"/>
      <c r="K226" s="95"/>
      <c r="L226" s="50"/>
      <c r="M226" s="15"/>
    </row>
    <row r="227" spans="1:13">
      <c r="A227" s="32"/>
      <c r="B227" s="50" t="s">
        <v>150</v>
      </c>
      <c r="C227" s="50" t="s">
        <v>319</v>
      </c>
      <c r="D227" s="49">
        <f>IF(E26="IWX",X_industry_wide,E26)</f>
        <v>0</v>
      </c>
      <c r="E227" s="32"/>
      <c r="F227" s="49"/>
      <c r="G227" s="49"/>
      <c r="H227" s="49"/>
      <c r="I227" s="49"/>
      <c r="J227" s="49"/>
      <c r="K227" s="95"/>
      <c r="L227" s="50"/>
      <c r="M227" s="15"/>
    </row>
    <row r="228" spans="1:13">
      <c r="A228" s="50"/>
      <c r="B228" s="50" t="s">
        <v>150</v>
      </c>
      <c r="C228" s="50" t="s">
        <v>143</v>
      </c>
      <c r="D228" s="50"/>
      <c r="E228" s="50"/>
      <c r="F228" s="171"/>
      <c r="G228" s="113"/>
      <c r="H228" s="113"/>
      <c r="I228" s="113">
        <v>1</v>
      </c>
      <c r="J228" s="113">
        <f>I228*(1+J$35)*(1+J$30)*(1-D227)</f>
        <v>1.0392544448409171</v>
      </c>
      <c r="K228" s="95"/>
      <c r="L228" s="50" t="s">
        <v>278</v>
      </c>
    </row>
    <row r="229" spans="1:13">
      <c r="A229" s="50"/>
      <c r="B229" s="50" t="s">
        <v>150</v>
      </c>
      <c r="C229" s="50" t="s">
        <v>102</v>
      </c>
      <c r="D229" s="50"/>
      <c r="E229" s="50"/>
      <c r="F229" s="171"/>
      <c r="G229" s="113"/>
      <c r="H229" s="113"/>
      <c r="I229" s="113">
        <f>I228/(1+WACC)^I$203</f>
        <v>0.84524331169744327</v>
      </c>
      <c r="J229" s="113">
        <f>J228/(1+WACC)^J$203</f>
        <v>0.80759664305748347</v>
      </c>
      <c r="K229" s="95"/>
      <c r="L229" s="50" t="s">
        <v>165</v>
      </c>
    </row>
    <row r="230" spans="1:13">
      <c r="A230" s="50"/>
      <c r="B230" s="50" t="s">
        <v>150</v>
      </c>
      <c r="C230" s="50" t="s">
        <v>91</v>
      </c>
      <c r="D230" s="113">
        <f>SUM(I229:J229)</f>
        <v>1.6528399547549268</v>
      </c>
      <c r="E230" s="50"/>
      <c r="F230" s="171"/>
      <c r="G230" s="113"/>
      <c r="H230" s="113"/>
      <c r="I230" s="113"/>
      <c r="J230" s="113"/>
      <c r="K230" s="95"/>
      <c r="L230" s="50" t="s">
        <v>279</v>
      </c>
    </row>
    <row r="231" spans="1:13">
      <c r="A231" s="50"/>
      <c r="B231" s="50" t="s">
        <v>150</v>
      </c>
      <c r="C231" s="50" t="s">
        <v>142</v>
      </c>
      <c r="D231" s="32">
        <f>D226/D230</f>
        <v>435867.88315595442</v>
      </c>
      <c r="E231" s="50"/>
      <c r="F231" s="171"/>
      <c r="G231" s="113"/>
      <c r="H231" s="31"/>
      <c r="I231" s="31"/>
      <c r="J231" s="31"/>
      <c r="K231" s="95"/>
      <c r="L231" s="50"/>
    </row>
    <row r="232" spans="1:13">
      <c r="A232" s="50"/>
      <c r="B232" s="50" t="s">
        <v>150</v>
      </c>
      <c r="C232" s="50" t="s">
        <v>138</v>
      </c>
      <c r="D232" s="32"/>
      <c r="E232" s="50"/>
      <c r="F232" s="171"/>
      <c r="G232" s="113"/>
      <c r="H232" s="31">
        <f>H215</f>
        <v>418750.8180660319</v>
      </c>
      <c r="I232" s="31">
        <f>$D231*I228</f>
        <v>435867.88315595442</v>
      </c>
      <c r="J232" s="31">
        <f>$D231*J228</f>
        <v>452977.63493322715</v>
      </c>
      <c r="K232" s="95"/>
      <c r="L232" s="50" t="s">
        <v>131</v>
      </c>
    </row>
    <row r="233" spans="1:13">
      <c r="A233" s="50"/>
      <c r="B233" s="50" t="s">
        <v>150</v>
      </c>
      <c r="C233" s="50" t="s">
        <v>139</v>
      </c>
      <c r="D233" s="32"/>
      <c r="E233" s="50"/>
      <c r="F233" s="171"/>
      <c r="G233" s="113"/>
      <c r="H233" s="54">
        <f>H232/$D$50</f>
        <v>404717.48447256733</v>
      </c>
      <c r="I233" s="54">
        <f>I232/$D$50</f>
        <v>421260.9160931696</v>
      </c>
      <c r="J233" s="54">
        <f>J232/$D$50</f>
        <v>437797.27948758309</v>
      </c>
      <c r="K233" s="95"/>
      <c r="L233" s="50" t="s">
        <v>133</v>
      </c>
    </row>
    <row r="234" spans="1:13">
      <c r="A234" s="50"/>
      <c r="B234" s="50" t="s">
        <v>150</v>
      </c>
      <c r="C234" s="50" t="s">
        <v>209</v>
      </c>
      <c r="D234" s="50"/>
      <c r="E234" s="50"/>
      <c r="F234" s="171"/>
      <c r="G234" s="113"/>
      <c r="H234" s="31"/>
      <c r="I234" s="31">
        <f>I232/(1+WACC)^I$203</f>
        <v>368414.41302129318</v>
      </c>
      <c r="J234" s="31">
        <f>J232/(1+WACC)^J$203</f>
        <v>352005.43925332028</v>
      </c>
      <c r="K234" s="95"/>
      <c r="L234" s="50" t="s">
        <v>181</v>
      </c>
    </row>
    <row r="235" spans="1:13">
      <c r="A235" s="50"/>
      <c r="B235" s="50" t="s">
        <v>150</v>
      </c>
      <c r="C235" s="50" t="s">
        <v>390</v>
      </c>
      <c r="D235" s="32">
        <f>SUM(I234:J234)</f>
        <v>720419.85227461345</v>
      </c>
      <c r="E235" s="50"/>
      <c r="F235" s="50"/>
      <c r="G235" s="113"/>
      <c r="H235" s="31"/>
      <c r="I235" s="31"/>
      <c r="J235" s="31"/>
      <c r="K235" s="95"/>
      <c r="L235" s="50" t="s">
        <v>134</v>
      </c>
    </row>
    <row r="236" spans="1:13">
      <c r="A236" s="50"/>
      <c r="B236" s="50" t="s">
        <v>150</v>
      </c>
      <c r="C236" s="50" t="s">
        <v>132</v>
      </c>
      <c r="D236" s="172">
        <f>D226-D235</f>
        <v>0</v>
      </c>
      <c r="E236" s="50"/>
      <c r="F236" s="171"/>
      <c r="G236" s="113"/>
      <c r="H236" s="31"/>
      <c r="I236" s="31"/>
      <c r="J236" s="31"/>
      <c r="K236" s="95"/>
      <c r="L236" s="50"/>
      <c r="M236" s="15"/>
    </row>
    <row r="237" spans="1:13">
      <c r="A237" s="50"/>
      <c r="B237" s="119" t="s">
        <v>150</v>
      </c>
      <c r="C237" s="119" t="s">
        <v>190</v>
      </c>
      <c r="D237" s="119"/>
      <c r="E237" s="50"/>
      <c r="F237" s="176"/>
      <c r="G237" s="177"/>
      <c r="H237" s="178">
        <f>(H233+H187-H$189-H$183-H152+H$180)*H$53</f>
        <v>45063.416678752699</v>
      </c>
      <c r="I237" s="178">
        <f>(I233+I187-I$189-I$183-I152+I$180)*I$53</f>
        <v>46891.011137322625</v>
      </c>
      <c r="J237" s="178">
        <f>(J233+J187-J$189-J$183-J152+J$180)*J$53</f>
        <v>48536.123249142998</v>
      </c>
      <c r="K237" s="54"/>
      <c r="L237" s="50"/>
      <c r="M237" s="15"/>
    </row>
    <row r="238" spans="1:13">
      <c r="A238" s="50"/>
      <c r="B238" s="119"/>
      <c r="C238" s="119"/>
      <c r="D238" s="119"/>
      <c r="E238" s="178"/>
      <c r="F238" s="176"/>
      <c r="G238" s="177"/>
      <c r="H238" s="178"/>
      <c r="I238" s="178"/>
      <c r="J238" s="178"/>
      <c r="K238" s="95"/>
      <c r="L238" s="50"/>
      <c r="M238" s="15"/>
    </row>
    <row r="239" spans="1:13" ht="21">
      <c r="A239" s="50"/>
      <c r="B239" s="50"/>
      <c r="C239" s="155" t="s">
        <v>199</v>
      </c>
      <c r="D239" s="155"/>
      <c r="E239" s="155"/>
      <c r="F239" s="155"/>
      <c r="G239" s="155"/>
      <c r="H239" s="155"/>
      <c r="I239" s="155"/>
      <c r="J239" s="50"/>
      <c r="K239" s="50"/>
      <c r="L239" s="50"/>
      <c r="M239" s="15"/>
    </row>
    <row r="240" spans="1:13">
      <c r="A240" s="50"/>
      <c r="B240" s="50"/>
      <c r="C240" s="50" t="s">
        <v>197</v>
      </c>
      <c r="D240" s="179"/>
      <c r="E240" s="50"/>
      <c r="F240" s="31">
        <f>G240/((1+G35)*(1+G30)*(1-X_industry_wide))</f>
        <v>377152.05852431292</v>
      </c>
      <c r="G240" s="31">
        <f>H240/((1+H35)*(1+H30)*(1-X_industry_wide))</f>
        <v>389973.47476305283</v>
      </c>
      <c r="H240" s="31">
        <f>H233</f>
        <v>404717.48447256733</v>
      </c>
      <c r="I240" s="50"/>
      <c r="J240" s="50"/>
      <c r="K240" s="50"/>
      <c r="L240" s="50"/>
      <c r="M240" s="15"/>
    </row>
    <row r="241" spans="1:13">
      <c r="A241" s="50"/>
      <c r="B241" s="50"/>
      <c r="C241" s="50"/>
      <c r="D241" s="179"/>
      <c r="E241" s="50"/>
      <c r="F241" s="31"/>
      <c r="G241" s="31"/>
      <c r="H241" s="31"/>
      <c r="I241" s="50"/>
      <c r="J241" s="50"/>
      <c r="K241" s="50"/>
      <c r="L241" s="50"/>
      <c r="M241" s="15"/>
    </row>
    <row r="242" spans="1:13" ht="21">
      <c r="A242" s="50"/>
      <c r="B242" s="50"/>
      <c r="C242" s="155" t="s">
        <v>198</v>
      </c>
      <c r="D242" s="179"/>
      <c r="E242" s="50"/>
      <c r="F242" s="123"/>
      <c r="G242" s="50"/>
      <c r="H242" s="50"/>
      <c r="I242" s="50"/>
      <c r="J242" s="50"/>
      <c r="K242" s="50"/>
      <c r="L242" s="27"/>
      <c r="M242" s="15"/>
    </row>
    <row r="243" spans="1:13">
      <c r="A243" s="50"/>
      <c r="B243" s="50"/>
      <c r="C243" s="180" t="s">
        <v>212</v>
      </c>
      <c r="D243" s="179"/>
      <c r="E243" s="181">
        <f>(1+H30)*(1+I30)</f>
        <v>1.0337183875281188</v>
      </c>
      <c r="F243" s="123"/>
      <c r="G243" s="50"/>
      <c r="H243" s="50"/>
      <c r="I243" s="50"/>
      <c r="J243" s="50"/>
      <c r="K243" s="50"/>
      <c r="L243" s="27"/>
      <c r="M243" s="15"/>
    </row>
    <row r="244" spans="1:13">
      <c r="A244" s="50"/>
      <c r="B244" s="50"/>
      <c r="C244" s="50"/>
      <c r="D244" s="127"/>
      <c r="E244" s="50"/>
      <c r="F244" s="123"/>
      <c r="G244" s="50"/>
      <c r="H244" s="50"/>
      <c r="I244" s="50"/>
      <c r="J244" s="50"/>
      <c r="K244" s="50"/>
      <c r="L244" s="27"/>
    </row>
    <row r="245" spans="1:13" ht="21">
      <c r="A245" s="50"/>
      <c r="B245" s="50"/>
      <c r="C245" s="155" t="s">
        <v>315</v>
      </c>
      <c r="D245" s="162" t="s">
        <v>342</v>
      </c>
      <c r="E245" s="50"/>
      <c r="F245" s="123"/>
      <c r="G245" s="50"/>
      <c r="H245" s="50"/>
      <c r="I245" s="50"/>
      <c r="J245" s="50"/>
      <c r="K245" s="50"/>
      <c r="L245" s="27"/>
    </row>
    <row r="246" spans="1:13">
      <c r="A246" s="50"/>
      <c r="B246" s="50"/>
      <c r="C246" s="50"/>
      <c r="D246" s="50"/>
      <c r="E246" s="99" t="str">
        <f>Inputs!D$11</f>
        <v>2009/10</v>
      </c>
      <c r="F246" s="99" t="str">
        <f>Inputs!E$11</f>
        <v>2010/11</v>
      </c>
      <c r="G246" s="99" t="str">
        <f>Inputs!F$11</f>
        <v>2011/12</v>
      </c>
      <c r="H246" s="99" t="str">
        <f>Inputs!G$11</f>
        <v>2012/13</v>
      </c>
      <c r="I246" s="99" t="str">
        <f>Inputs!H$11</f>
        <v>2013/14</v>
      </c>
      <c r="J246" s="99" t="str">
        <f>Inputs!I$11</f>
        <v>2014/15</v>
      </c>
      <c r="K246" s="50"/>
      <c r="L246" s="27"/>
    </row>
    <row r="247" spans="1:13">
      <c r="A247" s="50"/>
      <c r="B247" s="50"/>
      <c r="C247" s="122" t="str">
        <f>C35</f>
        <v>2009 ΔCPI, 8 index, lagged, no GST adjustment</v>
      </c>
      <c r="D247" s="50"/>
      <c r="E247" s="50"/>
      <c r="F247" s="50"/>
      <c r="G247" s="50"/>
      <c r="H247" s="50"/>
      <c r="I247" s="100">
        <f>I35</f>
        <v>2.3759818812291389E-2</v>
      </c>
      <c r="J247" s="100">
        <f>J35</f>
        <v>2.2164443909808984E-2</v>
      </c>
      <c r="K247" s="50"/>
      <c r="L247" s="27"/>
    </row>
    <row r="248" spans="1:13">
      <c r="A248" s="50"/>
      <c r="B248" s="50"/>
      <c r="C248" s="122" t="str">
        <f>C37</f>
        <v>2012 ΔCPI, 8 index, lagged, with GST adjustment</v>
      </c>
      <c r="D248" s="50"/>
      <c r="E248" s="99"/>
      <c r="F248" s="100"/>
      <c r="G248" s="100"/>
      <c r="H248" s="100"/>
      <c r="I248" s="100">
        <f>I$37</f>
        <v>1.2820512820512775E-2</v>
      </c>
      <c r="J248" s="101">
        <f>J$37</f>
        <v>1.9725095732576747E-2</v>
      </c>
      <c r="K248" s="50"/>
      <c r="L248" s="27"/>
    </row>
    <row r="249" spans="1:13">
      <c r="A249" s="50"/>
      <c r="B249" s="50"/>
      <c r="C249" s="50" t="s">
        <v>200</v>
      </c>
      <c r="D249" s="50"/>
      <c r="E249" s="99"/>
      <c r="F249" s="100"/>
      <c r="G249" s="100">
        <f>G$30</f>
        <v>1.6719424191413187E-2</v>
      </c>
      <c r="H249" s="100">
        <f>H$30</f>
        <v>1.6719424191413187E-2</v>
      </c>
      <c r="I249" s="100">
        <f>I$30</f>
        <v>1.6719424191413187E-2</v>
      </c>
      <c r="J249" s="100">
        <f>J$30</f>
        <v>1.6719424191413187E-2</v>
      </c>
      <c r="K249" s="50"/>
      <c r="L249" s="27"/>
    </row>
    <row r="250" spans="1:13">
      <c r="A250" s="50"/>
      <c r="B250" s="50"/>
      <c r="C250" s="50" t="s">
        <v>309</v>
      </c>
      <c r="D250" s="54">
        <f>E25</f>
        <v>185446.75099999999</v>
      </c>
      <c r="E250" s="50"/>
      <c r="F250" s="123"/>
      <c r="G250" s="50"/>
      <c r="H250" s="50"/>
      <c r="I250" s="50"/>
      <c r="J250" s="50"/>
      <c r="K250" s="50"/>
      <c r="L250" s="27"/>
    </row>
    <row r="251" spans="1:13">
      <c r="A251" s="50"/>
      <c r="B251" s="50"/>
      <c r="C251" s="119" t="s">
        <v>335</v>
      </c>
      <c r="D251" s="32">
        <f>E24</f>
        <v>428869.23757747904</v>
      </c>
      <c r="E251" s="50"/>
      <c r="F251" s="123"/>
      <c r="G251" s="50"/>
      <c r="H251" s="50"/>
      <c r="I251" s="50"/>
      <c r="J251" s="50"/>
      <c r="K251" s="50"/>
      <c r="L251" s="27"/>
    </row>
    <row r="252" spans="1:13">
      <c r="A252" s="50"/>
      <c r="B252" s="50"/>
      <c r="C252" s="50" t="s">
        <v>383</v>
      </c>
      <c r="D252" s="50"/>
      <c r="E252" s="50"/>
      <c r="F252" s="123"/>
      <c r="G252" s="50"/>
      <c r="H252" s="124">
        <f>(D251+D250)*(1+G$249)*(1+H$249)-D250</f>
        <v>449582.98214505397</v>
      </c>
      <c r="I252" s="124">
        <f>H252*(1+I249)*(1+I248)</f>
        <v>462960.00394730049</v>
      </c>
      <c r="J252" s="124">
        <f>I252*(1+J249)*(1+J248)</f>
        <v>479985.03965318255</v>
      </c>
      <c r="K252" s="50"/>
      <c r="L252" s="27"/>
    </row>
    <row r="253" spans="1:13">
      <c r="A253" s="50"/>
      <c r="B253" s="50"/>
      <c r="C253" s="50" t="s">
        <v>314</v>
      </c>
      <c r="D253" s="50"/>
      <c r="E253" s="50"/>
      <c r="F253" s="123"/>
      <c r="G253" s="50"/>
      <c r="H253" s="124">
        <f>$D$250</f>
        <v>185446.75099999999</v>
      </c>
      <c r="I253" s="124">
        <f>H253*(1+I34)</f>
        <v>188733.14911898735</v>
      </c>
      <c r="J253" s="124"/>
      <c r="K253" s="50"/>
      <c r="L253" s="27"/>
    </row>
    <row r="254" spans="1:13">
      <c r="A254" s="50"/>
      <c r="B254" s="50"/>
      <c r="C254" s="119" t="s">
        <v>336</v>
      </c>
      <c r="D254" s="50"/>
      <c r="E254" s="50"/>
      <c r="F254" s="123"/>
      <c r="G254" s="50"/>
      <c r="H254" s="124">
        <f>D251</f>
        <v>428869.23757747904</v>
      </c>
      <c r="I254" s="124">
        <f>((H254+H253)*(1+G249)-H253)*(1+I248)*(1-X_industry_wide)</f>
        <v>444770.25034702296</v>
      </c>
      <c r="J254" s="97"/>
      <c r="K254" s="50"/>
      <c r="L254" s="27"/>
    </row>
    <row r="255" spans="1:13">
      <c r="A255" s="50"/>
      <c r="B255" s="50"/>
      <c r="C255" s="50" t="s">
        <v>337</v>
      </c>
      <c r="D255" s="50"/>
      <c r="E255" s="50"/>
      <c r="F255" s="123"/>
      <c r="G255" s="50"/>
      <c r="H255" s="124">
        <f>H216</f>
        <v>404717.48447256733</v>
      </c>
      <c r="I255" s="124">
        <f>I216</f>
        <v>421260.91609316965</v>
      </c>
      <c r="J255" s="124">
        <f>J216</f>
        <v>437797.27948758315</v>
      </c>
      <c r="K255" s="50"/>
      <c r="L255" s="27"/>
    </row>
    <row r="256" spans="1:13">
      <c r="A256" s="50"/>
      <c r="B256" s="50"/>
      <c r="C256" s="119" t="s">
        <v>371</v>
      </c>
      <c r="D256" s="50"/>
      <c r="E256" s="50"/>
      <c r="F256" s="123"/>
      <c r="G256" s="50"/>
      <c r="H256" s="124"/>
      <c r="I256" s="124">
        <f>(I255+I253)/((1+H249)*(1+I249))-I253</f>
        <v>401363.79853307724</v>
      </c>
      <c r="J256" s="124"/>
      <c r="K256" s="50"/>
      <c r="L256" s="27"/>
    </row>
    <row r="257" spans="1:12">
      <c r="A257" s="50"/>
      <c r="B257" s="50"/>
      <c r="C257" s="50" t="s">
        <v>344</v>
      </c>
      <c r="D257" s="50"/>
      <c r="E257" s="50"/>
      <c r="F257" s="123"/>
      <c r="G257" s="50"/>
      <c r="H257" s="124">
        <f>H255</f>
        <v>404717.48447256733</v>
      </c>
      <c r="I257" s="124">
        <f>I255*(1+I248)/(1+I247)</f>
        <v>416759.56530869909</v>
      </c>
      <c r="J257" s="124">
        <f>I257*(1+J$248)*(1+J$249)*(1-X_industry_wide)</f>
        <v>432085.61166184407</v>
      </c>
      <c r="K257" s="50"/>
      <c r="L257" s="27"/>
    </row>
    <row r="258" spans="1:12">
      <c r="A258" s="50"/>
      <c r="B258" s="50"/>
      <c r="C258" s="119" t="s">
        <v>346</v>
      </c>
      <c r="D258" s="50"/>
      <c r="E258" s="50"/>
      <c r="F258" s="123"/>
      <c r="G258" s="50"/>
      <c r="H258" s="124"/>
      <c r="I258" s="124">
        <f>(I257+I253)/((1+H249)*(1+I249))-I253</f>
        <v>397009.27525209507</v>
      </c>
      <c r="J258" s="97"/>
      <c r="K258" s="50"/>
      <c r="L258" s="27"/>
    </row>
    <row r="259" spans="1:12">
      <c r="A259" s="50"/>
      <c r="B259" s="50"/>
      <c r="C259" s="50" t="s">
        <v>338</v>
      </c>
      <c r="D259" s="50"/>
      <c r="E259" s="50"/>
      <c r="F259" s="123"/>
      <c r="G259" s="50"/>
      <c r="H259" s="124">
        <f>H233</f>
        <v>404717.48447256733</v>
      </c>
      <c r="I259" s="124">
        <f>I233</f>
        <v>421260.9160931696</v>
      </c>
      <c r="J259" s="124">
        <f>J233</f>
        <v>437797.27948758309</v>
      </c>
      <c r="K259" s="50"/>
      <c r="L259" s="27"/>
    </row>
    <row r="260" spans="1:12">
      <c r="A260" s="50"/>
      <c r="B260" s="50"/>
      <c r="C260" s="50" t="s">
        <v>345</v>
      </c>
      <c r="D260" s="50"/>
      <c r="E260" s="50"/>
      <c r="F260" s="123"/>
      <c r="G260" s="50"/>
      <c r="H260" s="124">
        <f>H259</f>
        <v>404717.48447256733</v>
      </c>
      <c r="I260" s="124">
        <f>I259*(1+I248)/(1+I247)</f>
        <v>416759.56530869904</v>
      </c>
      <c r="J260" s="124">
        <f>I260*(1+J$248)*(1+J$249)*(1-D227)</f>
        <v>432085.61166184396</v>
      </c>
      <c r="K260" s="50"/>
      <c r="L260" s="27"/>
    </row>
    <row r="261" spans="1:12">
      <c r="A261" s="50"/>
      <c r="B261" s="50"/>
      <c r="C261" s="119" t="s">
        <v>347</v>
      </c>
      <c r="D261" s="50"/>
      <c r="E261" s="50"/>
      <c r="F261" s="123"/>
      <c r="G261" s="50"/>
      <c r="H261" s="97"/>
      <c r="I261" s="124">
        <f>(I260+I253)/((1+H249)*(1+I249))-I253</f>
        <v>397009.27525209507</v>
      </c>
      <c r="J261" s="97"/>
      <c r="K261" s="50"/>
      <c r="L261" s="27"/>
    </row>
    <row r="262" spans="1:12">
      <c r="A262" s="50"/>
      <c r="B262" s="50"/>
      <c r="C262" s="50" t="s">
        <v>317</v>
      </c>
      <c r="D262" s="126">
        <f>E27</f>
        <v>0.2</v>
      </c>
      <c r="E262" s="50"/>
      <c r="F262" s="123"/>
      <c r="G262" s="50"/>
      <c r="H262" s="125"/>
      <c r="I262" s="125"/>
      <c r="J262" s="125"/>
      <c r="K262" s="50"/>
      <c r="L262" s="27"/>
    </row>
    <row r="263" spans="1:12" ht="18">
      <c r="A263" s="50"/>
      <c r="B263" s="50"/>
      <c r="C263" s="50" t="s">
        <v>339</v>
      </c>
      <c r="D263" s="127"/>
      <c r="E263" s="50"/>
      <c r="F263" s="123"/>
      <c r="G263" s="50"/>
      <c r="H263" s="124">
        <f>(D251+H253)*(1+G$249)*(1+H$249)-H253</f>
        <v>449582.98214505397</v>
      </c>
      <c r="I263" s="124">
        <f>H263*(1+$D262)*(1+I$247)*(1+I$249)</f>
        <v>561552.42958719842</v>
      </c>
      <c r="J263" s="124">
        <f>I264*(1+$D262)*(1+J247)*(1+J249)</f>
        <v>519743.0768124407</v>
      </c>
      <c r="K263" s="50"/>
      <c r="L263" s="27"/>
    </row>
    <row r="264" spans="1:12">
      <c r="A264" s="50"/>
      <c r="B264" s="50"/>
      <c r="C264" s="50" t="s">
        <v>367</v>
      </c>
      <c r="D264" s="127"/>
      <c r="E264" s="50"/>
      <c r="F264" s="123"/>
      <c r="G264" s="50"/>
      <c r="H264" s="124">
        <f>H260</f>
        <v>404717.48447256733</v>
      </c>
      <c r="I264" s="124">
        <f>MIN(I260,I263)</f>
        <v>416759.56530869904</v>
      </c>
      <c r="J264" s="124">
        <f>MIN(J260,J263)</f>
        <v>432085.61166184396</v>
      </c>
      <c r="K264" s="50"/>
      <c r="L264" s="27"/>
    </row>
    <row r="265" spans="1:12">
      <c r="A265" s="50"/>
      <c r="B265" s="50"/>
      <c r="C265" s="50" t="s">
        <v>373</v>
      </c>
      <c r="D265" s="31">
        <f>NPV(WACC,H255:J255)*D50</f>
        <v>1105407.2734992453</v>
      </c>
      <c r="E265" s="50"/>
      <c r="F265" s="123"/>
      <c r="G265" s="50"/>
      <c r="H265" s="50"/>
      <c r="I265" s="50"/>
      <c r="J265" s="50"/>
      <c r="K265" s="50"/>
      <c r="L265" s="27"/>
    </row>
    <row r="266" spans="1:12">
      <c r="A266" s="50"/>
      <c r="B266" s="50"/>
      <c r="C266" s="50" t="s">
        <v>372</v>
      </c>
      <c r="D266" s="31">
        <f>NPV(WACC,H252:J252)*D50</f>
        <v>1218474.1152154098</v>
      </c>
      <c r="E266" s="50"/>
      <c r="F266" s="123"/>
      <c r="G266" s="50"/>
      <c r="H266" s="50"/>
      <c r="I266" s="50"/>
      <c r="J266" s="50"/>
      <c r="K266" s="50"/>
      <c r="L266" s="27"/>
    </row>
    <row r="267" spans="1:12">
      <c r="A267" s="50"/>
      <c r="B267" s="50"/>
      <c r="C267" s="50" t="s">
        <v>340</v>
      </c>
      <c r="D267" s="31">
        <f>NPV(WACC,H259:J259)*D50</f>
        <v>1105407.2734992451</v>
      </c>
      <c r="E267" s="50"/>
      <c r="F267" s="123"/>
      <c r="G267" s="50"/>
      <c r="H267" s="50"/>
      <c r="I267" s="50"/>
      <c r="J267" s="50"/>
      <c r="K267" s="50"/>
      <c r="L267" s="27"/>
    </row>
    <row r="268" spans="1:12">
      <c r="A268" s="50"/>
      <c r="B268" s="50"/>
      <c r="C268" s="50" t="s">
        <v>351</v>
      </c>
      <c r="D268" s="31">
        <f>NPV(WACC,H264:J264)*D50</f>
        <v>1096878.2146780887</v>
      </c>
      <c r="E268" s="50"/>
      <c r="F268" s="123"/>
      <c r="G268" s="50"/>
      <c r="H268" s="50"/>
      <c r="I268" s="50"/>
      <c r="J268" s="50"/>
      <c r="K268" s="50"/>
      <c r="L268" s="27"/>
    </row>
    <row r="269" spans="1:12">
      <c r="A269" s="50"/>
      <c r="B269" s="50"/>
      <c r="C269" s="50" t="s">
        <v>348</v>
      </c>
      <c r="D269" s="31">
        <f>NPV(WACC,H257:J257)*D50</f>
        <v>1096878.2146780887</v>
      </c>
      <c r="E269" s="50"/>
      <c r="F269" s="123"/>
      <c r="G269" s="50"/>
      <c r="H269" s="50"/>
      <c r="I269" s="50"/>
      <c r="J269" s="50"/>
      <c r="K269" s="50"/>
      <c r="L269" s="27"/>
    </row>
    <row r="270" spans="1:12">
      <c r="A270" s="50"/>
      <c r="B270" s="50"/>
      <c r="C270" s="50" t="s">
        <v>349</v>
      </c>
      <c r="D270" s="31">
        <f>NPV(WACC,H260:J260)*D50</f>
        <v>1096878.2146780887</v>
      </c>
      <c r="E270" s="50"/>
      <c r="F270" s="123"/>
      <c r="G270" s="50"/>
      <c r="H270" s="50"/>
      <c r="I270" s="50"/>
      <c r="J270" s="50"/>
      <c r="K270" s="50"/>
      <c r="L270" s="27"/>
    </row>
    <row r="271" spans="1:12">
      <c r="A271" s="50"/>
      <c r="B271" s="50"/>
      <c r="C271" s="50" t="s">
        <v>368</v>
      </c>
      <c r="D271" s="31" t="b">
        <f>OR(I260&gt;I263,J260&gt;J263)</f>
        <v>0</v>
      </c>
      <c r="E271" s="50"/>
      <c r="F271" s="123"/>
      <c r="G271" s="50"/>
      <c r="H271" s="50"/>
      <c r="I271" s="50"/>
      <c r="J271" s="50"/>
      <c r="K271" s="50"/>
      <c r="L271" s="27"/>
    </row>
    <row r="272" spans="1:12">
      <c r="A272" s="50"/>
      <c r="B272" s="50"/>
      <c r="C272" s="50"/>
      <c r="D272" s="31"/>
      <c r="E272" s="50"/>
      <c r="F272" s="123"/>
      <c r="G272" s="50"/>
      <c r="H272" s="50"/>
      <c r="I272" s="50"/>
      <c r="J272" s="50"/>
      <c r="K272" s="50"/>
      <c r="L272" s="27"/>
    </row>
    <row r="273" spans="1:12" ht="21">
      <c r="A273" s="50"/>
      <c r="B273" s="50"/>
      <c r="C273" s="155" t="s">
        <v>343</v>
      </c>
      <c r="D273" s="127"/>
      <c r="E273" s="50"/>
      <c r="F273" s="123"/>
      <c r="G273" s="50"/>
      <c r="H273" s="50"/>
      <c r="I273" s="50"/>
      <c r="J273" s="50"/>
      <c r="K273" s="50"/>
      <c r="L273" s="27"/>
    </row>
    <row r="274" spans="1:12" ht="30">
      <c r="A274" s="50"/>
      <c r="B274" s="50"/>
      <c r="C274" s="123" t="s">
        <v>370</v>
      </c>
      <c r="D274" s="126">
        <f>I$261/(D$251*(1+I$249)*(1+I$248))-1</f>
        <v>-0.10103631500299037</v>
      </c>
      <c r="E274" s="50"/>
      <c r="F274" s="123"/>
      <c r="G274" s="50"/>
      <c r="H274" s="50"/>
      <c r="I274" s="50"/>
      <c r="J274" s="50"/>
      <c r="K274" s="50"/>
      <c r="L274" s="27"/>
    </row>
    <row r="275" spans="1:12" ht="30">
      <c r="A275" s="50"/>
      <c r="B275" s="50"/>
      <c r="C275" s="123" t="s">
        <v>350</v>
      </c>
      <c r="D275" s="31">
        <f>D265-D268</f>
        <v>8529.058821156621</v>
      </c>
      <c r="E275" s="50"/>
      <c r="F275" s="123"/>
      <c r="G275" s="50"/>
      <c r="H275" s="50"/>
      <c r="I275" s="50"/>
      <c r="J275" s="50"/>
      <c r="K275" s="50"/>
      <c r="L275" s="27"/>
    </row>
    <row r="276" spans="1:12">
      <c r="A276" s="50"/>
      <c r="B276" s="50"/>
      <c r="C276" s="123" t="s">
        <v>366</v>
      </c>
      <c r="D276" s="31">
        <f>ROUNDUP(I264,0)</f>
        <v>416760</v>
      </c>
      <c r="E276" s="50"/>
      <c r="F276" s="123"/>
      <c r="G276" s="50"/>
      <c r="H276" s="50"/>
      <c r="I276" s="50"/>
      <c r="J276" s="50"/>
      <c r="K276" s="50"/>
      <c r="L276" s="27"/>
    </row>
    <row r="277" spans="1:12">
      <c r="A277" s="50"/>
      <c r="B277" s="50"/>
      <c r="C277" s="123" t="s">
        <v>378</v>
      </c>
      <c r="D277" s="31">
        <f>ROUNDUP(H233,0)</f>
        <v>404718</v>
      </c>
      <c r="E277" s="50"/>
      <c r="F277" s="123"/>
      <c r="G277" s="50"/>
      <c r="H277" s="50"/>
      <c r="I277" s="50"/>
      <c r="J277" s="50"/>
      <c r="K277" s="50"/>
      <c r="L277" s="27"/>
    </row>
    <row r="278" spans="1:12">
      <c r="A278" s="50"/>
      <c r="B278" s="50"/>
      <c r="C278" s="114" t="s">
        <v>382</v>
      </c>
      <c r="D278" s="31">
        <f>D269-D266</f>
        <v>-121595.90053732111</v>
      </c>
      <c r="E278" s="50"/>
      <c r="F278" s="123"/>
      <c r="G278" s="50"/>
      <c r="H278" s="50"/>
      <c r="I278" s="50"/>
      <c r="J278" s="50"/>
      <c r="K278" s="50"/>
      <c r="L278" s="27"/>
    </row>
    <row r="279" spans="1:12">
      <c r="A279" s="15"/>
      <c r="B279" s="15"/>
      <c r="C279" s="15"/>
      <c r="D279" s="15"/>
      <c r="E279" s="120"/>
      <c r="F279" s="15"/>
      <c r="G279" s="15"/>
      <c r="H279" s="15"/>
      <c r="I279" s="15"/>
      <c r="J279" s="15"/>
      <c r="K279" s="15"/>
    </row>
    <row r="280" spans="1:12">
      <c r="A280" s="15"/>
      <c r="B280" s="15"/>
      <c r="C280" s="15"/>
      <c r="D280" s="15"/>
      <c r="E280" s="120"/>
      <c r="F280" s="15"/>
      <c r="G280" s="15"/>
      <c r="H280" s="15"/>
      <c r="I280" s="15"/>
      <c r="J280" s="15"/>
      <c r="K280" s="15"/>
    </row>
    <row r="281" spans="1:12">
      <c r="A281" s="15"/>
      <c r="B281" s="15"/>
      <c r="C281" s="15"/>
      <c r="D281" s="15"/>
      <c r="E281" s="120"/>
      <c r="F281" s="15"/>
      <c r="G281" s="15"/>
      <c r="H281" s="15"/>
      <c r="I281" s="15"/>
      <c r="J281" s="15"/>
      <c r="K281" s="15"/>
    </row>
    <row r="282" spans="1:12">
      <c r="A282" s="15"/>
      <c r="B282" s="15"/>
      <c r="C282" s="15"/>
      <c r="D282" s="15"/>
      <c r="E282" s="120"/>
      <c r="F282" s="15"/>
      <c r="G282" s="15"/>
      <c r="H282" s="15"/>
      <c r="I282" s="15"/>
      <c r="J282" s="15"/>
      <c r="K282" s="15"/>
    </row>
    <row r="283" spans="1:12">
      <c r="A283" s="15"/>
      <c r="B283" s="15"/>
      <c r="C283" s="15"/>
      <c r="D283" s="15"/>
      <c r="E283" s="120"/>
      <c r="F283" s="15"/>
      <c r="G283" s="15"/>
      <c r="H283" s="15"/>
      <c r="I283" s="15"/>
      <c r="J283" s="15"/>
      <c r="K283" s="15"/>
    </row>
    <row r="284" spans="1:12">
      <c r="A284" s="15"/>
      <c r="B284" s="15"/>
      <c r="C284" s="15"/>
      <c r="D284" s="15"/>
      <c r="E284" s="120"/>
      <c r="F284" s="15"/>
      <c r="G284" s="15"/>
      <c r="H284" s="15"/>
      <c r="I284" s="15"/>
      <c r="J284" s="15"/>
      <c r="K284" s="15"/>
    </row>
    <row r="285" spans="1:12">
      <c r="A285" s="15"/>
      <c r="B285" s="15"/>
      <c r="C285" s="15"/>
      <c r="D285" s="15"/>
      <c r="E285" s="120"/>
      <c r="F285" s="15"/>
      <c r="G285" s="15"/>
      <c r="H285" s="15"/>
      <c r="I285" s="15"/>
      <c r="J285" s="15"/>
      <c r="K285" s="15"/>
    </row>
    <row r="286" spans="1:12">
      <c r="A286" s="15"/>
      <c r="B286" s="15"/>
      <c r="C286" s="15"/>
      <c r="D286" s="15"/>
      <c r="E286" s="120"/>
      <c r="F286" s="15"/>
      <c r="G286" s="15"/>
      <c r="H286" s="15"/>
      <c r="I286" s="15"/>
      <c r="J286" s="15"/>
      <c r="K286" s="15"/>
    </row>
    <row r="287" spans="1:12">
      <c r="A287" s="15"/>
      <c r="B287" s="15"/>
      <c r="C287" s="15"/>
      <c r="D287" s="15"/>
      <c r="E287" s="120"/>
      <c r="F287" s="15"/>
      <c r="G287" s="15"/>
      <c r="H287" s="15"/>
      <c r="I287" s="15"/>
      <c r="J287" s="15"/>
      <c r="K287" s="15"/>
    </row>
    <row r="288" spans="1:12">
      <c r="A288" s="15"/>
      <c r="B288" s="15"/>
      <c r="C288" s="15"/>
      <c r="D288" s="15"/>
      <c r="E288" s="120"/>
      <c r="F288" s="15"/>
      <c r="G288" s="15"/>
      <c r="H288" s="15"/>
      <c r="I288" s="15"/>
      <c r="J288" s="15"/>
      <c r="K288" s="15"/>
    </row>
    <row r="289" spans="1:11">
      <c r="A289" s="15"/>
      <c r="B289" s="15"/>
      <c r="C289" s="15"/>
      <c r="D289" s="15"/>
      <c r="E289" s="120"/>
      <c r="F289" s="15"/>
      <c r="G289" s="15"/>
      <c r="H289" s="15"/>
      <c r="I289" s="15"/>
      <c r="J289" s="15"/>
      <c r="K289" s="15"/>
    </row>
    <row r="290" spans="1:11">
      <c r="A290" s="15"/>
      <c r="B290" s="15"/>
      <c r="C290" s="15"/>
      <c r="D290" s="15"/>
      <c r="E290" s="120"/>
      <c r="F290" s="15"/>
      <c r="G290" s="15"/>
      <c r="H290" s="15"/>
      <c r="I290" s="15"/>
      <c r="J290" s="15"/>
      <c r="K290" s="15"/>
    </row>
    <row r="291" spans="1:11">
      <c r="A291" s="15"/>
      <c r="B291" s="15"/>
      <c r="C291" s="15"/>
      <c r="D291" s="15"/>
      <c r="E291" s="120"/>
      <c r="F291" s="15"/>
      <c r="G291" s="15"/>
      <c r="H291" s="15"/>
      <c r="I291" s="15"/>
      <c r="J291" s="15"/>
      <c r="K291" s="15"/>
    </row>
    <row r="292" spans="1:11">
      <c r="A292" s="15"/>
      <c r="B292" s="15"/>
      <c r="C292" s="15"/>
      <c r="D292" s="15"/>
      <c r="E292" s="120"/>
      <c r="F292" s="15"/>
      <c r="G292" s="15"/>
      <c r="H292" s="15"/>
      <c r="I292" s="15"/>
      <c r="J292" s="15"/>
      <c r="K292" s="15"/>
    </row>
    <row r="293" spans="1:11">
      <c r="A293" s="15"/>
      <c r="B293" s="15"/>
      <c r="C293" s="15"/>
      <c r="D293" s="15"/>
      <c r="E293" s="120"/>
      <c r="F293" s="15"/>
      <c r="G293" s="15"/>
      <c r="H293" s="15"/>
      <c r="I293" s="15"/>
      <c r="J293" s="15"/>
      <c r="K293" s="15"/>
    </row>
    <row r="294" spans="1:11">
      <c r="A294" s="15"/>
      <c r="B294" s="15"/>
      <c r="C294" s="15"/>
      <c r="D294" s="15"/>
      <c r="E294" s="120"/>
      <c r="F294" s="15"/>
      <c r="G294" s="15"/>
      <c r="H294" s="15"/>
      <c r="I294" s="15"/>
      <c r="J294" s="15"/>
      <c r="K294" s="15"/>
    </row>
    <row r="295" spans="1:11">
      <c r="A295" s="15"/>
      <c r="B295" s="15"/>
      <c r="C295" s="15"/>
      <c r="D295" s="15"/>
      <c r="E295" s="120"/>
      <c r="F295" s="15"/>
      <c r="G295" s="15"/>
      <c r="H295" s="15"/>
      <c r="I295" s="15"/>
      <c r="J295" s="15"/>
      <c r="K295" s="15"/>
    </row>
    <row r="296" spans="1:11">
      <c r="A296" s="15"/>
      <c r="B296" s="15"/>
      <c r="C296" s="15"/>
      <c r="D296" s="15"/>
      <c r="E296" s="120"/>
      <c r="F296" s="15"/>
      <c r="G296" s="15"/>
      <c r="H296" s="15"/>
      <c r="I296" s="15"/>
      <c r="J296" s="15"/>
      <c r="K296" s="15"/>
    </row>
    <row r="297" spans="1:11">
      <c r="A297" s="15"/>
      <c r="B297" s="15"/>
      <c r="C297" s="15"/>
      <c r="D297" s="15"/>
      <c r="E297" s="120"/>
      <c r="F297" s="15"/>
      <c r="G297" s="15"/>
      <c r="H297" s="15"/>
      <c r="I297" s="15"/>
      <c r="J297" s="15"/>
      <c r="K297" s="15"/>
    </row>
    <row r="298" spans="1:11">
      <c r="A298" s="15"/>
      <c r="B298" s="15"/>
      <c r="C298" s="15"/>
      <c r="D298" s="15"/>
      <c r="E298" s="120"/>
      <c r="F298" s="15"/>
      <c r="G298" s="15"/>
      <c r="H298" s="15"/>
      <c r="I298" s="15"/>
      <c r="J298" s="15"/>
      <c r="K298" s="15"/>
    </row>
    <row r="299" spans="1:11">
      <c r="A299" s="15"/>
      <c r="B299" s="15"/>
      <c r="C299" s="15"/>
      <c r="D299" s="15"/>
      <c r="E299" s="120"/>
      <c r="F299" s="15"/>
      <c r="G299" s="15"/>
      <c r="H299" s="15"/>
      <c r="I299" s="15"/>
      <c r="J299" s="15"/>
    </row>
    <row r="300" spans="1:11">
      <c r="A300" s="15"/>
      <c r="B300" s="15"/>
      <c r="C300" s="15"/>
      <c r="D300" s="15"/>
      <c r="E300" s="120"/>
      <c r="F300" s="15"/>
      <c r="G300" s="15"/>
      <c r="H300" s="15"/>
      <c r="I300" s="15"/>
      <c r="J300" s="15"/>
    </row>
    <row r="301" spans="1:11">
      <c r="A301" s="15"/>
      <c r="B301" s="15"/>
      <c r="C301" s="15"/>
      <c r="D301" s="15"/>
      <c r="E301" s="120"/>
      <c r="F301" s="15"/>
      <c r="G301" s="15"/>
      <c r="H301" s="15"/>
      <c r="I301" s="15"/>
      <c r="J301" s="15"/>
    </row>
    <row r="302" spans="1:11">
      <c r="A302" s="15"/>
      <c r="B302" s="15"/>
      <c r="C302" s="15"/>
      <c r="D302" s="15"/>
      <c r="E302" s="120"/>
      <c r="F302" s="15"/>
      <c r="G302" s="15"/>
      <c r="H302" s="15"/>
      <c r="I302" s="15"/>
      <c r="J302" s="15"/>
    </row>
    <row r="303" spans="1:11">
      <c r="A303" s="15"/>
      <c r="B303" s="15"/>
      <c r="C303" s="15"/>
      <c r="D303" s="15"/>
      <c r="E303" s="120"/>
      <c r="F303" s="15"/>
      <c r="G303" s="15"/>
      <c r="H303" s="15"/>
      <c r="I303" s="15"/>
      <c r="J303" s="15"/>
    </row>
    <row r="304" spans="1:11">
      <c r="A304" s="15"/>
      <c r="B304" s="15"/>
      <c r="C304" s="15"/>
      <c r="D304" s="15"/>
      <c r="E304" s="120"/>
      <c r="F304" s="15"/>
      <c r="G304" s="15"/>
      <c r="H304" s="15"/>
      <c r="I304" s="15"/>
      <c r="J304" s="15"/>
    </row>
    <row r="305" spans="1:10">
      <c r="A305" s="15"/>
      <c r="B305" s="15"/>
      <c r="C305" s="15"/>
      <c r="D305" s="15"/>
      <c r="E305" s="120"/>
      <c r="F305" s="15"/>
      <c r="G305" s="15"/>
      <c r="H305" s="15"/>
      <c r="I305" s="15"/>
      <c r="J305" s="15"/>
    </row>
    <row r="306" spans="1:10">
      <c r="A306" s="15"/>
      <c r="B306" s="15"/>
      <c r="C306" s="15"/>
      <c r="D306" s="15"/>
      <c r="E306" s="120"/>
      <c r="F306" s="15"/>
      <c r="G306" s="15"/>
      <c r="H306" s="15"/>
      <c r="I306" s="15"/>
      <c r="J306" s="15"/>
    </row>
    <row r="307" spans="1:10">
      <c r="A307" s="15"/>
      <c r="B307" s="15"/>
      <c r="C307" s="15"/>
      <c r="D307" s="15"/>
      <c r="E307" s="120"/>
      <c r="F307" s="15"/>
      <c r="G307" s="15"/>
      <c r="H307" s="15"/>
      <c r="I307" s="15"/>
      <c r="J307" s="15"/>
    </row>
    <row r="308" spans="1:10">
      <c r="A308" s="15"/>
      <c r="B308" s="15"/>
      <c r="C308" s="15"/>
      <c r="D308" s="15"/>
      <c r="E308" s="120"/>
      <c r="F308" s="15"/>
      <c r="G308" s="15"/>
      <c r="H308" s="15"/>
      <c r="I308" s="15"/>
      <c r="J308" s="15"/>
    </row>
    <row r="309" spans="1:10">
      <c r="A309" s="15"/>
      <c r="B309" s="15"/>
      <c r="C309" s="15"/>
      <c r="D309" s="15"/>
      <c r="E309" s="120"/>
      <c r="F309" s="15"/>
      <c r="G309" s="15"/>
      <c r="H309" s="15"/>
      <c r="I309" s="15"/>
      <c r="J309" s="15"/>
    </row>
    <row r="310" spans="1:10">
      <c r="A310" s="15"/>
      <c r="B310" s="15"/>
      <c r="C310" s="15"/>
      <c r="D310" s="15"/>
      <c r="E310" s="120"/>
      <c r="F310" s="15"/>
      <c r="G310" s="15"/>
      <c r="H310" s="15"/>
      <c r="I310" s="15"/>
      <c r="J310" s="15"/>
    </row>
    <row r="311" spans="1:10">
      <c r="A311" s="15"/>
      <c r="B311" s="15"/>
      <c r="C311" s="15"/>
      <c r="D311" s="15"/>
      <c r="E311" s="120"/>
      <c r="F311" s="15"/>
      <c r="G311" s="15"/>
      <c r="H311" s="15"/>
      <c r="I311" s="15"/>
      <c r="J311" s="15"/>
    </row>
    <row r="312" spans="1:10">
      <c r="A312" s="15"/>
      <c r="B312" s="15"/>
      <c r="C312" s="15"/>
      <c r="D312" s="15"/>
      <c r="E312" s="120"/>
      <c r="F312" s="15"/>
      <c r="G312" s="15"/>
      <c r="H312" s="15"/>
      <c r="I312" s="15"/>
      <c r="J312" s="15"/>
    </row>
    <row r="313" spans="1:10">
      <c r="E313" s="19"/>
    </row>
    <row r="314" spans="1:10">
      <c r="E314" s="19"/>
    </row>
    <row r="315" spans="1:10">
      <c r="E315" s="19"/>
    </row>
    <row r="316" spans="1:10">
      <c r="E316" s="19"/>
    </row>
    <row r="317" spans="1:10">
      <c r="E317" s="19"/>
    </row>
    <row r="318" spans="1:10">
      <c r="E318" s="19"/>
    </row>
    <row r="319" spans="1:10">
      <c r="E319" s="19"/>
    </row>
    <row r="320" spans="1:10">
      <c r="E320" s="19"/>
    </row>
    <row r="321" spans="5:5">
      <c r="E321" s="19"/>
    </row>
    <row r="322" spans="5:5">
      <c r="E322" s="19"/>
    </row>
    <row r="323" spans="5:5">
      <c r="E323" s="19"/>
    </row>
    <row r="324" spans="5:5">
      <c r="E324" s="19"/>
    </row>
    <row r="325" spans="5:5">
      <c r="E325" s="19"/>
    </row>
    <row r="326" spans="5:5">
      <c r="E326" s="19"/>
    </row>
    <row r="327" spans="5:5">
      <c r="E327" s="19"/>
    </row>
    <row r="328" spans="5:5">
      <c r="E328" s="19"/>
    </row>
    <row r="329" spans="5:5">
      <c r="E329" s="19"/>
    </row>
    <row r="330" spans="5:5">
      <c r="E330" s="19"/>
    </row>
    <row r="331" spans="5:5">
      <c r="E331" s="19"/>
    </row>
    <row r="332" spans="5:5">
      <c r="E332" s="19"/>
    </row>
    <row r="333" spans="5:5">
      <c r="E333" s="19"/>
    </row>
    <row r="334" spans="5:5">
      <c r="E334" s="19"/>
    </row>
    <row r="335" spans="5:5">
      <c r="E335" s="19"/>
    </row>
    <row r="336" spans="5:5">
      <c r="E336" s="19"/>
    </row>
    <row r="337" spans="5:5">
      <c r="E337" s="19"/>
    </row>
    <row r="338" spans="5:5">
      <c r="E338" s="19"/>
    </row>
    <row r="339" spans="5:5">
      <c r="E339" s="19"/>
    </row>
    <row r="340" spans="5:5">
      <c r="E340" s="19"/>
    </row>
    <row r="341" spans="5:5">
      <c r="E341" s="19"/>
    </row>
    <row r="342" spans="5:5">
      <c r="E342" s="19"/>
    </row>
    <row r="343" spans="5:5">
      <c r="E343" s="19"/>
    </row>
    <row r="344" spans="5:5">
      <c r="E344" s="19"/>
    </row>
    <row r="345" spans="5:5">
      <c r="E345" s="19"/>
    </row>
    <row r="346" spans="5:5">
      <c r="E346" s="19"/>
    </row>
    <row r="347" spans="5:5">
      <c r="E347" s="19"/>
    </row>
    <row r="348" spans="5:5">
      <c r="E348" s="19"/>
    </row>
    <row r="349" spans="5:5">
      <c r="E349" s="19"/>
    </row>
    <row r="350" spans="5:5">
      <c r="E350" s="19"/>
    </row>
    <row r="351" spans="5:5">
      <c r="E351" s="19"/>
    </row>
    <row r="352" spans="5:5">
      <c r="E352" s="19"/>
    </row>
    <row r="353" spans="5:5">
      <c r="E353" s="19"/>
    </row>
    <row r="354" spans="5:5">
      <c r="E354" s="19"/>
    </row>
    <row r="355" spans="5:5">
      <c r="E355" s="19"/>
    </row>
    <row r="356" spans="5:5">
      <c r="E356" s="19"/>
    </row>
    <row r="357" spans="5:5">
      <c r="E357" s="19"/>
    </row>
    <row r="358" spans="5:5">
      <c r="E358" s="19"/>
    </row>
    <row r="359" spans="5:5">
      <c r="E359" s="19"/>
    </row>
    <row r="360" spans="5:5">
      <c r="E360" s="19"/>
    </row>
    <row r="361" spans="5:5">
      <c r="E361" s="19"/>
    </row>
    <row r="362" spans="5:5">
      <c r="E362" s="19"/>
    </row>
    <row r="363" spans="5:5">
      <c r="E363" s="19"/>
    </row>
    <row r="364" spans="5:5">
      <c r="E364" s="19"/>
    </row>
    <row r="365" spans="5:5">
      <c r="E365" s="19"/>
    </row>
    <row r="366" spans="5:5">
      <c r="E366" s="19"/>
    </row>
    <row r="367" spans="5:5">
      <c r="E367" s="19"/>
    </row>
    <row r="368" spans="5:5">
      <c r="E368" s="19"/>
    </row>
    <row r="369" spans="5:5">
      <c r="E369" s="19"/>
    </row>
    <row r="370" spans="5:5">
      <c r="E370" s="19"/>
    </row>
    <row r="371" spans="5:5">
      <c r="E371" s="19"/>
    </row>
    <row r="372" spans="5:5">
      <c r="E372" s="19"/>
    </row>
    <row r="373" spans="5:5">
      <c r="E373" s="19"/>
    </row>
    <row r="374" spans="5:5">
      <c r="E374" s="19"/>
    </row>
    <row r="375" spans="5:5">
      <c r="E375" s="19"/>
    </row>
    <row r="376" spans="5:5">
      <c r="E376" s="19"/>
    </row>
    <row r="377" spans="5:5">
      <c r="E377" s="19"/>
    </row>
    <row r="378" spans="5:5">
      <c r="E378" s="19"/>
    </row>
    <row r="379" spans="5:5">
      <c r="E379" s="19"/>
    </row>
    <row r="380" spans="5:5">
      <c r="E380" s="19"/>
    </row>
    <row r="381" spans="5:5">
      <c r="E381" s="19"/>
    </row>
    <row r="382" spans="5:5">
      <c r="E382" s="19"/>
    </row>
    <row r="383" spans="5:5">
      <c r="E383" s="19"/>
    </row>
    <row r="384" spans="5:5">
      <c r="E384" s="19"/>
    </row>
    <row r="385" spans="5:5">
      <c r="E385" s="19"/>
    </row>
    <row r="386" spans="5:5">
      <c r="E386" s="19"/>
    </row>
    <row r="387" spans="5:5">
      <c r="E387" s="19"/>
    </row>
    <row r="388" spans="5:5">
      <c r="E388" s="19"/>
    </row>
    <row r="389" spans="5:5">
      <c r="E389" s="19"/>
    </row>
    <row r="390" spans="5:5">
      <c r="E390" s="19"/>
    </row>
    <row r="391" spans="5:5">
      <c r="E391" s="19"/>
    </row>
    <row r="392" spans="5:5">
      <c r="E392" s="19"/>
    </row>
    <row r="393" spans="5:5">
      <c r="E393" s="19"/>
    </row>
    <row r="394" spans="5:5">
      <c r="E394" s="19"/>
    </row>
    <row r="395" spans="5:5">
      <c r="E395" s="19"/>
    </row>
    <row r="396" spans="5:5">
      <c r="E396" s="19"/>
    </row>
    <row r="397" spans="5:5">
      <c r="E397" s="19"/>
    </row>
    <row r="398" spans="5:5">
      <c r="E398" s="19"/>
    </row>
    <row r="399" spans="5:5">
      <c r="E399" s="19"/>
    </row>
    <row r="400" spans="5:5">
      <c r="E400" s="19"/>
    </row>
    <row r="401" spans="5:5">
      <c r="E401" s="19"/>
    </row>
    <row r="402" spans="5:5">
      <c r="E402" s="19"/>
    </row>
    <row r="403" spans="5:5">
      <c r="E403" s="19"/>
    </row>
    <row r="404" spans="5:5">
      <c r="E404" s="19"/>
    </row>
    <row r="405" spans="5:5">
      <c r="E405" s="19"/>
    </row>
    <row r="406" spans="5:5">
      <c r="E406" s="19"/>
    </row>
    <row r="407" spans="5:5">
      <c r="E407" s="19"/>
    </row>
    <row r="408" spans="5:5">
      <c r="E408" s="19"/>
    </row>
    <row r="409" spans="5:5">
      <c r="E409" s="19"/>
    </row>
    <row r="410" spans="5:5">
      <c r="E410" s="19"/>
    </row>
    <row r="411" spans="5:5">
      <c r="E411" s="19"/>
    </row>
    <row r="412" spans="5:5">
      <c r="E412" s="19"/>
    </row>
    <row r="413" spans="5:5">
      <c r="E413" s="19"/>
    </row>
    <row r="414" spans="5:5">
      <c r="E414" s="19"/>
    </row>
    <row r="415" spans="5:5">
      <c r="E415" s="19"/>
    </row>
    <row r="416" spans="5:5">
      <c r="E416" s="19"/>
    </row>
    <row r="417" spans="5:5">
      <c r="E417" s="19"/>
    </row>
    <row r="418" spans="5:5">
      <c r="E418" s="19"/>
    </row>
    <row r="419" spans="5:5">
      <c r="E419" s="19"/>
    </row>
    <row r="420" spans="5:5">
      <c r="E420" s="19"/>
    </row>
    <row r="421" spans="5:5">
      <c r="E421" s="19"/>
    </row>
    <row r="422" spans="5:5">
      <c r="E422" s="19"/>
    </row>
    <row r="423" spans="5:5">
      <c r="E423" s="19"/>
    </row>
    <row r="424" spans="5:5">
      <c r="E424" s="19"/>
    </row>
    <row r="425" spans="5:5">
      <c r="E425" s="19"/>
    </row>
    <row r="426" spans="5:5">
      <c r="E426" s="19"/>
    </row>
    <row r="427" spans="5:5">
      <c r="E427" s="19"/>
    </row>
    <row r="428" spans="5:5">
      <c r="E428" s="19"/>
    </row>
    <row r="429" spans="5:5">
      <c r="E429" s="19"/>
    </row>
    <row r="430" spans="5:5">
      <c r="E430" s="19"/>
    </row>
    <row r="431" spans="5:5">
      <c r="E431" s="19"/>
    </row>
    <row r="432" spans="5:5">
      <c r="E432" s="19"/>
    </row>
    <row r="433" spans="5:5">
      <c r="E433" s="19"/>
    </row>
    <row r="434" spans="5:5">
      <c r="E434" s="19"/>
    </row>
    <row r="435" spans="5:5">
      <c r="E435" s="19"/>
    </row>
    <row r="436" spans="5:5">
      <c r="E436" s="19"/>
    </row>
    <row r="437" spans="5:5">
      <c r="E437" s="19"/>
    </row>
    <row r="438" spans="5:5">
      <c r="E438" s="19"/>
    </row>
    <row r="439" spans="5:5">
      <c r="E439" s="19"/>
    </row>
    <row r="440" spans="5:5">
      <c r="E440" s="19"/>
    </row>
    <row r="441" spans="5:5">
      <c r="E441" s="19"/>
    </row>
    <row r="442" spans="5:5">
      <c r="E442" s="19"/>
    </row>
    <row r="443" spans="5:5">
      <c r="E443" s="19"/>
    </row>
    <row r="444" spans="5:5">
      <c r="E444" s="19"/>
    </row>
    <row r="445" spans="5:5">
      <c r="E445" s="19"/>
    </row>
    <row r="446" spans="5:5">
      <c r="E446" s="19"/>
    </row>
    <row r="447" spans="5:5">
      <c r="E447" s="19"/>
    </row>
    <row r="448" spans="5:5">
      <c r="E448" s="19"/>
    </row>
    <row r="449" spans="5:5">
      <c r="E449" s="19"/>
    </row>
    <row r="450" spans="5:5">
      <c r="E450" s="19"/>
    </row>
    <row r="451" spans="5:5">
      <c r="E451" s="19"/>
    </row>
    <row r="452" spans="5:5">
      <c r="E452" s="19"/>
    </row>
    <row r="453" spans="5:5">
      <c r="E453" s="19"/>
    </row>
    <row r="454" spans="5:5">
      <c r="E454" s="19"/>
    </row>
    <row r="455" spans="5:5">
      <c r="E455" s="19"/>
    </row>
    <row r="456" spans="5:5">
      <c r="E456" s="19"/>
    </row>
    <row r="457" spans="5:5">
      <c r="E457" s="19"/>
    </row>
    <row r="458" spans="5:5">
      <c r="E458" s="19"/>
    </row>
    <row r="459" spans="5:5">
      <c r="E459" s="19"/>
    </row>
    <row r="460" spans="5:5">
      <c r="E460" s="19"/>
    </row>
    <row r="461" spans="5:5">
      <c r="E461" s="19"/>
    </row>
    <row r="462" spans="5:5">
      <c r="E462" s="19"/>
    </row>
    <row r="463" spans="5:5">
      <c r="E463" s="19"/>
    </row>
    <row r="464" spans="5:5">
      <c r="E464" s="19"/>
    </row>
    <row r="465" spans="5:5">
      <c r="E465" s="19"/>
    </row>
    <row r="466" spans="5:5">
      <c r="E466" s="19"/>
    </row>
    <row r="467" spans="5:5">
      <c r="E467" s="19"/>
    </row>
    <row r="468" spans="5:5">
      <c r="E468" s="19"/>
    </row>
    <row r="469" spans="5:5">
      <c r="E469" s="19"/>
    </row>
    <row r="470" spans="5:5">
      <c r="E470" s="19"/>
    </row>
    <row r="471" spans="5:5">
      <c r="E471" s="19"/>
    </row>
    <row r="472" spans="5:5">
      <c r="E472" s="19"/>
    </row>
    <row r="473" spans="5:5">
      <c r="E473" s="19"/>
    </row>
    <row r="474" spans="5:5">
      <c r="E474" s="19"/>
    </row>
    <row r="475" spans="5:5">
      <c r="E475" s="19"/>
    </row>
    <row r="476" spans="5:5">
      <c r="E476" s="19"/>
    </row>
    <row r="477" spans="5:5">
      <c r="E477" s="19"/>
    </row>
    <row r="478" spans="5:5">
      <c r="E478" s="19"/>
    </row>
    <row r="479" spans="5:5">
      <c r="E479" s="19"/>
    </row>
    <row r="480" spans="5:5">
      <c r="E480" s="19"/>
    </row>
    <row r="481" spans="5:5">
      <c r="E481" s="19"/>
    </row>
    <row r="482" spans="5:5">
      <c r="E482" s="19"/>
    </row>
    <row r="483" spans="5:5">
      <c r="E483" s="19"/>
    </row>
    <row r="484" spans="5:5">
      <c r="E484" s="19"/>
    </row>
    <row r="485" spans="5:5">
      <c r="E485" s="19"/>
    </row>
    <row r="486" spans="5:5">
      <c r="E486" s="19"/>
    </row>
    <row r="487" spans="5:5">
      <c r="E487" s="19"/>
    </row>
    <row r="488" spans="5:5">
      <c r="E488" s="19"/>
    </row>
    <row r="489" spans="5:5">
      <c r="E489" s="19"/>
    </row>
    <row r="490" spans="5:5">
      <c r="E490" s="19"/>
    </row>
    <row r="491" spans="5:5">
      <c r="E491" s="19"/>
    </row>
    <row r="492" spans="5:5">
      <c r="E492" s="19"/>
    </row>
    <row r="493" spans="5:5">
      <c r="E493" s="19"/>
    </row>
    <row r="494" spans="5:5">
      <c r="E494" s="19"/>
    </row>
    <row r="495" spans="5:5">
      <c r="E495" s="19"/>
    </row>
    <row r="496" spans="5:5">
      <c r="E496" s="19"/>
    </row>
    <row r="497" spans="5:5">
      <c r="E497" s="19"/>
    </row>
    <row r="498" spans="5:5">
      <c r="E498" s="19"/>
    </row>
    <row r="499" spans="5:5">
      <c r="E499" s="19"/>
    </row>
    <row r="500" spans="5:5">
      <c r="E500" s="19"/>
    </row>
    <row r="501" spans="5:5">
      <c r="E501" s="19"/>
    </row>
    <row r="502" spans="5:5">
      <c r="E502" s="19"/>
    </row>
    <row r="503" spans="5:5">
      <c r="E503" s="19"/>
    </row>
    <row r="504" spans="5:5">
      <c r="E504" s="19"/>
    </row>
    <row r="505" spans="5:5">
      <c r="E505" s="19"/>
    </row>
    <row r="506" spans="5:5">
      <c r="E506" s="19"/>
    </row>
    <row r="507" spans="5:5">
      <c r="E507" s="19"/>
    </row>
    <row r="508" spans="5:5">
      <c r="E508" s="19"/>
    </row>
    <row r="509" spans="5:5">
      <c r="E509" s="19"/>
    </row>
    <row r="510" spans="5:5">
      <c r="E510" s="19"/>
    </row>
    <row r="511" spans="5:5">
      <c r="E511" s="19"/>
    </row>
    <row r="512" spans="5:5">
      <c r="E512" s="19"/>
    </row>
    <row r="513" spans="5:5">
      <c r="E513" s="19"/>
    </row>
    <row r="514" spans="5:5">
      <c r="E514" s="19"/>
    </row>
    <row r="515" spans="5:5">
      <c r="E515" s="19"/>
    </row>
    <row r="516" spans="5:5">
      <c r="E516" s="19"/>
    </row>
    <row r="517" spans="5:5">
      <c r="E517" s="19"/>
    </row>
    <row r="518" spans="5:5">
      <c r="E518" s="19"/>
    </row>
    <row r="519" spans="5:5">
      <c r="E519" s="19"/>
    </row>
    <row r="520" spans="5:5">
      <c r="E520" s="19"/>
    </row>
    <row r="521" spans="5:5">
      <c r="E521" s="19"/>
    </row>
    <row r="522" spans="5:5">
      <c r="E522" s="19"/>
    </row>
    <row r="523" spans="5:5">
      <c r="E523" s="19"/>
    </row>
    <row r="524" spans="5:5">
      <c r="E524" s="19"/>
    </row>
    <row r="525" spans="5:5">
      <c r="E525" s="19"/>
    </row>
    <row r="526" spans="5:5">
      <c r="E526" s="19"/>
    </row>
    <row r="527" spans="5:5">
      <c r="E527" s="19"/>
    </row>
    <row r="528" spans="5:5">
      <c r="E528" s="19"/>
    </row>
    <row r="529" spans="5:5">
      <c r="E529" s="19"/>
    </row>
    <row r="530" spans="5:5">
      <c r="E530" s="19"/>
    </row>
    <row r="531" spans="5:5">
      <c r="E531" s="19"/>
    </row>
    <row r="532" spans="5:5">
      <c r="E532" s="19"/>
    </row>
    <row r="533" spans="5:5">
      <c r="E533" s="19"/>
    </row>
    <row r="534" spans="5:5">
      <c r="E534" s="19"/>
    </row>
    <row r="535" spans="5:5">
      <c r="E535" s="19"/>
    </row>
    <row r="536" spans="5:5">
      <c r="E536" s="19"/>
    </row>
    <row r="537" spans="5:5">
      <c r="E537" s="19"/>
    </row>
    <row r="538" spans="5:5">
      <c r="E538" s="19"/>
    </row>
    <row r="539" spans="5:5">
      <c r="E539" s="19"/>
    </row>
    <row r="540" spans="5:5">
      <c r="E540" s="19"/>
    </row>
    <row r="541" spans="5:5">
      <c r="E541" s="19"/>
    </row>
    <row r="542" spans="5:5">
      <c r="E542" s="19"/>
    </row>
    <row r="543" spans="5:5">
      <c r="E543" s="19"/>
    </row>
    <row r="544" spans="5:5">
      <c r="E544" s="19"/>
    </row>
    <row r="545" spans="5:5">
      <c r="E545" s="19"/>
    </row>
    <row r="546" spans="5:5">
      <c r="E546" s="19"/>
    </row>
    <row r="547" spans="5:5">
      <c r="E547" s="19"/>
    </row>
    <row r="548" spans="5:5">
      <c r="E548" s="19"/>
    </row>
    <row r="549" spans="5:5">
      <c r="E549" s="19"/>
    </row>
    <row r="550" spans="5:5">
      <c r="E550" s="19"/>
    </row>
    <row r="551" spans="5:5">
      <c r="E551" s="19"/>
    </row>
    <row r="552" spans="5:5">
      <c r="E552" s="19"/>
    </row>
    <row r="553" spans="5:5">
      <c r="E553" s="19"/>
    </row>
    <row r="554" spans="5:5">
      <c r="E554" s="19"/>
    </row>
    <row r="555" spans="5:5">
      <c r="E555" s="19"/>
    </row>
    <row r="556" spans="5:5">
      <c r="E556" s="19"/>
    </row>
    <row r="557" spans="5:5">
      <c r="E557" s="19"/>
    </row>
    <row r="558" spans="5:5">
      <c r="E558" s="19"/>
    </row>
    <row r="559" spans="5:5">
      <c r="E559" s="19"/>
    </row>
    <row r="560" spans="5:5">
      <c r="E560" s="19"/>
    </row>
    <row r="561" spans="5:5">
      <c r="E561" s="19"/>
    </row>
    <row r="562" spans="5:5">
      <c r="E562" s="19"/>
    </row>
    <row r="563" spans="5:5">
      <c r="E563" s="19"/>
    </row>
    <row r="564" spans="5:5">
      <c r="E564" s="19"/>
    </row>
    <row r="565" spans="5:5">
      <c r="E565" s="19"/>
    </row>
    <row r="566" spans="5:5">
      <c r="E566" s="19"/>
    </row>
    <row r="567" spans="5:5">
      <c r="E567" s="19"/>
    </row>
    <row r="568" spans="5:5">
      <c r="E568" s="19"/>
    </row>
    <row r="569" spans="5:5">
      <c r="E569" s="19"/>
    </row>
    <row r="570" spans="5:5">
      <c r="E570" s="19"/>
    </row>
    <row r="571" spans="5:5">
      <c r="E571" s="19"/>
    </row>
    <row r="572" spans="5:5">
      <c r="E572" s="19"/>
    </row>
    <row r="573" spans="5:5">
      <c r="E573" s="19"/>
    </row>
    <row r="574" spans="5:5">
      <c r="E574" s="19"/>
    </row>
    <row r="575" spans="5:5">
      <c r="E575" s="19"/>
    </row>
    <row r="576" spans="5:5">
      <c r="E576" s="19"/>
    </row>
    <row r="577" spans="5:5">
      <c r="E577" s="19"/>
    </row>
    <row r="578" spans="5:5">
      <c r="E578" s="19"/>
    </row>
    <row r="579" spans="5:5">
      <c r="E579" s="19"/>
    </row>
    <row r="580" spans="5:5">
      <c r="E580" s="19"/>
    </row>
    <row r="581" spans="5:5">
      <c r="E581" s="19"/>
    </row>
    <row r="582" spans="5:5">
      <c r="E582" s="19"/>
    </row>
    <row r="583" spans="5:5">
      <c r="E583" s="19"/>
    </row>
    <row r="584" spans="5:5">
      <c r="E584" s="19"/>
    </row>
    <row r="585" spans="5:5">
      <c r="E585" s="19"/>
    </row>
    <row r="586" spans="5:5">
      <c r="E586" s="19"/>
    </row>
    <row r="587" spans="5:5">
      <c r="E587" s="19"/>
    </row>
    <row r="588" spans="5:5">
      <c r="E588" s="19"/>
    </row>
    <row r="589" spans="5:5">
      <c r="E589" s="19"/>
    </row>
    <row r="590" spans="5:5">
      <c r="E590" s="19"/>
    </row>
    <row r="591" spans="5:5">
      <c r="E591" s="19"/>
    </row>
    <row r="592" spans="5:5">
      <c r="E592" s="19"/>
    </row>
    <row r="593" spans="5:5">
      <c r="E593" s="19"/>
    </row>
    <row r="594" spans="5:5">
      <c r="E594" s="19"/>
    </row>
    <row r="595" spans="5:5">
      <c r="E595" s="19"/>
    </row>
    <row r="596" spans="5:5">
      <c r="E596" s="19"/>
    </row>
    <row r="597" spans="5:5">
      <c r="E597" s="19"/>
    </row>
    <row r="598" spans="5:5">
      <c r="E598" s="19"/>
    </row>
    <row r="599" spans="5:5">
      <c r="E599" s="19"/>
    </row>
    <row r="600" spans="5:5">
      <c r="E600" s="19"/>
    </row>
    <row r="601" spans="5:5">
      <c r="E601" s="19"/>
    </row>
    <row r="602" spans="5:5">
      <c r="E602" s="19"/>
    </row>
    <row r="603" spans="5:5">
      <c r="E603" s="19"/>
    </row>
    <row r="604" spans="5:5">
      <c r="E604" s="19"/>
    </row>
    <row r="605" spans="5:5">
      <c r="E605" s="19"/>
    </row>
    <row r="606" spans="5:5">
      <c r="E606" s="19"/>
    </row>
    <row r="607" spans="5:5">
      <c r="E607" s="19"/>
    </row>
    <row r="608" spans="5:5">
      <c r="E608" s="19"/>
    </row>
    <row r="609" spans="5:5">
      <c r="E609" s="19"/>
    </row>
    <row r="610" spans="5:5">
      <c r="E610" s="19"/>
    </row>
    <row r="611" spans="5:5">
      <c r="E611" s="19"/>
    </row>
    <row r="612" spans="5:5">
      <c r="E612" s="19"/>
    </row>
    <row r="613" spans="5:5">
      <c r="E613" s="19"/>
    </row>
    <row r="614" spans="5:5">
      <c r="E614" s="19"/>
    </row>
    <row r="615" spans="5:5">
      <c r="E615" s="19"/>
    </row>
    <row r="616" spans="5:5">
      <c r="E616" s="19"/>
    </row>
    <row r="617" spans="5:5">
      <c r="E617" s="19"/>
    </row>
    <row r="618" spans="5:5">
      <c r="E618" s="19"/>
    </row>
    <row r="619" spans="5:5">
      <c r="E619" s="19"/>
    </row>
    <row r="620" spans="5:5">
      <c r="E620" s="19"/>
    </row>
    <row r="621" spans="5:5">
      <c r="E621" s="19"/>
    </row>
    <row r="622" spans="5:5">
      <c r="E622" s="19"/>
    </row>
    <row r="623" spans="5:5">
      <c r="E623" s="19"/>
    </row>
    <row r="624" spans="5:5">
      <c r="E624" s="19"/>
    </row>
    <row r="625" spans="5:5">
      <c r="E625" s="19"/>
    </row>
    <row r="626" spans="5:5">
      <c r="E626" s="19"/>
    </row>
    <row r="627" spans="5:5">
      <c r="E627" s="19"/>
    </row>
    <row r="628" spans="5:5">
      <c r="E628" s="19"/>
    </row>
    <row r="629" spans="5:5">
      <c r="E629" s="19"/>
    </row>
    <row r="630" spans="5:5">
      <c r="E630" s="19"/>
    </row>
    <row r="631" spans="5:5">
      <c r="E631" s="19"/>
    </row>
    <row r="632" spans="5:5">
      <c r="E632" s="19"/>
    </row>
    <row r="633" spans="5:5">
      <c r="E633" s="19"/>
    </row>
    <row r="634" spans="5:5">
      <c r="E634" s="19"/>
    </row>
    <row r="635" spans="5:5">
      <c r="E635" s="19"/>
    </row>
    <row r="636" spans="5:5">
      <c r="E636" s="19"/>
    </row>
    <row r="637" spans="5:5">
      <c r="E637" s="19"/>
    </row>
    <row r="638" spans="5:5">
      <c r="E638" s="19"/>
    </row>
    <row r="639" spans="5:5">
      <c r="E639" s="19"/>
    </row>
    <row r="640" spans="5:5">
      <c r="E640" s="19"/>
    </row>
    <row r="641" spans="5:5">
      <c r="E641" s="19"/>
    </row>
    <row r="642" spans="5:5">
      <c r="E642" s="19"/>
    </row>
    <row r="643" spans="5:5">
      <c r="E643" s="19"/>
    </row>
    <row r="644" spans="5:5">
      <c r="E644" s="19"/>
    </row>
    <row r="645" spans="5:5">
      <c r="E645" s="19"/>
    </row>
    <row r="646" spans="5:5">
      <c r="E646" s="19"/>
    </row>
    <row r="647" spans="5:5">
      <c r="E647" s="19"/>
    </row>
    <row r="648" spans="5:5">
      <c r="E648" s="19"/>
    </row>
    <row r="649" spans="5:5">
      <c r="E649" s="19"/>
    </row>
    <row r="650" spans="5:5">
      <c r="E650" s="19"/>
    </row>
    <row r="651" spans="5:5">
      <c r="E651" s="19"/>
    </row>
    <row r="652" spans="5:5">
      <c r="E652" s="19"/>
    </row>
    <row r="653" spans="5:5">
      <c r="E653" s="19"/>
    </row>
    <row r="654" spans="5:5">
      <c r="E654" s="19"/>
    </row>
    <row r="655" spans="5:5">
      <c r="E655" s="19"/>
    </row>
    <row r="656" spans="5:5">
      <c r="E656" s="19"/>
    </row>
    <row r="657" spans="5:5">
      <c r="E657" s="19"/>
    </row>
    <row r="658" spans="5:5">
      <c r="E658" s="19"/>
    </row>
    <row r="659" spans="5:5">
      <c r="E659" s="19"/>
    </row>
    <row r="660" spans="5:5">
      <c r="E660" s="19"/>
    </row>
    <row r="661" spans="5:5">
      <c r="E661" s="19"/>
    </row>
    <row r="662" spans="5:5">
      <c r="E662" s="19"/>
    </row>
    <row r="663" spans="5:5">
      <c r="E663" s="19"/>
    </row>
    <row r="664" spans="5:5">
      <c r="E664" s="19"/>
    </row>
    <row r="665" spans="5:5">
      <c r="E665" s="19"/>
    </row>
    <row r="666" spans="5:5">
      <c r="E666" s="19"/>
    </row>
    <row r="667" spans="5:5">
      <c r="E667" s="19"/>
    </row>
    <row r="668" spans="5:5">
      <c r="E668" s="19"/>
    </row>
    <row r="669" spans="5:5">
      <c r="E669" s="19"/>
    </row>
    <row r="670" spans="5:5">
      <c r="E670" s="19"/>
    </row>
    <row r="671" spans="5:5">
      <c r="E671" s="19"/>
    </row>
    <row r="672" spans="5:5">
      <c r="E672" s="19"/>
    </row>
    <row r="673" spans="5:5">
      <c r="E673" s="19"/>
    </row>
    <row r="674" spans="5:5">
      <c r="E674" s="19"/>
    </row>
    <row r="675" spans="5:5">
      <c r="E675" s="19"/>
    </row>
    <row r="676" spans="5:5">
      <c r="E676" s="19"/>
    </row>
    <row r="677" spans="5:5">
      <c r="E677" s="19"/>
    </row>
    <row r="678" spans="5:5">
      <c r="E678" s="19"/>
    </row>
    <row r="679" spans="5:5">
      <c r="E679" s="19"/>
    </row>
    <row r="680" spans="5:5">
      <c r="E680" s="19"/>
    </row>
    <row r="681" spans="5:5">
      <c r="E681" s="19"/>
    </row>
    <row r="682" spans="5:5">
      <c r="E682" s="19"/>
    </row>
    <row r="683" spans="5:5">
      <c r="E683" s="19"/>
    </row>
    <row r="684" spans="5:5">
      <c r="E684" s="19"/>
    </row>
    <row r="685" spans="5:5">
      <c r="E685" s="19"/>
    </row>
    <row r="686" spans="5:5">
      <c r="E686" s="19"/>
    </row>
    <row r="687" spans="5:5">
      <c r="E687" s="19"/>
    </row>
    <row r="688" spans="5:5">
      <c r="E688" s="19"/>
    </row>
    <row r="689" spans="5:5">
      <c r="E689" s="19"/>
    </row>
    <row r="690" spans="5:5">
      <c r="E690" s="19"/>
    </row>
    <row r="691" spans="5:5">
      <c r="E691" s="19"/>
    </row>
    <row r="692" spans="5:5">
      <c r="E692" s="19"/>
    </row>
    <row r="693" spans="5:5">
      <c r="E693" s="19"/>
    </row>
    <row r="694" spans="5:5">
      <c r="E694" s="19"/>
    </row>
    <row r="695" spans="5:5">
      <c r="E695" s="19"/>
    </row>
    <row r="696" spans="5:5">
      <c r="E696" s="19"/>
    </row>
    <row r="697" spans="5:5">
      <c r="E697" s="19"/>
    </row>
    <row r="698" spans="5:5">
      <c r="E698" s="19"/>
    </row>
    <row r="699" spans="5:5">
      <c r="E699" s="19"/>
    </row>
    <row r="700" spans="5:5">
      <c r="E700" s="19"/>
    </row>
    <row r="701" spans="5:5">
      <c r="E701" s="19"/>
    </row>
    <row r="702" spans="5:5">
      <c r="E702" s="19"/>
    </row>
    <row r="703" spans="5:5">
      <c r="E703" s="19"/>
    </row>
    <row r="704" spans="5:5">
      <c r="E704" s="19"/>
    </row>
    <row r="705" spans="5:5">
      <c r="E705" s="19"/>
    </row>
    <row r="706" spans="5:5">
      <c r="E706" s="19"/>
    </row>
    <row r="707" spans="5:5">
      <c r="E707" s="19"/>
    </row>
    <row r="708" spans="5:5">
      <c r="E708" s="19"/>
    </row>
    <row r="709" spans="5:5">
      <c r="E709" s="19"/>
    </row>
    <row r="710" spans="5:5">
      <c r="E710" s="19"/>
    </row>
    <row r="711" spans="5:5">
      <c r="E711" s="19"/>
    </row>
    <row r="712" spans="5:5">
      <c r="E712" s="19"/>
    </row>
    <row r="713" spans="5:5">
      <c r="E713" s="19"/>
    </row>
    <row r="714" spans="5:5">
      <c r="E714" s="19"/>
    </row>
    <row r="715" spans="5:5">
      <c r="E715" s="19"/>
    </row>
    <row r="716" spans="5:5">
      <c r="E716" s="19"/>
    </row>
    <row r="717" spans="5:5">
      <c r="E717" s="19"/>
    </row>
    <row r="718" spans="5:5">
      <c r="E718" s="19"/>
    </row>
    <row r="719" spans="5:5">
      <c r="E719" s="19"/>
    </row>
    <row r="720" spans="5:5">
      <c r="E720" s="19"/>
    </row>
    <row r="721" spans="5:5">
      <c r="E721" s="19"/>
    </row>
    <row r="722" spans="5:5">
      <c r="E722" s="19"/>
    </row>
    <row r="723" spans="5:5">
      <c r="E723" s="19"/>
    </row>
    <row r="724" spans="5:5">
      <c r="E724" s="19"/>
    </row>
    <row r="725" spans="5:5">
      <c r="E725" s="19"/>
    </row>
    <row r="726" spans="5:5">
      <c r="E726" s="19"/>
    </row>
    <row r="727" spans="5:5">
      <c r="E727" s="19"/>
    </row>
    <row r="728" spans="5:5">
      <c r="E728" s="19"/>
    </row>
    <row r="729" spans="5:5">
      <c r="E729" s="19"/>
    </row>
    <row r="730" spans="5:5">
      <c r="E730" s="19"/>
    </row>
    <row r="731" spans="5:5">
      <c r="E731" s="19"/>
    </row>
    <row r="732" spans="5:5">
      <c r="E732" s="19"/>
    </row>
    <row r="733" spans="5:5">
      <c r="E733" s="19"/>
    </row>
    <row r="734" spans="5:5">
      <c r="E734" s="19"/>
    </row>
    <row r="735" spans="5:5">
      <c r="E735" s="19"/>
    </row>
    <row r="736" spans="5:5">
      <c r="E736" s="19"/>
    </row>
    <row r="737" spans="5:5">
      <c r="E737" s="19"/>
    </row>
    <row r="738" spans="5:5">
      <c r="E738" s="19"/>
    </row>
    <row r="739" spans="5:5">
      <c r="E739" s="19"/>
    </row>
    <row r="740" spans="5:5">
      <c r="E740" s="19"/>
    </row>
    <row r="741" spans="5:5">
      <c r="E741" s="19"/>
    </row>
    <row r="742" spans="5:5">
      <c r="E742" s="19"/>
    </row>
    <row r="743" spans="5:5">
      <c r="E743" s="19"/>
    </row>
    <row r="744" spans="5:5">
      <c r="E744" s="19"/>
    </row>
    <row r="745" spans="5:5">
      <c r="E745" s="19"/>
    </row>
    <row r="746" spans="5:5">
      <c r="E746" s="19"/>
    </row>
    <row r="747" spans="5:5">
      <c r="E747" s="19"/>
    </row>
    <row r="748" spans="5:5">
      <c r="E748" s="19"/>
    </row>
    <row r="749" spans="5:5">
      <c r="E749" s="19"/>
    </row>
    <row r="750" spans="5:5">
      <c r="E750" s="19"/>
    </row>
    <row r="751" spans="5:5">
      <c r="E751" s="19"/>
    </row>
    <row r="752" spans="5:5">
      <c r="E752" s="19"/>
    </row>
    <row r="753" spans="5:5">
      <c r="E753" s="19"/>
    </row>
    <row r="754" spans="5:5">
      <c r="E754" s="19"/>
    </row>
    <row r="755" spans="5:5">
      <c r="E755" s="19"/>
    </row>
    <row r="756" spans="5:5">
      <c r="E756" s="19"/>
    </row>
    <row r="757" spans="5:5">
      <c r="E757" s="19"/>
    </row>
    <row r="758" spans="5:5">
      <c r="E758" s="19"/>
    </row>
    <row r="759" spans="5:5">
      <c r="E759" s="19"/>
    </row>
    <row r="760" spans="5:5">
      <c r="E760" s="19"/>
    </row>
    <row r="761" spans="5:5">
      <c r="E761" s="19"/>
    </row>
    <row r="762" spans="5:5">
      <c r="E762" s="19"/>
    </row>
    <row r="763" spans="5:5">
      <c r="E763" s="19"/>
    </row>
    <row r="764" spans="5:5">
      <c r="E764" s="19"/>
    </row>
    <row r="765" spans="5:5">
      <c r="E765" s="19"/>
    </row>
    <row r="766" spans="5:5">
      <c r="E766" s="19"/>
    </row>
    <row r="767" spans="5:5">
      <c r="E767" s="19"/>
    </row>
    <row r="768" spans="5:5">
      <c r="E768" s="19"/>
    </row>
    <row r="769" spans="5:5">
      <c r="E769" s="19"/>
    </row>
    <row r="770" spans="5:5">
      <c r="E770" s="19"/>
    </row>
    <row r="771" spans="5:5">
      <c r="E771" s="19"/>
    </row>
    <row r="772" spans="5:5">
      <c r="E772" s="19"/>
    </row>
    <row r="773" spans="5:5">
      <c r="E773" s="19"/>
    </row>
    <row r="774" spans="5:5">
      <c r="E774" s="19"/>
    </row>
    <row r="775" spans="5:5">
      <c r="E775" s="19"/>
    </row>
    <row r="776" spans="5:5">
      <c r="E776" s="19"/>
    </row>
    <row r="777" spans="5:5">
      <c r="E777" s="19"/>
    </row>
    <row r="778" spans="5:5">
      <c r="E778" s="19"/>
    </row>
    <row r="779" spans="5:5">
      <c r="E779" s="19"/>
    </row>
    <row r="780" spans="5:5">
      <c r="E780" s="19"/>
    </row>
    <row r="781" spans="5:5">
      <c r="E781" s="19"/>
    </row>
    <row r="782" spans="5:5">
      <c r="E782" s="19"/>
    </row>
    <row r="783" spans="5:5">
      <c r="E783" s="19"/>
    </row>
    <row r="784" spans="5:5">
      <c r="E784" s="19"/>
    </row>
    <row r="785" spans="5:5">
      <c r="E785" s="19"/>
    </row>
    <row r="786" spans="5:5">
      <c r="E786" s="19"/>
    </row>
    <row r="787" spans="5:5">
      <c r="E787" s="19"/>
    </row>
    <row r="788" spans="5:5">
      <c r="E788" s="19"/>
    </row>
    <row r="789" spans="5:5">
      <c r="E789" s="19"/>
    </row>
    <row r="790" spans="5:5">
      <c r="E790" s="19"/>
    </row>
    <row r="791" spans="5:5">
      <c r="E791" s="19"/>
    </row>
    <row r="792" spans="5:5">
      <c r="E792" s="19"/>
    </row>
    <row r="793" spans="5:5">
      <c r="E793" s="19"/>
    </row>
    <row r="794" spans="5:5">
      <c r="E794" s="19"/>
    </row>
    <row r="795" spans="5:5">
      <c r="E795" s="19"/>
    </row>
    <row r="796" spans="5:5">
      <c r="E796" s="19"/>
    </row>
    <row r="797" spans="5:5">
      <c r="E797" s="19"/>
    </row>
    <row r="798" spans="5:5">
      <c r="E798" s="19"/>
    </row>
    <row r="799" spans="5:5">
      <c r="E799" s="19"/>
    </row>
    <row r="800" spans="5:5">
      <c r="E800" s="19"/>
    </row>
    <row r="801" spans="5:5">
      <c r="E801" s="19"/>
    </row>
    <row r="802" spans="5:5">
      <c r="E802" s="19"/>
    </row>
    <row r="803" spans="5:5">
      <c r="E803" s="19"/>
    </row>
    <row r="804" spans="5:5">
      <c r="E804" s="19"/>
    </row>
    <row r="805" spans="5:5">
      <c r="E805" s="19"/>
    </row>
    <row r="806" spans="5:5">
      <c r="E806" s="19"/>
    </row>
    <row r="807" spans="5:5">
      <c r="E807" s="19"/>
    </row>
    <row r="808" spans="5:5">
      <c r="E808" s="19"/>
    </row>
    <row r="809" spans="5:5">
      <c r="E809" s="19"/>
    </row>
    <row r="810" spans="5:5">
      <c r="E810" s="19"/>
    </row>
    <row r="811" spans="5:5">
      <c r="E811" s="19"/>
    </row>
    <row r="812" spans="5:5">
      <c r="E812" s="19"/>
    </row>
    <row r="813" spans="5:5">
      <c r="E813" s="19"/>
    </row>
    <row r="814" spans="5:5">
      <c r="E814" s="19"/>
    </row>
    <row r="815" spans="5:5">
      <c r="E815" s="19"/>
    </row>
    <row r="816" spans="5:5">
      <c r="E816" s="19"/>
    </row>
    <row r="817" spans="5:5">
      <c r="E817" s="19"/>
    </row>
    <row r="818" spans="5:5">
      <c r="E818" s="19"/>
    </row>
    <row r="819" spans="5:5">
      <c r="E819" s="19"/>
    </row>
    <row r="820" spans="5:5">
      <c r="E820" s="19"/>
    </row>
    <row r="821" spans="5:5">
      <c r="E821" s="19"/>
    </row>
    <row r="822" spans="5:5">
      <c r="E822" s="19"/>
    </row>
    <row r="823" spans="5:5">
      <c r="E823" s="19"/>
    </row>
    <row r="824" spans="5:5">
      <c r="E824" s="19"/>
    </row>
    <row r="825" spans="5:5">
      <c r="E825" s="19"/>
    </row>
    <row r="826" spans="5:5">
      <c r="E826" s="19"/>
    </row>
    <row r="827" spans="5:5">
      <c r="E827" s="19"/>
    </row>
    <row r="828" spans="5:5">
      <c r="E828" s="19"/>
    </row>
    <row r="829" spans="5:5">
      <c r="E829" s="19"/>
    </row>
    <row r="830" spans="5:5">
      <c r="E830" s="19"/>
    </row>
    <row r="831" spans="5:5">
      <c r="E831" s="19"/>
    </row>
    <row r="832" spans="5:5">
      <c r="E832" s="19"/>
    </row>
    <row r="833" spans="5:5">
      <c r="E833" s="19"/>
    </row>
    <row r="834" spans="5:5">
      <c r="E834" s="19"/>
    </row>
    <row r="835" spans="5:5">
      <c r="E835" s="19"/>
    </row>
    <row r="836" spans="5:5">
      <c r="E836" s="19"/>
    </row>
    <row r="837" spans="5:5">
      <c r="E837" s="19"/>
    </row>
    <row r="838" spans="5:5">
      <c r="E838" s="19"/>
    </row>
    <row r="839" spans="5:5">
      <c r="E839" s="19"/>
    </row>
    <row r="840" spans="5:5">
      <c r="E840" s="19"/>
    </row>
    <row r="841" spans="5:5">
      <c r="E841" s="19"/>
    </row>
    <row r="842" spans="5:5">
      <c r="E842" s="19"/>
    </row>
    <row r="843" spans="5:5">
      <c r="E843" s="19"/>
    </row>
    <row r="844" spans="5:5">
      <c r="E844" s="19"/>
    </row>
    <row r="845" spans="5:5">
      <c r="E845" s="19"/>
    </row>
    <row r="846" spans="5:5">
      <c r="E846" s="19"/>
    </row>
    <row r="847" spans="5:5">
      <c r="E847" s="19"/>
    </row>
    <row r="848" spans="5:5">
      <c r="E848" s="19"/>
    </row>
    <row r="849" spans="5:5">
      <c r="E849" s="19"/>
    </row>
    <row r="850" spans="5:5">
      <c r="E850" s="19"/>
    </row>
    <row r="851" spans="5:5">
      <c r="E851" s="19"/>
    </row>
    <row r="852" spans="5:5">
      <c r="E852" s="19"/>
    </row>
    <row r="853" spans="5:5">
      <c r="E853" s="19"/>
    </row>
    <row r="854" spans="5:5">
      <c r="E854" s="19"/>
    </row>
    <row r="855" spans="5:5">
      <c r="E855" s="19"/>
    </row>
    <row r="856" spans="5:5">
      <c r="E856" s="19"/>
    </row>
    <row r="857" spans="5:5">
      <c r="E857" s="19"/>
    </row>
    <row r="858" spans="5:5">
      <c r="E858" s="19"/>
    </row>
  </sheetData>
  <conditionalFormatting sqref="G229:G237 F229:F234 F236:F237 F227:J227 H237:K237 H229:H231 E238:J238 H233:H236 I229:J236 F212:J220">
    <cfRule type="expression" dxfId="1" priority="1">
      <formula>#REF!=0</formula>
    </cfRule>
  </conditionalFormatting>
  <printOptions headings="1"/>
  <pageMargins left="0.23622047244094491" right="0.27559055118110237" top="0.74803149606299213" bottom="0.74803149606299213" header="0.31496062992125984" footer="0.31496062992125984"/>
  <pageSetup paperSize="8" scale="53"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sheetPr codeName="Sheet2"/>
  <dimension ref="A1:CT90"/>
  <sheetViews>
    <sheetView zoomScale="85" zoomScaleNormal="85" workbookViewId="0"/>
  </sheetViews>
  <sheetFormatPr defaultRowHeight="15"/>
  <cols>
    <col min="1" max="1" width="4.42578125" customWidth="1"/>
    <col min="2" max="2" width="43.85546875" customWidth="1"/>
    <col min="3" max="3" width="9.42578125" style="9" customWidth="1"/>
    <col min="4" max="13" width="9.42578125" customWidth="1"/>
    <col min="14" max="14" width="10.28515625" customWidth="1"/>
    <col min="15" max="17" width="9.42578125" customWidth="1"/>
    <col min="18" max="18" width="11" customWidth="1"/>
    <col min="19" max="19" width="9.42578125" customWidth="1"/>
    <col min="20" max="20" width="9.28515625" customWidth="1"/>
    <col min="21" max="21" width="30.5703125" style="22" customWidth="1"/>
    <col min="22" max="59" width="9.28515625" style="22" customWidth="1"/>
    <col min="60" max="60" width="42" customWidth="1"/>
    <col min="88" max="89" width="9.28515625" bestFit="1" customWidth="1"/>
    <col min="90" max="90" width="10" bestFit="1" customWidth="1"/>
    <col min="91" max="92" width="9.28515625" bestFit="1" customWidth="1"/>
  </cols>
  <sheetData>
    <row r="1" spans="1:98" ht="25.5">
      <c r="A1" s="27"/>
      <c r="B1" s="3" t="s">
        <v>3</v>
      </c>
      <c r="C1" s="3"/>
    </row>
    <row r="2" spans="1:98" ht="7.5" customHeight="1">
      <c r="P2" s="22"/>
      <c r="Q2" s="22"/>
      <c r="R2" s="22"/>
    </row>
    <row r="3" spans="1:98" ht="21">
      <c r="B3" s="2" t="s">
        <v>6</v>
      </c>
      <c r="C3" s="2"/>
      <c r="D3" s="2"/>
      <c r="P3" s="22"/>
      <c r="Q3" s="22"/>
      <c r="R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row>
    <row r="4" spans="1:98">
      <c r="B4" t="s">
        <v>8</v>
      </c>
      <c r="C4" s="136">
        <v>8.77E-2</v>
      </c>
      <c r="G4" s="27"/>
      <c r="H4" s="27"/>
      <c r="I4" s="27"/>
      <c r="J4" s="27"/>
      <c r="K4" s="27"/>
      <c r="L4" s="27"/>
      <c r="P4" s="22"/>
      <c r="Q4" s="22"/>
      <c r="R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row>
    <row r="5" spans="1:98">
      <c r="B5" t="s">
        <v>9</v>
      </c>
      <c r="C5" s="136">
        <v>7.9299999999999995E-2</v>
      </c>
      <c r="G5" s="27"/>
      <c r="H5" s="27"/>
      <c r="I5" s="27"/>
      <c r="J5" s="27"/>
      <c r="K5" s="27"/>
      <c r="L5" s="27"/>
      <c r="P5" s="22"/>
      <c r="Q5" s="22"/>
      <c r="R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row>
    <row r="6" spans="1:98">
      <c r="B6" t="s">
        <v>10</v>
      </c>
      <c r="C6" s="136">
        <v>0.44</v>
      </c>
      <c r="P6" s="22"/>
      <c r="Q6" s="22"/>
      <c r="R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row>
    <row r="7" spans="1:98">
      <c r="B7" t="s">
        <v>54</v>
      </c>
      <c r="C7" s="137">
        <v>45</v>
      </c>
      <c r="D7" t="s">
        <v>55</v>
      </c>
      <c r="P7" s="22"/>
      <c r="Q7" s="22"/>
      <c r="R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row>
    <row r="8" spans="1:98" s="9" customFormat="1">
      <c r="B8" s="13" t="s">
        <v>168</v>
      </c>
      <c r="C8" s="136">
        <v>0</v>
      </c>
      <c r="P8" s="22"/>
      <c r="Q8" s="22"/>
      <c r="R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row>
    <row r="9" spans="1:98" s="13" customFormat="1">
      <c r="C9" s="22"/>
      <c r="J9" s="22"/>
      <c r="K9" s="22"/>
      <c r="L9" s="22"/>
      <c r="M9" s="22"/>
      <c r="P9" s="22"/>
      <c r="Q9" s="22"/>
      <c r="R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row>
    <row r="10" spans="1:98" ht="21">
      <c r="B10" s="2" t="s">
        <v>189</v>
      </c>
      <c r="C10" s="2"/>
      <c r="D10" s="17"/>
      <c r="E10" s="17"/>
      <c r="F10" s="17"/>
      <c r="G10" s="17"/>
      <c r="H10" s="17"/>
      <c r="I10" s="17"/>
      <c r="J10" s="22"/>
      <c r="K10" s="22"/>
      <c r="L10" s="22"/>
      <c r="M10" s="22"/>
      <c r="N10" s="22"/>
      <c r="P10" s="22"/>
      <c r="Q10" s="22"/>
      <c r="R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row>
    <row r="11" spans="1:98">
      <c r="B11" s="13"/>
      <c r="C11" s="13"/>
      <c r="D11" s="18" t="s">
        <v>183</v>
      </c>
      <c r="E11" s="18" t="s">
        <v>184</v>
      </c>
      <c r="F11" s="18" t="s">
        <v>185</v>
      </c>
      <c r="G11" s="18" t="s">
        <v>186</v>
      </c>
      <c r="H11" s="18" t="s">
        <v>187</v>
      </c>
      <c r="I11" s="18" t="s">
        <v>188</v>
      </c>
      <c r="J11" s="22"/>
      <c r="K11" s="22"/>
      <c r="L11" s="22"/>
      <c r="M11" s="22"/>
      <c r="N11" s="22"/>
      <c r="P11" s="22"/>
      <c r="Q11" s="22"/>
      <c r="R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row>
    <row r="12" spans="1:98" s="13" customFormat="1">
      <c r="B12" s="13" t="s">
        <v>145</v>
      </c>
      <c r="C12" s="9"/>
      <c r="D12" s="198">
        <v>0.3</v>
      </c>
      <c r="E12" s="198">
        <v>0.3</v>
      </c>
      <c r="F12" s="198">
        <v>0.28000000000000003</v>
      </c>
      <c r="G12" s="198">
        <v>0.28000000000000003</v>
      </c>
      <c r="H12" s="198">
        <v>0.28000000000000003</v>
      </c>
      <c r="I12" s="198">
        <v>0.28000000000000003</v>
      </c>
      <c r="J12" s="22"/>
      <c r="K12" s="22"/>
      <c r="L12" s="22"/>
      <c r="M12" s="22"/>
      <c r="P12" s="22"/>
      <c r="Q12" s="22"/>
      <c r="R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row>
    <row r="13" spans="1:98" s="22" customFormat="1">
      <c r="B13" s="11" t="str">
        <f>CPI!O42</f>
        <v>2009 ΔCPI, 2 index, no lag, no GST adjustment</v>
      </c>
      <c r="C13" s="11"/>
      <c r="D13" s="11">
        <f>CPI!Q42</f>
        <v>1.7233850022212005E-2</v>
      </c>
      <c r="E13" s="11">
        <f>CPI!R42</f>
        <v>1.9812209526758329E-2</v>
      </c>
      <c r="F13" s="11">
        <f>CPI!S42</f>
        <v>2.4339880629970168E-2</v>
      </c>
      <c r="G13" s="11">
        <f>CPI!T42</f>
        <v>2.2893253753313525E-2</v>
      </c>
      <c r="H13" s="11">
        <f>CPI!U42</f>
        <v>2.144662687665666E-2</v>
      </c>
      <c r="I13" s="11">
        <f>CPI!V42</f>
        <v>2.0000000000000018E-2</v>
      </c>
      <c r="J13" s="27"/>
    </row>
    <row r="14" spans="1:98" s="22" customFormat="1">
      <c r="B14" s="11" t="str">
        <f>CPI!O43</f>
        <v>2012 ΔCPI, 2 index, no lag, no GST adjustment</v>
      </c>
      <c r="C14" s="27"/>
      <c r="D14" s="10"/>
      <c r="E14" s="11">
        <f>CPI!R43</f>
        <v>4.4667274384685429E-2</v>
      </c>
      <c r="F14" s="11">
        <f>CPI!S43</f>
        <v>1.5706806282722585E-2</v>
      </c>
      <c r="G14" s="11">
        <f>CPI!T43</f>
        <v>1.8041237113401998E-2</v>
      </c>
      <c r="H14" s="11">
        <f>CPI!U43</f>
        <v>1.7721518987341867E-2</v>
      </c>
      <c r="I14" s="11">
        <f>CPI!V43</f>
        <v>2.3217247097844007E-2</v>
      </c>
      <c r="J14" s="27"/>
    </row>
    <row r="15" spans="1:98" s="22" customFormat="1">
      <c r="B15" s="11" t="str">
        <f>CPI!O44</f>
        <v>2009 ΔCPI, 8 index, lagged, no GST adjustment</v>
      </c>
      <c r="C15" s="27"/>
      <c r="D15" s="197"/>
      <c r="E15" s="11">
        <f>CPI!R44</f>
        <v>2.465039108793543E-2</v>
      </c>
      <c r="F15" s="11">
        <f>CPI!S44</f>
        <v>1.6991832174541255E-2</v>
      </c>
      <c r="G15" s="11">
        <f>CPI!T44</f>
        <v>2.0741514169093644E-2</v>
      </c>
      <c r="H15" s="11">
        <f>CPI!U44</f>
        <v>2.3759818812291389E-2</v>
      </c>
      <c r="I15" s="11">
        <f>CPI!V44</f>
        <v>2.2164443909808984E-2</v>
      </c>
      <c r="J15" s="27"/>
      <c r="K15" s="22" t="s">
        <v>391</v>
      </c>
    </row>
    <row r="16" spans="1:98" s="22" customFormat="1">
      <c r="B16" s="11" t="str">
        <f>CPI!O45</f>
        <v>2012 ΔCPI, 8 index, lagged, no GST adjustment</v>
      </c>
      <c r="C16" s="27"/>
      <c r="D16" s="10"/>
      <c r="E16" s="11">
        <f>CPI!R45</f>
        <v>2.465039108793543E-2</v>
      </c>
      <c r="F16" s="11">
        <f>CPI!S45</f>
        <v>1.7811704834605591E-2</v>
      </c>
      <c r="G16" s="11">
        <f>CPI!T45</f>
        <v>4.5909090909090899E-2</v>
      </c>
      <c r="H16" s="11">
        <f>CPI!U45</f>
        <v>1.2820512820512775E-2</v>
      </c>
      <c r="I16" s="11">
        <f>CPI!V45</f>
        <v>1.9725095732576747E-2</v>
      </c>
      <c r="J16" s="27"/>
    </row>
    <row r="17" spans="2:98" s="22" customFormat="1">
      <c r="B17" s="11" t="str">
        <f>CPI!O46</f>
        <v>2012 ΔCPI, 8 index, lagged, with GST adjustment</v>
      </c>
      <c r="C17" s="27"/>
      <c r="D17" s="10"/>
      <c r="E17" s="11">
        <f>CPI!R46</f>
        <v>2.4650391087935652E-2</v>
      </c>
      <c r="F17" s="11">
        <f>CPI!S46</f>
        <v>1.7811704834605369E-2</v>
      </c>
      <c r="G17" s="11">
        <f>CPI!T46</f>
        <v>2.5401069518716568E-2</v>
      </c>
      <c r="H17" s="11">
        <f>CPI!U46</f>
        <v>1.2820512820512775E-2</v>
      </c>
      <c r="I17" s="11">
        <f>CPI!V46</f>
        <v>1.9725095732576747E-2</v>
      </c>
    </row>
    <row r="18" spans="2:98" ht="21">
      <c r="B18" s="2" t="s">
        <v>97</v>
      </c>
      <c r="C18" s="2"/>
      <c r="D18" s="2"/>
      <c r="K18" s="22"/>
      <c r="O18" s="13"/>
      <c r="P18" s="13"/>
      <c r="Q18" s="13"/>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row>
    <row r="19" spans="2:98" ht="58.5">
      <c r="B19" s="6" t="s">
        <v>2</v>
      </c>
      <c r="C19" s="6"/>
      <c r="D19" s="7" t="s">
        <v>11</v>
      </c>
      <c r="E19" s="7" t="s">
        <v>12</v>
      </c>
      <c r="F19" s="7" t="s">
        <v>13</v>
      </c>
      <c r="G19" s="7" t="s">
        <v>14</v>
      </c>
      <c r="H19" s="7" t="s">
        <v>15</v>
      </c>
      <c r="I19" s="7" t="s">
        <v>16</v>
      </c>
      <c r="J19" s="7" t="s">
        <v>17</v>
      </c>
      <c r="K19" s="7" t="s">
        <v>18</v>
      </c>
      <c r="L19" s="7" t="s">
        <v>19</v>
      </c>
      <c r="M19" s="7" t="s">
        <v>20</v>
      </c>
      <c r="N19" s="7" t="s">
        <v>21</v>
      </c>
      <c r="O19" s="7" t="s">
        <v>22</v>
      </c>
      <c r="P19" s="7" t="s">
        <v>23</v>
      </c>
      <c r="Q19" s="7" t="s">
        <v>24</v>
      </c>
      <c r="R19" s="7" t="s">
        <v>25</v>
      </c>
      <c r="S19" s="7" t="s">
        <v>26</v>
      </c>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row>
    <row r="20" spans="2:98">
      <c r="B20" t="s">
        <v>27</v>
      </c>
      <c r="D20" s="134">
        <v>33162.997000000003</v>
      </c>
      <c r="E20" s="134">
        <v>72951</v>
      </c>
      <c r="F20" s="134">
        <v>8632</v>
      </c>
      <c r="G20" s="134">
        <v>27635</v>
      </c>
      <c r="H20" s="134">
        <v>27831</v>
      </c>
      <c r="I20" s="134">
        <v>15340</v>
      </c>
      <c r="J20" s="134">
        <v>26990.754619999992</v>
      </c>
      <c r="K20" s="134">
        <v>8325.509</v>
      </c>
      <c r="L20" s="134">
        <v>35470.417659999999</v>
      </c>
      <c r="M20" s="134">
        <v>25337</v>
      </c>
      <c r="N20" s="134">
        <v>291865.93942000007</v>
      </c>
      <c r="O20" s="134">
        <v>29064.045499999997</v>
      </c>
      <c r="P20" s="134">
        <v>27054</v>
      </c>
      <c r="Q20" s="134">
        <v>103734.355</v>
      </c>
      <c r="R20" s="134">
        <v>529065</v>
      </c>
      <c r="S20" s="134">
        <v>147271.85386999999</v>
      </c>
      <c r="T20" s="13"/>
      <c r="BH20" s="22"/>
      <c r="BI20" s="135"/>
      <c r="BJ20" s="26"/>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row>
    <row r="21" spans="2:98">
      <c r="B21" t="s">
        <v>28</v>
      </c>
      <c r="D21" s="134">
        <v>169.797</v>
      </c>
      <c r="E21" s="134">
        <v>859</v>
      </c>
      <c r="F21" s="134">
        <v>63</v>
      </c>
      <c r="G21" s="134">
        <v>112</v>
      </c>
      <c r="H21" s="134">
        <v>308</v>
      </c>
      <c r="I21" s="134">
        <v>124</v>
      </c>
      <c r="J21" s="134">
        <v>236.06738000000001</v>
      </c>
      <c r="K21" s="134">
        <v>60</v>
      </c>
      <c r="L21" s="134">
        <v>171</v>
      </c>
      <c r="M21" s="134">
        <v>164</v>
      </c>
      <c r="N21" s="134">
        <v>2010.0115150000001</v>
      </c>
      <c r="O21" s="134">
        <v>5359.9546</v>
      </c>
      <c r="P21" s="134">
        <v>437</v>
      </c>
      <c r="Q21" s="134">
        <v>449.51900000000001</v>
      </c>
      <c r="R21" s="134">
        <v>5071</v>
      </c>
      <c r="S21" s="134">
        <v>2284.5643799999998</v>
      </c>
      <c r="T21" s="13"/>
      <c r="BH21" s="22"/>
      <c r="BI21" s="135"/>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row>
    <row r="22" spans="2:98">
      <c r="B22" t="s">
        <v>29</v>
      </c>
      <c r="D22" s="134">
        <v>9726.8340000000007</v>
      </c>
      <c r="E22" s="134">
        <v>20979</v>
      </c>
      <c r="F22" s="134">
        <v>2257</v>
      </c>
      <c r="G22" s="134">
        <v>8729</v>
      </c>
      <c r="H22" s="134">
        <v>4818</v>
      </c>
      <c r="I22" s="134">
        <v>4032</v>
      </c>
      <c r="J22" s="134">
        <v>7324.3069699999996</v>
      </c>
      <c r="K22" s="134">
        <v>2479</v>
      </c>
      <c r="L22" s="134">
        <v>12369.402769999999</v>
      </c>
      <c r="M22" s="134">
        <v>5924</v>
      </c>
      <c r="N22" s="134">
        <v>70937.882310463596</v>
      </c>
      <c r="O22" s="134">
        <v>0</v>
      </c>
      <c r="P22" s="134">
        <v>5208</v>
      </c>
      <c r="Q22" s="134">
        <v>26374.566999999999</v>
      </c>
      <c r="R22" s="134">
        <v>144726</v>
      </c>
      <c r="S22" s="134">
        <v>44486.802360000001</v>
      </c>
      <c r="T22" s="13"/>
      <c r="BH22" s="22"/>
      <c r="BI22" s="135"/>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row>
    <row r="23" spans="2:98">
      <c r="B23" s="13" t="s">
        <v>31</v>
      </c>
      <c r="D23" s="134">
        <v>127657.6746267683</v>
      </c>
      <c r="E23" s="134">
        <v>278174.86</v>
      </c>
      <c r="F23" s="134">
        <v>42857</v>
      </c>
      <c r="G23" s="134">
        <v>113965</v>
      </c>
      <c r="H23" s="134">
        <v>158433</v>
      </c>
      <c r="I23" s="134">
        <v>59452</v>
      </c>
      <c r="J23" s="134">
        <v>99283.174584512322</v>
      </c>
      <c r="K23" s="134">
        <v>27058.117302182734</v>
      </c>
      <c r="L23" s="134">
        <v>149225</v>
      </c>
      <c r="M23" s="134">
        <v>130998</v>
      </c>
      <c r="N23" s="134">
        <v>1275729.2823470344</v>
      </c>
      <c r="O23" s="134">
        <v>168527.97435947764</v>
      </c>
      <c r="P23" s="134">
        <v>137423</v>
      </c>
      <c r="Q23" s="134">
        <v>426853.74653996591</v>
      </c>
      <c r="R23" s="134">
        <v>2273866.0351738334</v>
      </c>
      <c r="S23" s="134">
        <v>528459.48184932198</v>
      </c>
      <c r="T23" s="13"/>
      <c r="BH23" s="22"/>
      <c r="BI23" s="135"/>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row>
    <row r="24" spans="2:98" s="22" customFormat="1">
      <c r="B24" s="27" t="s">
        <v>310</v>
      </c>
      <c r="D24" s="134">
        <v>0</v>
      </c>
      <c r="E24" s="134">
        <v>0</v>
      </c>
      <c r="F24" s="134">
        <v>0</v>
      </c>
      <c r="G24" s="134">
        <v>0</v>
      </c>
      <c r="H24" s="134">
        <v>0</v>
      </c>
      <c r="I24" s="134">
        <v>0</v>
      </c>
      <c r="J24" s="134">
        <v>0</v>
      </c>
      <c r="K24" s="134">
        <v>0</v>
      </c>
      <c r="L24" s="134">
        <v>0</v>
      </c>
      <c r="M24" s="134">
        <v>0</v>
      </c>
      <c r="N24" s="134">
        <v>0</v>
      </c>
      <c r="O24" s="134">
        <v>0</v>
      </c>
      <c r="P24" s="134">
        <v>0</v>
      </c>
      <c r="Q24" s="134">
        <v>0</v>
      </c>
      <c r="R24" s="134">
        <v>0</v>
      </c>
      <c r="S24" s="134">
        <v>0</v>
      </c>
      <c r="BI24" s="135"/>
    </row>
    <row r="25" spans="2:98" s="22" customFormat="1">
      <c r="B25" s="27" t="s">
        <v>311</v>
      </c>
      <c r="D25" s="134">
        <v>0</v>
      </c>
      <c r="E25" s="134">
        <v>0</v>
      </c>
      <c r="F25" s="134">
        <v>0</v>
      </c>
      <c r="G25" s="134">
        <v>0</v>
      </c>
      <c r="H25" s="134">
        <v>0</v>
      </c>
      <c r="I25" s="134">
        <v>0</v>
      </c>
      <c r="J25" s="134">
        <v>0</v>
      </c>
      <c r="K25" s="134">
        <v>0</v>
      </c>
      <c r="L25" s="134">
        <v>0</v>
      </c>
      <c r="M25" s="134">
        <v>0</v>
      </c>
      <c r="N25" s="134">
        <v>0</v>
      </c>
      <c r="O25" s="134">
        <v>5.0783199999999997</v>
      </c>
      <c r="P25" s="134">
        <v>0</v>
      </c>
      <c r="Q25" s="134">
        <v>0</v>
      </c>
      <c r="R25" s="134">
        <v>0</v>
      </c>
      <c r="S25" s="134">
        <v>0</v>
      </c>
      <c r="BI25" s="135"/>
    </row>
    <row r="26" spans="2:98">
      <c r="B26" s="13" t="s">
        <v>161</v>
      </c>
      <c r="D26" s="134">
        <v>7644</v>
      </c>
      <c r="E26" s="134">
        <v>7786</v>
      </c>
      <c r="F26" s="134">
        <v>2023</v>
      </c>
      <c r="G26" s="134">
        <v>4225</v>
      </c>
      <c r="H26" s="134">
        <v>5894</v>
      </c>
      <c r="I26" s="134">
        <v>2382</v>
      </c>
      <c r="J26" s="134">
        <v>3449</v>
      </c>
      <c r="K26" s="134">
        <v>1084.6002031156527</v>
      </c>
      <c r="L26" s="134">
        <v>6387.6247468541751</v>
      </c>
      <c r="M26" s="134">
        <v>6303</v>
      </c>
      <c r="N26" s="134">
        <v>52422</v>
      </c>
      <c r="O26" s="134">
        <v>5635.3221811466228</v>
      </c>
      <c r="P26" s="134">
        <v>5234</v>
      </c>
      <c r="Q26" s="134">
        <v>16649.2682399277</v>
      </c>
      <c r="R26" s="134">
        <v>76573.310789910291</v>
      </c>
      <c r="S26" s="134">
        <v>25343.756747688079</v>
      </c>
      <c r="T26" s="13"/>
      <c r="BH26" s="22"/>
      <c r="BI26" s="135"/>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row>
    <row r="27" spans="2:98">
      <c r="B27" t="s">
        <v>32</v>
      </c>
      <c r="D27" s="134">
        <v>53.023000000000003</v>
      </c>
      <c r="E27" s="134">
        <v>452</v>
      </c>
      <c r="F27" s="134">
        <v>0</v>
      </c>
      <c r="G27" s="134">
        <v>259</v>
      </c>
      <c r="H27" s="134">
        <v>0</v>
      </c>
      <c r="I27" s="134">
        <v>25</v>
      </c>
      <c r="J27" s="134">
        <v>71.185678717912296</v>
      </c>
      <c r="K27" s="134">
        <v>0</v>
      </c>
      <c r="L27" s="134">
        <v>0</v>
      </c>
      <c r="M27" s="134">
        <v>0</v>
      </c>
      <c r="N27" s="134">
        <v>11055</v>
      </c>
      <c r="O27" s="134">
        <v>168.12794537129605</v>
      </c>
      <c r="P27" s="134">
        <v>29</v>
      </c>
      <c r="Q27" s="134">
        <v>911.01528869499998</v>
      </c>
      <c r="R27" s="134">
        <v>8957</v>
      </c>
      <c r="S27" s="134">
        <v>17</v>
      </c>
      <c r="T27" s="13"/>
      <c r="BH27" s="22"/>
      <c r="BI27" s="135"/>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row>
    <row r="28" spans="2:98">
      <c r="B28" t="s">
        <v>33</v>
      </c>
      <c r="D28" s="134">
        <v>0</v>
      </c>
      <c r="E28" s="134">
        <v>0</v>
      </c>
      <c r="F28" s="134">
        <v>772</v>
      </c>
      <c r="G28" s="134">
        <v>0</v>
      </c>
      <c r="H28" s="134">
        <v>3021</v>
      </c>
      <c r="I28" s="134">
        <v>0</v>
      </c>
      <c r="J28" s="134">
        <v>0</v>
      </c>
      <c r="K28" s="134">
        <v>0</v>
      </c>
      <c r="L28" s="134">
        <v>6080.5233600000001</v>
      </c>
      <c r="M28" s="134">
        <v>0</v>
      </c>
      <c r="N28" s="134">
        <v>0</v>
      </c>
      <c r="O28" s="134">
        <v>0</v>
      </c>
      <c r="P28" s="134">
        <v>0</v>
      </c>
      <c r="Q28" s="134">
        <v>0</v>
      </c>
      <c r="R28" s="134">
        <v>0</v>
      </c>
      <c r="S28" s="134">
        <v>0</v>
      </c>
      <c r="T28" s="13"/>
      <c r="BH28" s="22"/>
      <c r="BI28" s="135"/>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row>
    <row r="29" spans="2:98">
      <c r="B29" t="s">
        <v>34</v>
      </c>
      <c r="D29" s="134">
        <v>6432</v>
      </c>
      <c r="E29" s="134">
        <v>13769</v>
      </c>
      <c r="F29" s="134">
        <v>1623</v>
      </c>
      <c r="G29" s="134">
        <v>5625</v>
      </c>
      <c r="H29" s="134">
        <v>7099</v>
      </c>
      <c r="I29" s="134">
        <v>2348</v>
      </c>
      <c r="J29" s="134">
        <v>2561.6080000000002</v>
      </c>
      <c r="K29" s="134">
        <v>608</v>
      </c>
      <c r="L29" s="134">
        <v>3793.4187615999958</v>
      </c>
      <c r="M29" s="134">
        <v>7144</v>
      </c>
      <c r="N29" s="134">
        <v>59202</v>
      </c>
      <c r="O29" s="134">
        <v>4851.8784151308691</v>
      </c>
      <c r="P29" s="134">
        <v>3774</v>
      </c>
      <c r="Q29" s="134">
        <v>23479</v>
      </c>
      <c r="R29" s="134">
        <v>82690</v>
      </c>
      <c r="S29" s="134">
        <v>34488.45398000002</v>
      </c>
      <c r="T29" s="13"/>
      <c r="BH29" s="22"/>
      <c r="BI29" s="135"/>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row>
    <row r="30" spans="2:98" s="13" customFormat="1">
      <c r="B30" s="13" t="s">
        <v>167</v>
      </c>
      <c r="D30" s="134">
        <v>60952</v>
      </c>
      <c r="E30" s="134">
        <v>150682</v>
      </c>
      <c r="F30" s="134">
        <v>16845.659</v>
      </c>
      <c r="G30" s="134">
        <v>58604</v>
      </c>
      <c r="H30" s="134">
        <v>72983</v>
      </c>
      <c r="I30" s="134">
        <v>22665</v>
      </c>
      <c r="J30" s="134">
        <v>22714.435600000001</v>
      </c>
      <c r="K30" s="134">
        <v>6448</v>
      </c>
      <c r="L30" s="134">
        <v>41922.555983600039</v>
      </c>
      <c r="M30" s="134">
        <v>88066</v>
      </c>
      <c r="N30" s="134">
        <v>930383</v>
      </c>
      <c r="O30" s="134">
        <v>39460.43495739979</v>
      </c>
      <c r="P30" s="134">
        <v>45374</v>
      </c>
      <c r="Q30" s="134">
        <v>268092.72069799999</v>
      </c>
      <c r="R30" s="134">
        <v>847206</v>
      </c>
      <c r="S30" s="134">
        <v>394459.92603999993</v>
      </c>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135"/>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row>
    <row r="31" spans="2:98">
      <c r="B31" s="13" t="s">
        <v>166</v>
      </c>
      <c r="D31" s="134">
        <v>34.249324233102719</v>
      </c>
      <c r="E31" s="134">
        <v>26.99</v>
      </c>
      <c r="F31" s="134">
        <v>26.827782749565365</v>
      </c>
      <c r="G31" s="134">
        <v>34</v>
      </c>
      <c r="H31" s="134">
        <v>34.266512471402784</v>
      </c>
      <c r="I31" s="134">
        <v>24</v>
      </c>
      <c r="J31" s="134">
        <v>24.012771452138832</v>
      </c>
      <c r="K31" s="134">
        <v>31.242014055559167</v>
      </c>
      <c r="L31" s="134">
        <v>32.956331175965794</v>
      </c>
      <c r="M31" s="134">
        <v>22.41</v>
      </c>
      <c r="N31" s="134">
        <v>26</v>
      </c>
      <c r="O31" s="134">
        <v>13.914429999999996</v>
      </c>
      <c r="P31" s="134">
        <v>26</v>
      </c>
      <c r="Q31" s="134">
        <v>27.63</v>
      </c>
      <c r="R31" s="134">
        <v>39.85</v>
      </c>
      <c r="S31" s="134">
        <v>24</v>
      </c>
      <c r="T31" s="13"/>
      <c r="BH31" s="22"/>
      <c r="BI31" s="135"/>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row>
    <row r="32" spans="2:98">
      <c r="B32" s="21" t="s">
        <v>90</v>
      </c>
      <c r="D32" s="134">
        <v>0</v>
      </c>
      <c r="E32" s="134">
        <v>10</v>
      </c>
      <c r="F32" s="134">
        <v>0</v>
      </c>
      <c r="G32" s="134">
        <v>0</v>
      </c>
      <c r="H32" s="134">
        <v>0</v>
      </c>
      <c r="I32" s="134">
        <v>0</v>
      </c>
      <c r="J32" s="134">
        <v>0</v>
      </c>
      <c r="K32" s="134">
        <v>0</v>
      </c>
      <c r="L32" s="134">
        <v>0</v>
      </c>
      <c r="M32" s="134">
        <v>0</v>
      </c>
      <c r="N32" s="134">
        <v>-10</v>
      </c>
      <c r="O32" s="134">
        <v>-2</v>
      </c>
      <c r="P32" s="134">
        <v>0</v>
      </c>
      <c r="Q32" s="134">
        <v>0</v>
      </c>
      <c r="R32" s="134">
        <v>479</v>
      </c>
      <c r="S32" s="134">
        <v>0</v>
      </c>
      <c r="T32" s="13"/>
      <c r="BH32" s="22"/>
      <c r="BI32" s="135"/>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row>
    <row r="33" spans="1:98" s="13" customFormat="1">
      <c r="B33" s="12" t="s">
        <v>223</v>
      </c>
      <c r="C33"/>
      <c r="D33" s="134">
        <v>9981.0630000000001</v>
      </c>
      <c r="E33" s="134">
        <v>12763</v>
      </c>
      <c r="F33" s="134">
        <v>2549.2330000000002</v>
      </c>
      <c r="G33" s="134">
        <v>5076</v>
      </c>
      <c r="H33" s="134">
        <v>14297</v>
      </c>
      <c r="I33" s="134">
        <v>2987</v>
      </c>
      <c r="J33" s="134">
        <v>2605.6147400000004</v>
      </c>
      <c r="K33" s="134">
        <v>1238.6400000000001</v>
      </c>
      <c r="L33" s="134">
        <v>5287.6619658333329</v>
      </c>
      <c r="M33" s="134">
        <v>5314</v>
      </c>
      <c r="N33" s="134">
        <v>63656</v>
      </c>
      <c r="O33" s="134">
        <v>6682.0266626839202</v>
      </c>
      <c r="P33" s="134">
        <v>6452.6577421020011</v>
      </c>
      <c r="Q33" s="134">
        <v>35298.5557900001</v>
      </c>
      <c r="R33" s="134">
        <v>131577</v>
      </c>
      <c r="S33" s="134">
        <v>34983.747447013942</v>
      </c>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135"/>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row>
    <row r="34" spans="1:98" s="13" customFormat="1">
      <c r="B34" s="21" t="s">
        <v>205</v>
      </c>
      <c r="D34" s="134">
        <v>10160.846</v>
      </c>
      <c r="E34" s="134">
        <v>19106</v>
      </c>
      <c r="F34" s="134">
        <v>2559</v>
      </c>
      <c r="G34" s="134">
        <v>5979</v>
      </c>
      <c r="H34" s="134">
        <v>6009</v>
      </c>
      <c r="I34" s="134">
        <v>4402</v>
      </c>
      <c r="J34" s="134">
        <v>6609.8113000000012</v>
      </c>
      <c r="K34" s="134">
        <v>2092.9300000000003</v>
      </c>
      <c r="L34" s="134">
        <v>7258.5558799999999</v>
      </c>
      <c r="M34" s="134">
        <v>4855</v>
      </c>
      <c r="N34" s="134">
        <v>65350.154551183638</v>
      </c>
      <c r="O34" s="134">
        <v>8265.6569168820151</v>
      </c>
      <c r="P34" s="134">
        <v>11132.692409059506</v>
      </c>
      <c r="Q34" s="134">
        <v>26102.297999999999</v>
      </c>
      <c r="R34" s="134">
        <v>102194</v>
      </c>
      <c r="S34" s="134">
        <v>28899.090320000003</v>
      </c>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135"/>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row>
    <row r="35" spans="1:98" s="13" customFormat="1">
      <c r="B35" s="22" t="s">
        <v>316</v>
      </c>
      <c r="D35" s="134">
        <v>6.1865778081198419</v>
      </c>
      <c r="E35" s="134">
        <v>601.36555605184185</v>
      </c>
      <c r="F35" s="134">
        <v>23.558760919341299</v>
      </c>
      <c r="G35" s="134">
        <v>367.85431128559418</v>
      </c>
      <c r="H35" s="134">
        <v>446.21476147772501</v>
      </c>
      <c r="I35" s="134">
        <v>85.332655930474175</v>
      </c>
      <c r="J35" s="134">
        <v>103.27388907865001</v>
      </c>
      <c r="K35" s="134">
        <v>0</v>
      </c>
      <c r="L35" s="134">
        <v>288.34864584099455</v>
      </c>
      <c r="M35" s="134">
        <v>304.0805752321744</v>
      </c>
      <c r="N35" s="134">
        <v>77.67070145448487</v>
      </c>
      <c r="O35" s="134">
        <v>42.936383973436293</v>
      </c>
      <c r="P35" s="134">
        <v>0</v>
      </c>
      <c r="Q35" s="134">
        <v>276.78451291306197</v>
      </c>
      <c r="R35" s="134">
        <v>6717.0275661577343</v>
      </c>
      <c r="S35" s="134">
        <v>438.91760055736785</v>
      </c>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135"/>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row>
    <row r="36" spans="1:98" s="22" customFormat="1">
      <c r="B36" s="30" t="s">
        <v>307</v>
      </c>
      <c r="D36" s="134">
        <v>26118.569</v>
      </c>
      <c r="E36" s="134">
        <v>55081</v>
      </c>
      <c r="F36" s="134">
        <v>7961</v>
      </c>
      <c r="G36" s="134">
        <v>20920.68611090878</v>
      </c>
      <c r="H36" s="134">
        <v>26061.367083671332</v>
      </c>
      <c r="I36" s="134">
        <v>12756</v>
      </c>
      <c r="J36" s="134">
        <v>21311.812885037489</v>
      </c>
      <c r="K36" s="134">
        <v>6939</v>
      </c>
      <c r="L36" s="134">
        <v>25556.057000000001</v>
      </c>
      <c r="M36" s="134">
        <v>23679</v>
      </c>
      <c r="N36" s="134">
        <v>238846.31015940016</v>
      </c>
      <c r="O36" s="134">
        <v>26992.420176551033</v>
      </c>
      <c r="P36" s="134">
        <v>28049</v>
      </c>
      <c r="Q36" s="134">
        <v>83399.337806854906</v>
      </c>
      <c r="R36" s="134">
        <v>428869.23757747904</v>
      </c>
      <c r="S36" s="134">
        <v>101666.72121827664</v>
      </c>
      <c r="BI36" s="135"/>
    </row>
    <row r="37" spans="1:98" s="22" customFormat="1">
      <c r="B37" s="30" t="s">
        <v>308</v>
      </c>
      <c r="D37" s="134">
        <v>12419.433000000001</v>
      </c>
      <c r="E37" s="134">
        <v>28900</v>
      </c>
      <c r="F37" s="134">
        <v>2691</v>
      </c>
      <c r="G37" s="134">
        <v>9822.4689999999991</v>
      </c>
      <c r="H37" s="134">
        <v>6587.8002393913048</v>
      </c>
      <c r="I37" s="134">
        <v>4782</v>
      </c>
      <c r="J37" s="134">
        <v>8560.40790304656</v>
      </c>
      <c r="K37" s="134">
        <v>2765</v>
      </c>
      <c r="L37" s="134">
        <v>14124.799000000001</v>
      </c>
      <c r="M37" s="134">
        <v>6419</v>
      </c>
      <c r="N37" s="134">
        <v>94874.477709999992</v>
      </c>
      <c r="O37" s="134">
        <v>6001.5583025407714</v>
      </c>
      <c r="P37" s="134">
        <v>8596.3459999999995</v>
      </c>
      <c r="Q37" s="134">
        <v>33548.421000000002</v>
      </c>
      <c r="R37" s="134">
        <v>185446.75099999999</v>
      </c>
      <c r="S37" s="134">
        <v>60471.42490556003</v>
      </c>
      <c r="BI37" s="135"/>
    </row>
    <row r="38" spans="1:98" s="22" customFormat="1">
      <c r="B38" s="22" t="s">
        <v>201</v>
      </c>
      <c r="D38" s="218">
        <v>-0.1</v>
      </c>
      <c r="E38" s="218" t="s">
        <v>149</v>
      </c>
      <c r="F38" s="218">
        <v>-0.1</v>
      </c>
      <c r="G38" s="218" t="s">
        <v>149</v>
      </c>
      <c r="H38" s="218" t="s">
        <v>149</v>
      </c>
      <c r="I38" s="218" t="s">
        <v>149</v>
      </c>
      <c r="J38" s="218" t="s">
        <v>149</v>
      </c>
      <c r="K38" s="218" t="s">
        <v>149</v>
      </c>
      <c r="L38" s="218" t="s">
        <v>149</v>
      </c>
      <c r="M38" s="218" t="s">
        <v>149</v>
      </c>
      <c r="N38" s="218" t="s">
        <v>149</v>
      </c>
      <c r="O38" s="218">
        <v>-0.1</v>
      </c>
      <c r="P38" s="218">
        <v>-0.1</v>
      </c>
      <c r="Q38" s="218">
        <v>-0.08</v>
      </c>
      <c r="R38" s="218" t="s">
        <v>149</v>
      </c>
      <c r="S38" s="218" t="s">
        <v>149</v>
      </c>
      <c r="BI38" s="135"/>
    </row>
    <row r="39" spans="1:98" s="33" customFormat="1">
      <c r="A39" s="50"/>
      <c r="B39" s="27" t="s">
        <v>341</v>
      </c>
      <c r="C39" s="22"/>
      <c r="D39" s="218">
        <v>0.1</v>
      </c>
      <c r="E39" s="218">
        <v>0.2</v>
      </c>
      <c r="F39" s="218">
        <v>0.1</v>
      </c>
      <c r="G39" s="218">
        <v>0.2</v>
      </c>
      <c r="H39" s="218">
        <v>0.2</v>
      </c>
      <c r="I39" s="218">
        <v>0.2</v>
      </c>
      <c r="J39" s="218">
        <v>0.2</v>
      </c>
      <c r="K39" s="218">
        <v>0.2</v>
      </c>
      <c r="L39" s="218">
        <v>0.2</v>
      </c>
      <c r="M39" s="218">
        <v>0.2</v>
      </c>
      <c r="N39" s="218">
        <v>0.2</v>
      </c>
      <c r="O39" s="218">
        <v>0.1</v>
      </c>
      <c r="P39" s="218">
        <v>0.1</v>
      </c>
      <c r="Q39" s="218">
        <v>0.2</v>
      </c>
      <c r="R39" s="218">
        <v>0.2</v>
      </c>
      <c r="S39" s="218">
        <v>0.2</v>
      </c>
      <c r="T39" s="22"/>
      <c r="U39" s="26"/>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135"/>
    </row>
    <row r="40" spans="1:98" ht="58.5">
      <c r="A40" s="15"/>
      <c r="B40" s="24" t="s">
        <v>195</v>
      </c>
      <c r="C40" s="22"/>
      <c r="D40" s="7" t="str">
        <f>Inputs!D19</f>
        <v xml:space="preserve">Alpine Energy </v>
      </c>
      <c r="E40" s="7" t="str">
        <f>Inputs!E19</f>
        <v>Aurora Energy</v>
      </c>
      <c r="F40" s="7" t="str">
        <f>Inputs!F19</f>
        <v xml:space="preserve">Centralines </v>
      </c>
      <c r="G40" s="7" t="str">
        <f>Inputs!G19</f>
        <v xml:space="preserve">Eastland </v>
      </c>
      <c r="H40" s="7" t="str">
        <f>Inputs!H19</f>
        <v>Electricity Ashburton</v>
      </c>
      <c r="I40" s="7" t="str">
        <f>Inputs!I19</f>
        <v>Electricity Invercargill</v>
      </c>
      <c r="J40" s="7" t="str">
        <f>Inputs!J19</f>
        <v xml:space="preserve">Horizon Energy </v>
      </c>
      <c r="K40" s="7" t="str">
        <f>Inputs!K19</f>
        <v xml:space="preserve">Nelson Electricity </v>
      </c>
      <c r="L40" s="7" t="str">
        <f>Inputs!L19</f>
        <v xml:space="preserve">Network Tasman </v>
      </c>
      <c r="M40" s="7" t="str">
        <f>Inputs!M19</f>
        <v xml:space="preserve">OtagoNet </v>
      </c>
      <c r="N40" s="7" t="str">
        <f>Inputs!N19</f>
        <v xml:space="preserve">Powerco </v>
      </c>
      <c r="O40" s="7" t="str">
        <f>Inputs!O19</f>
        <v>The Lines Company</v>
      </c>
      <c r="P40" s="7" t="str">
        <f>Inputs!P19</f>
        <v xml:space="preserve">Top Energy </v>
      </c>
      <c r="Q40" s="7" t="str">
        <f>Inputs!Q19</f>
        <v xml:space="preserve">Unison </v>
      </c>
      <c r="R40" s="7" t="str">
        <f>Inputs!R19</f>
        <v xml:space="preserve">Vector </v>
      </c>
      <c r="S40" s="7" t="str">
        <f>Inputs!S19</f>
        <v xml:space="preserve">Wellington Electricity </v>
      </c>
      <c r="T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row>
    <row r="41" spans="1:98">
      <c r="B41" s="12" t="s">
        <v>213</v>
      </c>
      <c r="C41"/>
      <c r="D41" s="138">
        <v>10486.056315275446</v>
      </c>
      <c r="E41" s="138">
        <v>19723.18480848724</v>
      </c>
      <c r="F41" s="138">
        <v>2624.6857229443099</v>
      </c>
      <c r="G41" s="138">
        <v>6132.0522396374154</v>
      </c>
      <c r="H41" s="138">
        <v>6204.691236062904</v>
      </c>
      <c r="I41" s="138">
        <v>4519.8749144208259</v>
      </c>
      <c r="J41" s="138">
        <v>6783.5902802359678</v>
      </c>
      <c r="K41" s="138">
        <v>2159.0527302088258</v>
      </c>
      <c r="L41" s="138">
        <v>7485.2038887098779</v>
      </c>
      <c r="M41" s="138">
        <v>4980.2484336147554</v>
      </c>
      <c r="N41" s="138">
        <v>67363.250768796774</v>
      </c>
      <c r="O41" s="138">
        <v>8470.9864010950932</v>
      </c>
      <c r="P41" s="138">
        <v>11455.313947654389</v>
      </c>
      <c r="Q41" s="138">
        <v>26850.658570973748</v>
      </c>
      <c r="R41" s="138">
        <v>105963.82868465818</v>
      </c>
      <c r="S41" s="138">
        <v>29784.184265820113</v>
      </c>
      <c r="T41" s="13"/>
      <c r="BE41" s="26"/>
      <c r="BF41" s="26"/>
      <c r="BG41" s="26"/>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row>
    <row r="42" spans="1:98">
      <c r="B42" s="12" t="s">
        <v>214</v>
      </c>
      <c r="C42"/>
      <c r="D42" s="138">
        <v>10769.677272781286</v>
      </c>
      <c r="E42" s="138">
        <v>20459.940283811731</v>
      </c>
      <c r="F42" s="138">
        <v>2703.4648677433279</v>
      </c>
      <c r="G42" s="138">
        <v>6301.6555861120814</v>
      </c>
      <c r="H42" s="138">
        <v>6419.5383028401675</v>
      </c>
      <c r="I42" s="138">
        <v>4655.2180622759379</v>
      </c>
      <c r="J42" s="138">
        <v>7006.3823264072134</v>
      </c>
      <c r="K42" s="138">
        <v>2261.7125727096982</v>
      </c>
      <c r="L42" s="138">
        <v>7754.3809562703609</v>
      </c>
      <c r="M42" s="138">
        <v>5153.9882922058459</v>
      </c>
      <c r="N42" s="138">
        <v>69672.141445106579</v>
      </c>
      <c r="O42" s="138">
        <v>8698.8684246092034</v>
      </c>
      <c r="P42" s="138">
        <v>11810.885137932219</v>
      </c>
      <c r="Q42" s="138">
        <v>28047.424479714638</v>
      </c>
      <c r="R42" s="138">
        <v>110738.02862403366</v>
      </c>
      <c r="S42" s="138">
        <v>31122.747965808729</v>
      </c>
      <c r="BE42" s="26"/>
      <c r="BF42" s="26"/>
      <c r="BG42" s="26"/>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row>
    <row r="43" spans="1:98">
      <c r="B43" s="12" t="s">
        <v>215</v>
      </c>
      <c r="C43"/>
      <c r="D43" s="138">
        <v>10999.83098946927</v>
      </c>
      <c r="E43" s="138">
        <v>20999.832123125721</v>
      </c>
      <c r="F43" s="138">
        <v>2775.2350452102005</v>
      </c>
      <c r="G43" s="138">
        <v>6422.1555191858079</v>
      </c>
      <c r="H43" s="138">
        <v>6612.0240843577267</v>
      </c>
      <c r="I43" s="138">
        <v>4764.6232059655686</v>
      </c>
      <c r="J43" s="138">
        <v>7146.6784158777782</v>
      </c>
      <c r="K43" s="138">
        <v>2325.766556585826</v>
      </c>
      <c r="L43" s="138">
        <v>7959.0592342224681</v>
      </c>
      <c r="M43" s="138">
        <v>5265.8946779284342</v>
      </c>
      <c r="N43" s="138">
        <v>71488.842928982413</v>
      </c>
      <c r="O43" s="138">
        <v>8858.622500469186</v>
      </c>
      <c r="P43" s="138">
        <v>12076.669012581377</v>
      </c>
      <c r="Q43" s="138">
        <v>29436.415420227993</v>
      </c>
      <c r="R43" s="138">
        <v>114703.18207109997</v>
      </c>
      <c r="S43" s="138">
        <v>32063.422081938686</v>
      </c>
      <c r="BE43" s="26"/>
      <c r="BF43" s="26"/>
      <c r="BG43" s="26"/>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row>
    <row r="44" spans="1:98">
      <c r="B44" s="12" t="s">
        <v>216</v>
      </c>
      <c r="C44"/>
      <c r="D44" s="138">
        <v>11280.770356096045</v>
      </c>
      <c r="E44" s="138">
        <v>21633.688811439235</v>
      </c>
      <c r="F44" s="138">
        <v>2845.4746533096431</v>
      </c>
      <c r="G44" s="138">
        <v>6571.7669890538482</v>
      </c>
      <c r="H44" s="138">
        <v>6799.3751078096811</v>
      </c>
      <c r="I44" s="138">
        <v>4885.7498828170155</v>
      </c>
      <c r="J44" s="138">
        <v>7305.8687503434257</v>
      </c>
      <c r="K44" s="138">
        <v>2409.7780385106776</v>
      </c>
      <c r="L44" s="138">
        <v>8195.2344487117425</v>
      </c>
      <c r="M44" s="138">
        <v>5395.4926016644267</v>
      </c>
      <c r="N44" s="138">
        <v>73583.219530402217</v>
      </c>
      <c r="O44" s="138">
        <v>9058.2880849563226</v>
      </c>
      <c r="P44" s="138">
        <v>12398.844298537073</v>
      </c>
      <c r="Q44" s="138">
        <v>30419.526307488934</v>
      </c>
      <c r="R44" s="138">
        <v>118910.67905112075</v>
      </c>
      <c r="S44" s="138">
        <v>33134.124940637004</v>
      </c>
      <c r="BE44" s="26"/>
      <c r="BF44" s="26"/>
      <c r="BG44" s="26"/>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row>
    <row r="45" spans="1:98">
      <c r="B45" s="12" t="s">
        <v>217</v>
      </c>
      <c r="C45"/>
      <c r="D45" s="138">
        <v>11594.623029314122</v>
      </c>
      <c r="E45" s="138">
        <v>22330.603459196944</v>
      </c>
      <c r="F45" s="138">
        <v>2920.6397709002285</v>
      </c>
      <c r="G45" s="138">
        <v>6739.8702129727581</v>
      </c>
      <c r="H45" s="138">
        <v>7017.2557638432563</v>
      </c>
      <c r="I45" s="138">
        <v>5015.8181496926263</v>
      </c>
      <c r="J45" s="138">
        <v>7485.1735837006108</v>
      </c>
      <c r="K45" s="138">
        <v>2484.1294160849757</v>
      </c>
      <c r="L45" s="138">
        <v>8451.33142058665</v>
      </c>
      <c r="M45" s="138">
        <v>5533.1658601582785</v>
      </c>
      <c r="N45" s="138">
        <v>75909.876254573246</v>
      </c>
      <c r="O45" s="138">
        <v>9283.1382178078238</v>
      </c>
      <c r="P45" s="138">
        <v>12757.926710288963</v>
      </c>
      <c r="Q45" s="138">
        <v>31376.86287825611</v>
      </c>
      <c r="R45" s="138">
        <v>123513.87046710651</v>
      </c>
      <c r="S45" s="138">
        <v>34366.100457660774</v>
      </c>
      <c r="BE45" s="26"/>
      <c r="BF45" s="26"/>
      <c r="BG45" s="26"/>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row>
    <row r="46" spans="1:98">
      <c r="C46"/>
      <c r="D46" s="27"/>
      <c r="E46" s="27"/>
      <c r="F46" s="27"/>
      <c r="G46" s="27"/>
      <c r="H46" s="27"/>
      <c r="I46" s="27"/>
      <c r="J46" s="27"/>
      <c r="K46" s="27"/>
      <c r="L46" s="7"/>
      <c r="M46" s="27"/>
      <c r="N46" s="27"/>
      <c r="O46" s="27"/>
      <c r="P46" s="27"/>
      <c r="Q46" s="27"/>
      <c r="R46" s="27"/>
      <c r="S46" s="27"/>
      <c r="BE46" s="26"/>
      <c r="BF46" s="26"/>
      <c r="BG46" s="26"/>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row>
    <row r="47" spans="1:98" ht="18.75">
      <c r="B47" s="24" t="s">
        <v>200</v>
      </c>
      <c r="C47"/>
      <c r="D47" s="27"/>
      <c r="E47" s="27"/>
      <c r="F47" s="27"/>
      <c r="G47" s="27"/>
      <c r="H47" s="27"/>
      <c r="I47" s="27"/>
      <c r="J47" s="27"/>
      <c r="K47" s="27"/>
      <c r="L47" s="7"/>
      <c r="M47" s="27"/>
      <c r="N47" s="27"/>
      <c r="O47" s="27"/>
      <c r="P47" s="27"/>
      <c r="Q47" s="27"/>
      <c r="R47" s="27"/>
      <c r="S47" s="27"/>
      <c r="BE47" s="26"/>
      <c r="BF47" s="26"/>
      <c r="BG47" s="26"/>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row>
    <row r="48" spans="1:98">
      <c r="B48" s="12" t="s">
        <v>218</v>
      </c>
      <c r="C48"/>
      <c r="D48" s="139">
        <v>5.4803237473893323E-3</v>
      </c>
      <c r="E48" s="139">
        <v>6.4726399189891882E-3</v>
      </c>
      <c r="F48" s="139">
        <v>-2.5500588774990756E-3</v>
      </c>
      <c r="G48" s="139">
        <v>-2.2495067489118406E-3</v>
      </c>
      <c r="H48" s="139">
        <v>1.598939416406641E-2</v>
      </c>
      <c r="I48" s="139">
        <v>-1.1456926475380026E-3</v>
      </c>
      <c r="J48" s="139">
        <v>-6.3921843140435754E-4</v>
      </c>
      <c r="K48" s="139">
        <v>5.2828068935345121E-3</v>
      </c>
      <c r="L48" s="139">
        <v>5.9734074574071209E-3</v>
      </c>
      <c r="M48" s="139">
        <v>3.0042551825458278E-3</v>
      </c>
      <c r="N48" s="139">
        <v>5.0885795365812458E-3</v>
      </c>
      <c r="O48" s="139">
        <v>-4.7755866874985356E-4</v>
      </c>
      <c r="P48" s="139">
        <v>3.0771502015654343E-3</v>
      </c>
      <c r="Q48" s="139">
        <v>4.9586501062375715E-4</v>
      </c>
      <c r="R48" s="139">
        <v>1.6719424191413187E-2</v>
      </c>
      <c r="S48" s="139">
        <v>8.090127732655595E-3</v>
      </c>
      <c r="BE48" s="26"/>
      <c r="BF48" s="26"/>
      <c r="BG48" s="26"/>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row>
    <row r="49" spans="1:98">
      <c r="B49" s="12" t="s">
        <v>219</v>
      </c>
      <c r="C49"/>
      <c r="D49" s="139">
        <v>5.4803237473893323E-3</v>
      </c>
      <c r="E49" s="139">
        <v>6.4726399189891882E-3</v>
      </c>
      <c r="F49" s="139">
        <v>-2.5500588774990756E-3</v>
      </c>
      <c r="G49" s="139">
        <v>-2.2495067489118406E-3</v>
      </c>
      <c r="H49" s="139">
        <v>1.598939416406641E-2</v>
      </c>
      <c r="I49" s="139">
        <v>-1.1456926475380026E-3</v>
      </c>
      <c r="J49" s="139">
        <v>-6.3921843140435754E-4</v>
      </c>
      <c r="K49" s="139">
        <v>5.2828068935345121E-3</v>
      </c>
      <c r="L49" s="139">
        <v>5.9734074574071209E-3</v>
      </c>
      <c r="M49" s="139">
        <v>3.0042551825458278E-3</v>
      </c>
      <c r="N49" s="139">
        <v>5.0885795365812458E-3</v>
      </c>
      <c r="O49" s="139">
        <v>-4.7755866874985356E-4</v>
      </c>
      <c r="P49" s="139">
        <v>3.0771502015654343E-3</v>
      </c>
      <c r="Q49" s="139">
        <v>4.9586501062375715E-4</v>
      </c>
      <c r="R49" s="139">
        <v>1.6719424191413187E-2</v>
      </c>
      <c r="S49" s="139">
        <v>8.090127732655595E-3</v>
      </c>
      <c r="BE49" s="26"/>
      <c r="BF49" s="26"/>
      <c r="BG49" s="26"/>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row>
    <row r="50" spans="1:98">
      <c r="B50" s="12" t="s">
        <v>220</v>
      </c>
      <c r="C50"/>
      <c r="D50" s="139">
        <v>5.4803237473893323E-3</v>
      </c>
      <c r="E50" s="139">
        <v>6.4726399189891882E-3</v>
      </c>
      <c r="F50" s="139">
        <v>-2.5500588774990756E-3</v>
      </c>
      <c r="G50" s="139">
        <v>-2.2495067489118406E-3</v>
      </c>
      <c r="H50" s="139">
        <v>1.598939416406641E-2</v>
      </c>
      <c r="I50" s="139">
        <v>-1.1456926475380026E-3</v>
      </c>
      <c r="J50" s="139">
        <v>-6.3921843140435754E-4</v>
      </c>
      <c r="K50" s="139">
        <v>5.2828068935345121E-3</v>
      </c>
      <c r="L50" s="139">
        <v>5.9734074574071209E-3</v>
      </c>
      <c r="M50" s="139">
        <v>3.0042551825458278E-3</v>
      </c>
      <c r="N50" s="139">
        <v>5.0885795365812458E-3</v>
      </c>
      <c r="O50" s="139">
        <v>-4.7755866874985356E-4</v>
      </c>
      <c r="P50" s="139">
        <v>3.0771502015654343E-3</v>
      </c>
      <c r="Q50" s="139">
        <v>4.9586501062375715E-4</v>
      </c>
      <c r="R50" s="139">
        <v>1.6719424191413187E-2</v>
      </c>
      <c r="S50" s="139">
        <v>8.090127732655595E-3</v>
      </c>
      <c r="BE50" s="26"/>
      <c r="BF50" s="26"/>
      <c r="BG50" s="26"/>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row>
    <row r="51" spans="1:98">
      <c r="B51" s="12" t="s">
        <v>221</v>
      </c>
      <c r="C51"/>
      <c r="D51" s="139">
        <v>5.4803237473893323E-3</v>
      </c>
      <c r="E51" s="139">
        <v>6.4726399189891882E-3</v>
      </c>
      <c r="F51" s="139">
        <v>-2.5500588774990756E-3</v>
      </c>
      <c r="G51" s="139">
        <v>-2.2495067489118406E-3</v>
      </c>
      <c r="H51" s="139">
        <v>1.598939416406641E-2</v>
      </c>
      <c r="I51" s="139">
        <v>-1.1456926475380026E-3</v>
      </c>
      <c r="J51" s="139">
        <v>-6.3921843140435754E-4</v>
      </c>
      <c r="K51" s="139">
        <v>5.2828068935345121E-3</v>
      </c>
      <c r="L51" s="139">
        <v>5.9734074574071209E-3</v>
      </c>
      <c r="M51" s="139">
        <v>3.0042551825458278E-3</v>
      </c>
      <c r="N51" s="139">
        <v>5.0885795365812458E-3</v>
      </c>
      <c r="O51" s="139">
        <v>-4.7755866874985356E-4</v>
      </c>
      <c r="P51" s="139">
        <v>3.0771502015654343E-3</v>
      </c>
      <c r="Q51" s="139">
        <v>4.9586501062375715E-4</v>
      </c>
      <c r="R51" s="139">
        <v>1.6719424191413187E-2</v>
      </c>
      <c r="S51" s="139">
        <v>8.090127732655595E-3</v>
      </c>
      <c r="BE51" s="26"/>
      <c r="BF51" s="26"/>
      <c r="BG51" s="26"/>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row>
    <row r="52" spans="1:98">
      <c r="B52" s="12" t="s">
        <v>222</v>
      </c>
      <c r="C52"/>
      <c r="D52" s="139">
        <v>5.4803237473893323E-3</v>
      </c>
      <c r="E52" s="139">
        <v>6.4726399189891882E-3</v>
      </c>
      <c r="F52" s="139">
        <v>-2.5500588774990756E-3</v>
      </c>
      <c r="G52" s="139">
        <v>-2.2495067489118406E-3</v>
      </c>
      <c r="H52" s="139">
        <v>1.598939416406641E-2</v>
      </c>
      <c r="I52" s="139">
        <v>-1.1456926475380026E-3</v>
      </c>
      <c r="J52" s="139">
        <v>-6.3921843140435754E-4</v>
      </c>
      <c r="K52" s="139">
        <v>5.2828068935345121E-3</v>
      </c>
      <c r="L52" s="139">
        <v>5.9734074574071209E-3</v>
      </c>
      <c r="M52" s="139">
        <v>3.0042551825458278E-3</v>
      </c>
      <c r="N52" s="139">
        <v>5.0885795365812458E-3</v>
      </c>
      <c r="O52" s="139">
        <v>-4.7755866874985356E-4</v>
      </c>
      <c r="P52" s="139">
        <v>3.0771502015654343E-3</v>
      </c>
      <c r="Q52" s="139">
        <v>4.9586501062375715E-4</v>
      </c>
      <c r="R52" s="139">
        <v>1.6719424191413187E-2</v>
      </c>
      <c r="S52" s="139">
        <v>8.090127732655595E-3</v>
      </c>
      <c r="BE52" s="26"/>
      <c r="BF52" s="26"/>
      <c r="BG52" s="26"/>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row>
    <row r="53" spans="1:98">
      <c r="B53" s="12"/>
      <c r="C53" s="13"/>
      <c r="D53" s="98"/>
      <c r="E53" s="98"/>
      <c r="F53" s="98"/>
      <c r="G53" s="98"/>
      <c r="H53" s="98"/>
      <c r="I53" s="98"/>
      <c r="J53" s="27"/>
      <c r="K53" s="27"/>
      <c r="L53" s="27"/>
      <c r="M53" s="27"/>
      <c r="N53" s="27"/>
      <c r="O53" s="27"/>
      <c r="P53" s="27"/>
      <c r="Q53" s="27"/>
      <c r="R53" s="27"/>
      <c r="S53" s="27"/>
      <c r="BE53" s="26"/>
      <c r="BF53" s="26"/>
      <c r="BG53" s="26"/>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row>
    <row r="54" spans="1:98" ht="18.75">
      <c r="B54" s="16" t="s">
        <v>98</v>
      </c>
      <c r="C54"/>
      <c r="D54" s="98"/>
      <c r="E54" s="27"/>
      <c r="F54" s="27"/>
      <c r="G54" s="27"/>
      <c r="H54" s="27"/>
      <c r="I54" s="27"/>
      <c r="J54" s="27"/>
      <c r="K54" s="27"/>
      <c r="L54" s="27"/>
      <c r="M54" s="27"/>
      <c r="N54" s="27"/>
      <c r="O54" s="27"/>
      <c r="P54" s="27"/>
      <c r="Q54" s="27"/>
      <c r="R54" s="27"/>
      <c r="S54" s="27"/>
      <c r="BE54" s="26"/>
      <c r="BF54" s="26"/>
      <c r="BG54" s="26"/>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row>
    <row r="55" spans="1:98">
      <c r="D55" s="27"/>
      <c r="E55" s="27"/>
      <c r="F55" s="27"/>
      <c r="G55" s="27"/>
      <c r="H55" s="27"/>
      <c r="I55" s="27"/>
      <c r="J55" s="27"/>
      <c r="K55" s="27"/>
      <c r="L55" s="27"/>
      <c r="M55" s="27"/>
      <c r="N55" s="27"/>
      <c r="O55" s="27"/>
      <c r="P55" s="27"/>
      <c r="Q55" s="27"/>
      <c r="R55" s="27"/>
      <c r="S55" s="27"/>
      <c r="BE55" s="26"/>
      <c r="BF55" s="26"/>
      <c r="BG55" s="26"/>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row>
    <row r="56" spans="1:98">
      <c r="B56" s="12" t="s">
        <v>224</v>
      </c>
      <c r="C56"/>
      <c r="D56" s="134">
        <v>24098.562386393281</v>
      </c>
      <c r="E56" s="134">
        <v>20042.885055280214</v>
      </c>
      <c r="F56" s="134">
        <v>5870.1685608770731</v>
      </c>
      <c r="G56" s="134">
        <v>5502.0491620030361</v>
      </c>
      <c r="H56" s="134">
        <v>12717.914741623148</v>
      </c>
      <c r="I56" s="134">
        <v>4091.6191989586155</v>
      </c>
      <c r="J56" s="134">
        <v>5968.5635313681105</v>
      </c>
      <c r="K56" s="134">
        <v>6159.2162954699461</v>
      </c>
      <c r="L56" s="134">
        <v>8689.345789854653</v>
      </c>
      <c r="M56" s="134">
        <v>9617.8194802400612</v>
      </c>
      <c r="N56" s="134">
        <v>74280.581309136454</v>
      </c>
      <c r="O56" s="134">
        <v>8464.4550466451528</v>
      </c>
      <c r="P56" s="134">
        <v>14732.131195583452</v>
      </c>
      <c r="Q56" s="134">
        <v>37377.616039839086</v>
      </c>
      <c r="R56" s="134">
        <v>120019.6282933935</v>
      </c>
      <c r="S56" s="134">
        <v>28280.380597409297</v>
      </c>
      <c r="BE56" s="26"/>
      <c r="BF56" s="26"/>
      <c r="BG56" s="26"/>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row>
    <row r="57" spans="1:98">
      <c r="B57" s="12" t="s">
        <v>225</v>
      </c>
      <c r="C57"/>
      <c r="D57" s="134">
        <v>22169.397532783973</v>
      </c>
      <c r="E57" s="134">
        <v>20562.093785741519</v>
      </c>
      <c r="F57" s="134">
        <v>3012.9462199141931</v>
      </c>
      <c r="G57" s="134">
        <v>5888.9763292164389</v>
      </c>
      <c r="H57" s="134">
        <v>16295.628119961755</v>
      </c>
      <c r="I57" s="134">
        <v>3617.957498056554</v>
      </c>
      <c r="J57" s="134">
        <v>6120.5089735613219</v>
      </c>
      <c r="K57" s="134">
        <v>6343.2496365325369</v>
      </c>
      <c r="L57" s="134">
        <v>7625.3990827172902</v>
      </c>
      <c r="M57" s="134">
        <v>9875.5356247567215</v>
      </c>
      <c r="N57" s="134">
        <v>75122.705226785518</v>
      </c>
      <c r="O57" s="134">
        <v>8018.6955095262529</v>
      </c>
      <c r="P57" s="134">
        <v>16509.790306497922</v>
      </c>
      <c r="Q57" s="134">
        <v>46485.646740188371</v>
      </c>
      <c r="R57" s="134">
        <v>131068.61044637936</v>
      </c>
      <c r="S57" s="134">
        <v>31549.758588266071</v>
      </c>
      <c r="BE57" s="26"/>
      <c r="BF57" s="26"/>
      <c r="BG57" s="26"/>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row>
    <row r="58" spans="1:98">
      <c r="B58" s="12" t="s">
        <v>226</v>
      </c>
      <c r="C58"/>
      <c r="D58" s="134">
        <v>29340.295849899445</v>
      </c>
      <c r="E58" s="134">
        <v>16741.2435795932</v>
      </c>
      <c r="F58" s="134">
        <v>3811.7571848262128</v>
      </c>
      <c r="G58" s="134">
        <v>5903.3786523138315</v>
      </c>
      <c r="H58" s="134">
        <v>9830.6562620451514</v>
      </c>
      <c r="I58" s="134">
        <v>3552.4395536617048</v>
      </c>
      <c r="J58" s="134">
        <v>5697.1859676173417</v>
      </c>
      <c r="K58" s="134">
        <v>1905.7838145694009</v>
      </c>
      <c r="L58" s="134">
        <v>6390.7832933165973</v>
      </c>
      <c r="M58" s="134">
        <v>10366.171567149242</v>
      </c>
      <c r="N58" s="134">
        <v>77446.054010072083</v>
      </c>
      <c r="O58" s="134">
        <v>8470.9218723328486</v>
      </c>
      <c r="P58" s="134">
        <v>15560.081308329351</v>
      </c>
      <c r="Q58" s="134">
        <v>43654.372986773335</v>
      </c>
      <c r="R58" s="134">
        <v>142882.94195931772</v>
      </c>
      <c r="S58" s="134">
        <v>34608.069409814809</v>
      </c>
      <c r="BE58" s="26"/>
      <c r="BF58" s="26"/>
      <c r="BG58" s="26"/>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2"/>
    </row>
    <row r="59" spans="1:98">
      <c r="B59" s="12" t="s">
        <v>227</v>
      </c>
      <c r="C59"/>
      <c r="D59" s="134">
        <v>20179.4801416298</v>
      </c>
      <c r="E59" s="134">
        <v>20639.536135610404</v>
      </c>
      <c r="F59" s="134">
        <v>3206.8712330157809</v>
      </c>
      <c r="G59" s="134">
        <v>5966.4877321646809</v>
      </c>
      <c r="H59" s="134">
        <v>11357.769713785836</v>
      </c>
      <c r="I59" s="134">
        <v>3197.2877557338447</v>
      </c>
      <c r="J59" s="134">
        <v>4435.3833643667494</v>
      </c>
      <c r="K59" s="134">
        <v>1558.4483373156763</v>
      </c>
      <c r="L59" s="134">
        <v>5630.9176752704807</v>
      </c>
      <c r="M59" s="134">
        <v>10310.510041897414</v>
      </c>
      <c r="N59" s="134">
        <v>83478.690800567143</v>
      </c>
      <c r="O59" s="134">
        <v>9056.877071977322</v>
      </c>
      <c r="P59" s="134">
        <v>15039.273504979865</v>
      </c>
      <c r="Q59" s="134">
        <v>46272.300703279623</v>
      </c>
      <c r="R59" s="134">
        <v>152682.845248414</v>
      </c>
      <c r="S59" s="134">
        <v>35230.733512882674</v>
      </c>
      <c r="BE59" s="26"/>
      <c r="BF59" s="26"/>
      <c r="BG59" s="26"/>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row>
    <row r="60" spans="1:98">
      <c r="B60" s="12" t="s">
        <v>228</v>
      </c>
      <c r="C60"/>
      <c r="D60" s="134">
        <v>13595.831009777021</v>
      </c>
      <c r="E60" s="134">
        <v>19592.357033894728</v>
      </c>
      <c r="F60" s="134">
        <v>3451.3129347213116</v>
      </c>
      <c r="G60" s="134">
        <v>6121.6744020007181</v>
      </c>
      <c r="H60" s="134">
        <v>12849.677016437978</v>
      </c>
      <c r="I60" s="134">
        <v>3223.4869778450902</v>
      </c>
      <c r="J60" s="134">
        <v>4705.4786175702502</v>
      </c>
      <c r="K60" s="134">
        <v>1729.7715949268061</v>
      </c>
      <c r="L60" s="134">
        <v>6405.8983114749644</v>
      </c>
      <c r="M60" s="134">
        <v>10184.89598193329</v>
      </c>
      <c r="N60" s="134">
        <v>88065.69384101138</v>
      </c>
      <c r="O60" s="134">
        <v>8497.6486143962611</v>
      </c>
      <c r="P60" s="134">
        <v>15851.828430961748</v>
      </c>
      <c r="Q60" s="134">
        <v>29674.880711567537</v>
      </c>
      <c r="R60" s="134">
        <v>146316.79520482279</v>
      </c>
      <c r="S60" s="134">
        <v>37062.472177288699</v>
      </c>
      <c r="BE60" s="26"/>
      <c r="BF60" s="26"/>
      <c r="BG60" s="26"/>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row>
    <row r="61" spans="1:98">
      <c r="A61" s="13"/>
      <c r="B61" s="13"/>
      <c r="C61" s="13"/>
      <c r="D61" s="13"/>
      <c r="E61" s="13"/>
      <c r="F61" s="13"/>
      <c r="G61" s="13"/>
      <c r="H61" s="13"/>
      <c r="I61" s="13"/>
      <c r="J61" s="13"/>
      <c r="K61" s="13"/>
      <c r="L61" s="13"/>
      <c r="M61" s="13"/>
      <c r="N61" s="13"/>
      <c r="O61" s="13"/>
      <c r="P61" s="13"/>
      <c r="Q61" s="13"/>
      <c r="R61" s="13"/>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22"/>
      <c r="CS61" s="22"/>
      <c r="CT61" s="22"/>
    </row>
    <row r="62" spans="1:98">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row>
    <row r="63" spans="1:98">
      <c r="B63" s="22"/>
      <c r="C63" s="22"/>
      <c r="D63" s="22"/>
      <c r="E63" s="22"/>
      <c r="F63" s="22"/>
      <c r="G63" s="22"/>
      <c r="H63" s="22"/>
      <c r="I63" s="22"/>
      <c r="J63" s="22"/>
      <c r="K63" s="22"/>
      <c r="L63" s="22"/>
      <c r="M63" s="22"/>
      <c r="N63" s="22"/>
      <c r="O63" s="22"/>
      <c r="P63" s="22"/>
      <c r="Q63" s="22"/>
      <c r="R63" s="22"/>
      <c r="S63" s="22"/>
      <c r="T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row>
    <row r="64" spans="1:98">
      <c r="B64" s="22"/>
      <c r="C64" s="22"/>
      <c r="D64" s="22"/>
      <c r="E64" s="22"/>
      <c r="F64" s="22"/>
      <c r="G64" s="22"/>
      <c r="H64" s="22"/>
      <c r="I64" s="22"/>
      <c r="J64" s="22"/>
      <c r="K64" s="22"/>
      <c r="L64" s="22"/>
      <c r="M64" s="22"/>
      <c r="N64" s="22"/>
      <c r="O64" s="22"/>
      <c r="P64" s="22"/>
      <c r="Q64" s="22"/>
      <c r="R64" s="22"/>
      <c r="S64" s="22"/>
      <c r="T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row>
    <row r="65" spans="2:98">
      <c r="B65" s="22"/>
      <c r="C65" s="22"/>
      <c r="D65" s="22"/>
      <c r="E65" s="22"/>
      <c r="F65" s="22"/>
      <c r="G65" s="22"/>
      <c r="H65" s="22"/>
      <c r="I65" s="22"/>
      <c r="J65" s="22"/>
      <c r="K65" s="22"/>
      <c r="L65" s="22"/>
      <c r="M65" s="22"/>
      <c r="N65" s="22"/>
      <c r="O65" s="22"/>
      <c r="P65" s="22"/>
      <c r="Q65" s="22"/>
      <c r="R65" s="22"/>
      <c r="S65" s="22"/>
      <c r="T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row>
    <row r="66" spans="2:98">
      <c r="B66" s="22"/>
      <c r="C66" s="22"/>
      <c r="D66" s="22"/>
      <c r="E66" s="22"/>
      <c r="F66" s="22"/>
      <c r="G66" s="22"/>
      <c r="H66" s="22"/>
      <c r="I66" s="22"/>
      <c r="J66" s="22"/>
      <c r="K66" s="22"/>
      <c r="L66" s="22"/>
      <c r="M66" s="22"/>
      <c r="N66" s="22"/>
      <c r="O66" s="22"/>
      <c r="P66" s="22"/>
      <c r="Q66" s="22"/>
      <c r="R66" s="22"/>
      <c r="S66" s="22"/>
      <c r="T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row>
    <row r="67" spans="2:98">
      <c r="B67" s="22"/>
      <c r="C67" s="22"/>
      <c r="D67" s="22"/>
      <c r="E67" s="22"/>
      <c r="F67" s="22"/>
      <c r="G67" s="22"/>
      <c r="H67" s="22"/>
      <c r="I67" s="22"/>
      <c r="J67" s="22"/>
      <c r="K67" s="22"/>
      <c r="L67" s="22"/>
      <c r="M67" s="22"/>
      <c r="N67" s="22"/>
      <c r="O67" s="22"/>
      <c r="P67" s="22"/>
      <c r="Q67" s="22"/>
      <c r="R67" s="22"/>
      <c r="S67" s="22"/>
      <c r="T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row>
    <row r="68" spans="2:98">
      <c r="B68" s="22"/>
      <c r="C68" s="22"/>
      <c r="D68" s="22"/>
      <c r="E68" s="22"/>
      <c r="F68" s="22"/>
      <c r="G68" s="22"/>
      <c r="H68" s="22"/>
      <c r="I68" s="22"/>
      <c r="J68" s="22"/>
      <c r="K68" s="22"/>
      <c r="L68" s="22"/>
      <c r="M68" s="22"/>
      <c r="N68" s="22"/>
      <c r="O68" s="22"/>
      <c r="P68" s="22"/>
      <c r="Q68" s="22"/>
      <c r="R68" s="22"/>
      <c r="S68" s="22"/>
      <c r="T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row>
    <row r="69" spans="2:98">
      <c r="B69" s="22"/>
      <c r="C69" s="22"/>
      <c r="D69" s="22"/>
      <c r="E69" s="22"/>
      <c r="F69" s="22"/>
      <c r="G69" s="22"/>
      <c r="H69" s="22"/>
      <c r="I69" s="22"/>
      <c r="J69" s="22"/>
      <c r="K69" s="22"/>
      <c r="L69" s="22"/>
      <c r="M69" s="22"/>
      <c r="N69" s="22"/>
      <c r="O69" s="22"/>
      <c r="P69" s="22"/>
      <c r="Q69" s="22"/>
      <c r="R69" s="22"/>
      <c r="S69" s="22"/>
      <c r="T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row>
    <row r="70" spans="2:98">
      <c r="B70" s="22"/>
      <c r="C70" s="22"/>
      <c r="D70" s="22"/>
      <c r="E70" s="22"/>
      <c r="F70" s="22"/>
      <c r="G70" s="22"/>
      <c r="H70" s="22"/>
      <c r="I70" s="22"/>
      <c r="J70" s="22"/>
      <c r="K70" s="22"/>
      <c r="L70" s="22"/>
      <c r="M70" s="22"/>
      <c r="N70" s="22"/>
      <c r="O70" s="22"/>
      <c r="P70" s="22"/>
      <c r="Q70" s="22"/>
      <c r="R70" s="22"/>
      <c r="S70" s="22"/>
      <c r="T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row>
    <row r="71" spans="2:98">
      <c r="B71" s="22"/>
      <c r="C71" s="22"/>
      <c r="D71" s="22"/>
      <c r="E71" s="22"/>
      <c r="F71" s="22"/>
      <c r="G71" s="22"/>
      <c r="H71" s="22"/>
      <c r="I71" s="22"/>
      <c r="J71" s="22"/>
      <c r="K71" s="22"/>
      <c r="L71" s="22"/>
      <c r="M71" s="22"/>
      <c r="N71" s="22"/>
      <c r="O71" s="22"/>
      <c r="P71" s="22"/>
      <c r="Q71" s="22"/>
      <c r="R71" s="22"/>
      <c r="S71" s="22"/>
      <c r="T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row>
    <row r="72" spans="2:98">
      <c r="B72" s="22"/>
      <c r="C72" s="22"/>
      <c r="D72" s="22"/>
      <c r="E72" s="22"/>
      <c r="F72" s="22"/>
      <c r="G72" s="22"/>
      <c r="H72" s="22"/>
      <c r="I72" s="22"/>
      <c r="J72" s="22"/>
      <c r="K72" s="22"/>
      <c r="L72" s="22"/>
      <c r="M72" s="22"/>
      <c r="N72" s="22"/>
      <c r="O72" s="22"/>
      <c r="P72" s="22"/>
      <c r="Q72" s="22"/>
      <c r="R72" s="22"/>
      <c r="S72" s="22"/>
      <c r="T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row>
    <row r="73" spans="2:98">
      <c r="B73" s="22"/>
      <c r="C73" s="22"/>
      <c r="D73" s="22"/>
      <c r="E73" s="22"/>
      <c r="F73" s="22"/>
      <c r="G73" s="22"/>
      <c r="H73" s="22"/>
      <c r="I73" s="22"/>
      <c r="J73" s="22"/>
      <c r="K73" s="22"/>
      <c r="L73" s="22"/>
      <c r="M73" s="22"/>
      <c r="N73" s="22"/>
      <c r="O73" s="22"/>
      <c r="P73" s="22"/>
      <c r="Q73" s="22"/>
      <c r="R73" s="22"/>
      <c r="S73" s="22"/>
      <c r="T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row>
    <row r="74" spans="2:98">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row>
    <row r="75" spans="2:98">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row>
    <row r="76" spans="2:98">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row>
    <row r="77" spans="2:98">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c r="CJ77" s="22"/>
      <c r="CK77" s="22"/>
      <c r="CL77" s="22"/>
      <c r="CM77" s="22"/>
      <c r="CN77" s="22"/>
      <c r="CO77" s="22"/>
      <c r="CP77" s="22"/>
      <c r="CQ77" s="22"/>
      <c r="CR77" s="22"/>
      <c r="CS77" s="22"/>
      <c r="CT77" s="22"/>
    </row>
    <row r="78" spans="2:98">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c r="CO78" s="22"/>
      <c r="CP78" s="22"/>
      <c r="CQ78" s="22"/>
      <c r="CR78" s="22"/>
      <c r="CS78" s="22"/>
      <c r="CT78" s="22"/>
    </row>
    <row r="79" spans="2:98">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c r="CQ79" s="22"/>
      <c r="CR79" s="22"/>
      <c r="CS79" s="22"/>
      <c r="CT79" s="22"/>
    </row>
    <row r="80" spans="2:98">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c r="CO80" s="22"/>
      <c r="CP80" s="22"/>
      <c r="CQ80" s="22"/>
      <c r="CR80" s="22"/>
      <c r="CS80" s="22"/>
      <c r="CT80" s="22"/>
    </row>
    <row r="81" spans="60:98">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row>
    <row r="82" spans="60:98">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row>
    <row r="83" spans="60:98">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c r="CQ83" s="22"/>
      <c r="CR83" s="22"/>
      <c r="CS83" s="22"/>
      <c r="CT83" s="22"/>
    </row>
    <row r="84" spans="60:98">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c r="CO84" s="22"/>
      <c r="CP84" s="22"/>
      <c r="CQ84" s="22"/>
      <c r="CR84" s="22"/>
      <c r="CS84" s="22"/>
      <c r="CT84" s="22"/>
    </row>
    <row r="85" spans="60:98">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c r="CO85" s="22"/>
      <c r="CP85" s="22"/>
      <c r="CQ85" s="22"/>
      <c r="CR85" s="22"/>
      <c r="CS85" s="22"/>
      <c r="CT85" s="22"/>
    </row>
    <row r="86" spans="60:98">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c r="CQ86" s="22"/>
      <c r="CR86" s="22"/>
      <c r="CS86" s="22"/>
      <c r="CT86" s="22"/>
    </row>
    <row r="87" spans="60:98">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c r="CO87" s="22"/>
      <c r="CP87" s="22"/>
      <c r="CQ87" s="22"/>
      <c r="CR87" s="22"/>
      <c r="CS87" s="22"/>
      <c r="CT87" s="22"/>
    </row>
    <row r="88" spans="60:98">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c r="CQ88" s="22"/>
      <c r="CR88" s="22"/>
      <c r="CS88" s="22"/>
      <c r="CT88" s="22"/>
    </row>
    <row r="89" spans="60:98">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c r="CQ89" s="22"/>
      <c r="CR89" s="22"/>
      <c r="CS89" s="22"/>
      <c r="CT89" s="22"/>
    </row>
    <row r="90" spans="60:98">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c r="CQ90" s="22"/>
      <c r="CR90" s="22"/>
      <c r="CS90" s="22"/>
      <c r="CT90" s="22"/>
    </row>
  </sheetData>
  <pageMargins left="0.15748031496062992" right="0.15748031496062992" top="0.74803149606299213" bottom="0.74803149606299213" header="0.31496062992125984" footer="0.31496062992125984"/>
  <pageSetup paperSize="8" scale="200" orientation="landscape" r:id="rId1"/>
  <headerFooter>
    <oddFooter>&amp;L&amp;D  &amp;T&amp;R&amp;F  &amp;A</oddFooter>
  </headerFooter>
  <drawing r:id="rId2"/>
  <legacyDrawing r:id="rId3"/>
</worksheet>
</file>

<file path=xl/worksheets/sheet20.xml><?xml version="1.0" encoding="utf-8"?>
<worksheet xmlns="http://schemas.openxmlformats.org/spreadsheetml/2006/main" xmlns:r="http://schemas.openxmlformats.org/officeDocument/2006/relationships">
  <sheetPr codeName="Sheet30">
    <tabColor theme="9" tint="0.79998168889431442"/>
    <pageSetUpPr fitToPage="1"/>
  </sheetPr>
  <dimension ref="A1:Z858"/>
  <sheetViews>
    <sheetView zoomScaleNormal="100" workbookViewId="0"/>
  </sheetViews>
  <sheetFormatPr defaultRowHeight="15"/>
  <cols>
    <col min="1" max="2" width="4.140625" style="22" customWidth="1"/>
    <col min="3" max="3" width="47.5703125" style="22" customWidth="1"/>
    <col min="4" max="4" width="13.5703125" style="22" customWidth="1"/>
    <col min="5" max="5" width="10.5703125" style="22" customWidth="1"/>
    <col min="6" max="6" width="13.42578125" style="22" customWidth="1"/>
    <col min="7" max="7" width="10.42578125" style="22" customWidth="1"/>
    <col min="8" max="8" width="11.5703125" style="22" customWidth="1"/>
    <col min="9" max="9" width="10.28515625" style="22" customWidth="1"/>
    <col min="10" max="10" width="13.7109375" style="22" customWidth="1"/>
    <col min="11" max="11" width="11.28515625" style="22" customWidth="1"/>
    <col min="12" max="12" width="19.5703125" style="22" bestFit="1" customWidth="1"/>
    <col min="13" max="13" width="11.5703125" style="22" bestFit="1" customWidth="1"/>
    <col min="14" max="16384" width="9.140625" style="22"/>
  </cols>
  <sheetData>
    <row r="1" spans="1:16" ht="23.25">
      <c r="A1" s="27"/>
      <c r="C1" s="1" t="str">
        <f ca="1">OFFSET(Inputs_Anchor,0,G1+1)</f>
        <v xml:space="preserve">Wellington Electricity </v>
      </c>
      <c r="D1" s="1"/>
      <c r="E1" s="1"/>
      <c r="F1" s="4" t="s">
        <v>109</v>
      </c>
      <c r="G1" s="5">
        <v>16</v>
      </c>
      <c r="H1" s="1"/>
      <c r="I1" s="1"/>
      <c r="J1" s="1"/>
      <c r="K1" s="1"/>
      <c r="L1" s="1"/>
      <c r="M1" s="1"/>
      <c r="N1" s="1"/>
      <c r="O1" s="1"/>
      <c r="P1" s="1"/>
    </row>
    <row r="2" spans="1:16">
      <c r="A2" s="27"/>
      <c r="L2" s="26"/>
    </row>
    <row r="3" spans="1:16" ht="23.25">
      <c r="C3" s="1" t="s">
        <v>3</v>
      </c>
      <c r="D3" s="1"/>
      <c r="E3" s="1"/>
      <c r="F3" s="1"/>
      <c r="G3" s="1"/>
      <c r="H3" s="1"/>
      <c r="I3" s="1"/>
      <c r="J3" s="1"/>
      <c r="K3" s="1"/>
      <c r="L3" s="1"/>
      <c r="M3" s="1"/>
      <c r="N3" s="1"/>
      <c r="O3" s="1"/>
      <c r="P3" s="1"/>
    </row>
    <row r="4" spans="1:16">
      <c r="A4" s="27"/>
      <c r="B4" s="27"/>
      <c r="C4" s="27"/>
      <c r="D4" s="147" t="s">
        <v>57</v>
      </c>
      <c r="E4" s="147" t="s">
        <v>58</v>
      </c>
      <c r="F4" s="27"/>
      <c r="G4" s="27"/>
      <c r="H4" s="148" t="s">
        <v>5</v>
      </c>
      <c r="I4" s="27"/>
      <c r="J4" s="27"/>
      <c r="K4" s="27"/>
      <c r="L4" s="27"/>
    </row>
    <row r="5" spans="1:16">
      <c r="A5" s="30"/>
      <c r="B5" s="27"/>
      <c r="C5" s="27"/>
      <c r="D5" s="147" t="s">
        <v>56</v>
      </c>
      <c r="E5" s="147"/>
      <c r="F5" s="27"/>
      <c r="G5" s="27"/>
      <c r="H5" s="27"/>
      <c r="I5" s="27"/>
      <c r="J5" s="27"/>
      <c r="K5" s="27"/>
      <c r="L5" s="27"/>
    </row>
    <row r="6" spans="1:16">
      <c r="A6" s="119"/>
      <c r="B6" s="50"/>
      <c r="C6" s="99" t="s">
        <v>1</v>
      </c>
      <c r="D6" s="50"/>
      <c r="E6" s="99" t="str">
        <f>Inputs!D11</f>
        <v>2009/10</v>
      </c>
      <c r="F6" s="99" t="str">
        <f>Inputs!E11</f>
        <v>2010/11</v>
      </c>
      <c r="G6" s="99" t="str">
        <f>Inputs!F11</f>
        <v>2011/12</v>
      </c>
      <c r="H6" s="99" t="str">
        <f>Inputs!G11</f>
        <v>2012/13</v>
      </c>
      <c r="I6" s="99" t="str">
        <f>Inputs!H11</f>
        <v>2013/14</v>
      </c>
      <c r="J6" s="99" t="str">
        <f>Inputs!I11</f>
        <v>2014/15</v>
      </c>
      <c r="K6" s="99"/>
      <c r="L6" s="67"/>
    </row>
    <row r="7" spans="1:16">
      <c r="A7" s="119"/>
      <c r="B7" s="50"/>
      <c r="C7" s="50" t="s">
        <v>59</v>
      </c>
      <c r="D7" s="50"/>
      <c r="E7" s="125">
        <v>1</v>
      </c>
      <c r="F7" s="125">
        <v>2</v>
      </c>
      <c r="G7" s="125">
        <v>3</v>
      </c>
      <c r="H7" s="125">
        <v>4</v>
      </c>
      <c r="I7" s="125">
        <v>5</v>
      </c>
      <c r="J7" s="125">
        <v>6</v>
      </c>
      <c r="K7" s="125"/>
      <c r="L7" s="67"/>
    </row>
    <row r="8" spans="1:16">
      <c r="A8" s="119">
        <v>1</v>
      </c>
      <c r="B8" s="149"/>
      <c r="C8" s="50" t="str">
        <f>Inputs!B20</f>
        <v>Line Revenue through Prices</v>
      </c>
      <c r="D8" s="50"/>
      <c r="E8" s="47">
        <f t="shared" ref="E8:E27" si="0">INDEX(InputsBlock,A8+1,$G$1+2)</f>
        <v>147271.85386999999</v>
      </c>
      <c r="F8" s="50"/>
      <c r="G8" s="50"/>
      <c r="H8" s="50"/>
      <c r="I8" s="50"/>
      <c r="J8" s="50"/>
      <c r="K8" s="50"/>
      <c r="L8" s="27"/>
    </row>
    <row r="9" spans="1:16">
      <c r="A9" s="119">
        <f t="shared" ref="A9:A27" si="1">A8+1</f>
        <v>2</v>
      </c>
      <c r="B9" s="149"/>
      <c r="C9" s="50" t="str">
        <f>Inputs!B21</f>
        <v>Pass-through costs</v>
      </c>
      <c r="D9" s="50"/>
      <c r="E9" s="47">
        <f t="shared" si="0"/>
        <v>2284.5643799999998</v>
      </c>
      <c r="F9" s="50"/>
      <c r="G9" s="50"/>
      <c r="H9" s="50"/>
      <c r="I9" s="50"/>
      <c r="J9" s="50"/>
      <c r="K9" s="50"/>
      <c r="L9" s="27"/>
    </row>
    <row r="10" spans="1:16">
      <c r="A10" s="119">
        <f t="shared" si="1"/>
        <v>3</v>
      </c>
      <c r="B10" s="149"/>
      <c r="C10" s="50" t="str">
        <f>Inputs!B22</f>
        <v>Recoverable costs</v>
      </c>
      <c r="D10" s="50"/>
      <c r="E10" s="47">
        <f t="shared" si="0"/>
        <v>44486.802360000001</v>
      </c>
      <c r="F10" s="50"/>
      <c r="G10" s="50"/>
      <c r="H10" s="50"/>
      <c r="I10" s="50"/>
      <c r="J10" s="50"/>
      <c r="K10" s="50"/>
      <c r="L10" s="27"/>
    </row>
    <row r="11" spans="1:16">
      <c r="A11" s="119">
        <f t="shared" si="1"/>
        <v>4</v>
      </c>
      <c r="B11" s="149"/>
      <c r="C11" s="50" t="str">
        <f>Inputs!B23</f>
        <v>Opening RAB</v>
      </c>
      <c r="D11" s="50"/>
      <c r="E11" s="47">
        <f t="shared" si="0"/>
        <v>528459.48184932198</v>
      </c>
      <c r="F11" s="50"/>
      <c r="G11" s="50"/>
      <c r="H11" s="50"/>
      <c r="I11" s="50"/>
      <c r="J11" s="50"/>
      <c r="K11" s="50"/>
      <c r="L11" s="150"/>
    </row>
    <row r="12" spans="1:16">
      <c r="A12" s="119">
        <f t="shared" si="1"/>
        <v>5</v>
      </c>
      <c r="B12" s="149"/>
      <c r="C12" s="50" t="str">
        <f>Inputs!B24</f>
        <v>Lost assets</v>
      </c>
      <c r="D12" s="50"/>
      <c r="E12" s="47">
        <f t="shared" si="0"/>
        <v>0</v>
      </c>
      <c r="F12" s="50"/>
      <c r="G12" s="50"/>
      <c r="H12" s="50"/>
      <c r="I12" s="50"/>
      <c r="J12" s="50"/>
      <c r="K12" s="50"/>
      <c r="L12" s="150"/>
    </row>
    <row r="13" spans="1:16">
      <c r="A13" s="119">
        <f t="shared" si="1"/>
        <v>6</v>
      </c>
      <c r="B13" s="149"/>
      <c r="C13" s="50" t="str">
        <f>Inputs!B25</f>
        <v>Found Assets</v>
      </c>
      <c r="D13" s="50"/>
      <c r="E13" s="47">
        <f t="shared" si="0"/>
        <v>0</v>
      </c>
      <c r="F13" s="50"/>
      <c r="G13" s="50"/>
      <c r="H13" s="50"/>
      <c r="I13" s="50"/>
      <c r="J13" s="50"/>
      <c r="K13" s="50"/>
      <c r="L13" s="150"/>
    </row>
    <row r="14" spans="1:16">
      <c r="A14" s="119">
        <f t="shared" si="1"/>
        <v>7</v>
      </c>
      <c r="B14" s="149"/>
      <c r="C14" s="50" t="str">
        <f>Inputs!B26</f>
        <v>Total Depreciation</v>
      </c>
      <c r="D14" s="50"/>
      <c r="E14" s="47">
        <f t="shared" si="0"/>
        <v>25343.756747688079</v>
      </c>
      <c r="F14" s="47"/>
      <c r="G14" s="191" t="s">
        <v>280</v>
      </c>
      <c r="H14" s="50"/>
      <c r="I14" s="50"/>
      <c r="J14" s="50"/>
      <c r="K14" s="50"/>
      <c r="L14" s="27"/>
    </row>
    <row r="15" spans="1:16">
      <c r="A15" s="119">
        <f t="shared" si="1"/>
        <v>8</v>
      </c>
      <c r="B15" s="149"/>
      <c r="C15" s="50" t="str">
        <f>Inputs!B27</f>
        <v>RAB of disposed assets</v>
      </c>
      <c r="D15" s="50"/>
      <c r="E15" s="47">
        <f t="shared" si="0"/>
        <v>17</v>
      </c>
      <c r="F15" s="50"/>
      <c r="G15" s="175" t="s">
        <v>281</v>
      </c>
      <c r="H15" s="50"/>
      <c r="I15" s="50"/>
      <c r="J15" s="50"/>
      <c r="K15" s="50"/>
      <c r="L15" s="27"/>
    </row>
    <row r="16" spans="1:16">
      <c r="A16" s="119">
        <f t="shared" si="1"/>
        <v>9</v>
      </c>
      <c r="B16" s="149"/>
      <c r="C16" s="50" t="str">
        <f>Inputs!B28</f>
        <v>Discretionary discounts &amp;  rebates</v>
      </c>
      <c r="D16" s="50"/>
      <c r="E16" s="47">
        <f t="shared" si="0"/>
        <v>0</v>
      </c>
      <c r="F16" s="50"/>
      <c r="G16" s="175" t="s">
        <v>282</v>
      </c>
      <c r="H16" s="50"/>
      <c r="I16" s="50"/>
      <c r="J16" s="50"/>
      <c r="K16" s="50"/>
      <c r="L16" s="27"/>
    </row>
    <row r="17" spans="1:22">
      <c r="A17" s="119">
        <f t="shared" si="1"/>
        <v>10</v>
      </c>
      <c r="B17" s="149"/>
      <c r="C17" s="50" t="str">
        <f>Inputs!B29</f>
        <v>Tax Depreciation</v>
      </c>
      <c r="D17" s="50"/>
      <c r="E17" s="47">
        <f t="shared" si="0"/>
        <v>34488.45398000002</v>
      </c>
      <c r="F17" s="50"/>
      <c r="G17" s="175" t="s">
        <v>283</v>
      </c>
      <c r="H17" s="50"/>
      <c r="I17" s="50"/>
      <c r="J17" s="50"/>
      <c r="K17" s="50"/>
      <c r="L17" s="27"/>
    </row>
    <row r="18" spans="1:22">
      <c r="A18" s="119">
        <f t="shared" si="1"/>
        <v>11</v>
      </c>
      <c r="B18" s="149"/>
      <c r="C18" s="50" t="str">
        <f>Inputs!B30</f>
        <v>Opening regulatory tax asset value</v>
      </c>
      <c r="D18" s="50"/>
      <c r="E18" s="47">
        <f t="shared" si="0"/>
        <v>394459.92603999993</v>
      </c>
      <c r="F18" s="50"/>
      <c r="G18" s="50"/>
      <c r="H18" s="50"/>
      <c r="I18" s="50"/>
      <c r="J18" s="50"/>
      <c r="K18" s="50"/>
      <c r="L18" s="27"/>
    </row>
    <row r="19" spans="1:22">
      <c r="A19" s="119">
        <f t="shared" si="1"/>
        <v>12</v>
      </c>
      <c r="B19" s="149"/>
      <c r="C19" s="50" t="str">
        <f>Inputs!B31</f>
        <v>Weighted Average Remaining Life at year-end</v>
      </c>
      <c r="D19" s="50"/>
      <c r="E19" s="47">
        <f t="shared" si="0"/>
        <v>24</v>
      </c>
      <c r="F19" s="50"/>
      <c r="G19" s="50"/>
      <c r="H19" s="50"/>
      <c r="I19" s="50"/>
      <c r="J19" s="50"/>
      <c r="K19" s="50"/>
      <c r="L19" s="27"/>
    </row>
    <row r="20" spans="1:22">
      <c r="A20" s="119">
        <f t="shared" si="1"/>
        <v>13</v>
      </c>
      <c r="B20" s="149"/>
      <c r="C20" s="50" t="str">
        <f>Inputs!B32</f>
        <v>Term Credit Spread Differential Allowance</v>
      </c>
      <c r="D20" s="50"/>
      <c r="E20" s="47">
        <f t="shared" si="0"/>
        <v>0</v>
      </c>
      <c r="F20" s="50"/>
      <c r="G20" s="50"/>
      <c r="H20" s="50"/>
      <c r="I20" s="50"/>
      <c r="J20" s="50"/>
      <c r="K20" s="50"/>
      <c r="L20" s="27"/>
    </row>
    <row r="21" spans="1:22">
      <c r="A21" s="119">
        <f t="shared" si="1"/>
        <v>14</v>
      </c>
      <c r="B21" s="149"/>
      <c r="C21" s="50" t="s">
        <v>98</v>
      </c>
      <c r="D21" s="50"/>
      <c r="E21" s="47">
        <f t="shared" si="0"/>
        <v>34983.747447013942</v>
      </c>
      <c r="F21" s="50"/>
      <c r="G21" s="50"/>
      <c r="H21" s="50"/>
      <c r="I21" s="50"/>
      <c r="J21" s="50"/>
      <c r="K21" s="50"/>
      <c r="L21" s="27"/>
    </row>
    <row r="22" spans="1:22">
      <c r="A22" s="119">
        <f t="shared" si="1"/>
        <v>15</v>
      </c>
      <c r="B22" s="149"/>
      <c r="C22" s="50" t="str">
        <f>Inputs!B34</f>
        <v>Operating expenditure 2009/10</v>
      </c>
      <c r="D22" s="50"/>
      <c r="E22" s="47">
        <f t="shared" si="0"/>
        <v>28899.090320000003</v>
      </c>
      <c r="F22" s="50"/>
      <c r="G22" s="50"/>
      <c r="H22" s="50"/>
      <c r="I22" s="50"/>
      <c r="J22" s="50"/>
      <c r="K22" s="50"/>
      <c r="L22" s="27"/>
    </row>
    <row r="23" spans="1:22">
      <c r="A23" s="119">
        <f t="shared" si="1"/>
        <v>16</v>
      </c>
      <c r="B23" s="149"/>
      <c r="C23" s="50" t="str">
        <f>Inputs!B35</f>
        <v>Other reg income (avg of 2008 to 11, in 2009/10 $)</v>
      </c>
      <c r="D23" s="50"/>
      <c r="E23" s="47">
        <f t="shared" si="0"/>
        <v>438.91760055736785</v>
      </c>
      <c r="F23" s="50"/>
      <c r="G23" s="50"/>
      <c r="H23" s="50"/>
      <c r="I23" s="50"/>
      <c r="J23" s="50"/>
      <c r="K23" s="49"/>
      <c r="L23" s="27"/>
    </row>
    <row r="24" spans="1:22">
      <c r="A24" s="119">
        <f t="shared" si="1"/>
        <v>17</v>
      </c>
      <c r="B24" s="149"/>
      <c r="C24" s="119" t="str">
        <f>Inputs!B36</f>
        <v>Allowable notional revenue 2012/13</v>
      </c>
      <c r="D24" s="50"/>
      <c r="E24" s="47">
        <f t="shared" si="0"/>
        <v>101666.72121827664</v>
      </c>
      <c r="F24" s="50"/>
      <c r="G24" s="50"/>
      <c r="H24" s="50"/>
      <c r="I24" s="50"/>
      <c r="J24" s="50"/>
      <c r="K24" s="49"/>
      <c r="L24" s="27"/>
    </row>
    <row r="25" spans="1:22">
      <c r="A25" s="119">
        <f t="shared" si="1"/>
        <v>18</v>
      </c>
      <c r="B25" s="149"/>
      <c r="C25" s="119" t="str">
        <f>Inputs!B37</f>
        <v>Pass-through costs 2012/13</v>
      </c>
      <c r="D25" s="50"/>
      <c r="E25" s="47">
        <f t="shared" si="0"/>
        <v>60471.42490556003</v>
      </c>
      <c r="F25" s="50"/>
      <c r="G25" s="50"/>
      <c r="H25" s="50"/>
      <c r="I25" s="50"/>
      <c r="J25" s="50"/>
      <c r="K25" s="49"/>
      <c r="L25" s="27"/>
    </row>
    <row r="26" spans="1:22">
      <c r="A26" s="119">
        <f t="shared" si="1"/>
        <v>19</v>
      </c>
      <c r="B26" s="50"/>
      <c r="C26" s="50" t="str">
        <f>Inputs!B38</f>
        <v>Alternate X value to 2014/15</v>
      </c>
      <c r="D26" s="49"/>
      <c r="E26" s="151" t="str">
        <f t="shared" si="0"/>
        <v>IWX</v>
      </c>
      <c r="F26" s="50"/>
      <c r="G26" s="50"/>
      <c r="H26" s="50"/>
      <c r="I26" s="50"/>
      <c r="J26" s="50"/>
      <c r="K26" s="49"/>
      <c r="L26" s="27"/>
    </row>
    <row r="27" spans="1:22">
      <c r="A27" s="119">
        <f t="shared" si="1"/>
        <v>20</v>
      </c>
      <c r="B27" s="50"/>
      <c r="C27" s="50" t="str">
        <f>Inputs!B39</f>
        <v>Cap on growth of maximum allowable revenue</v>
      </c>
      <c r="D27" s="50"/>
      <c r="E27" s="151">
        <f t="shared" si="0"/>
        <v>0.2</v>
      </c>
      <c r="F27" s="50"/>
      <c r="G27" s="50"/>
      <c r="H27" s="50"/>
      <c r="I27" s="50"/>
      <c r="J27" s="50"/>
      <c r="K27" s="49"/>
      <c r="L27" s="27"/>
    </row>
    <row r="28" spans="1:22">
      <c r="A28" s="119"/>
      <c r="B28" s="149"/>
      <c r="C28" s="50" t="s">
        <v>30</v>
      </c>
      <c r="D28" s="50"/>
      <c r="E28" s="130">
        <f>E22</f>
        <v>28899.090320000003</v>
      </c>
      <c r="F28" s="47">
        <f>INDEX(OpexBlock,F7-1,$G$1)</f>
        <v>29784.184265820113</v>
      </c>
      <c r="G28" s="47">
        <f>INDEX(OpexBlock,G7-1,$G$1)</f>
        <v>31122.747965808729</v>
      </c>
      <c r="H28" s="47">
        <f>INDEX(OpexBlock,H7-1,$G$1)</f>
        <v>32063.422081938686</v>
      </c>
      <c r="I28" s="47">
        <f>INDEX(OpexBlock,I7-1,$G$1)</f>
        <v>33134.124940637004</v>
      </c>
      <c r="J28" s="47">
        <f>INDEX(OpexBlock,J7-1,$G$1)</f>
        <v>34366.100457660774</v>
      </c>
      <c r="K28" s="49"/>
      <c r="L28" s="50"/>
      <c r="M28" s="15"/>
    </row>
    <row r="29" spans="1:22">
      <c r="A29" s="119"/>
      <c r="B29" s="149"/>
      <c r="C29" s="50" t="s">
        <v>158</v>
      </c>
      <c r="D29" s="47"/>
      <c r="E29" s="130">
        <f>E21</f>
        <v>34983.747447013942</v>
      </c>
      <c r="F29" s="47">
        <f>INDEX(CommAssetsBlock,F7-1,$G$1)</f>
        <v>28280.380597409297</v>
      </c>
      <c r="G29" s="47">
        <f>INDEX(CommAssetsBlock,G7-1,$G$1)</f>
        <v>31549.758588266071</v>
      </c>
      <c r="H29" s="47">
        <f>INDEX(CommAssetsBlock,H7-1,$G$1)</f>
        <v>34608.069409814809</v>
      </c>
      <c r="I29" s="47">
        <f>INDEX(CommAssetsBlock,I7-1,$G$1)</f>
        <v>35230.733512882674</v>
      </c>
      <c r="J29" s="47">
        <f>INDEX(CommAssetsBlock,J7-1,$G$1)</f>
        <v>37062.472177288699</v>
      </c>
      <c r="K29" s="49"/>
      <c r="L29" s="50"/>
      <c r="M29" s="15"/>
    </row>
    <row r="30" spans="1:22">
      <c r="A30" s="119"/>
      <c r="B30" s="149"/>
      <c r="C30" s="50" t="s">
        <v>200</v>
      </c>
      <c r="D30" s="47"/>
      <c r="E30" s="49"/>
      <c r="F30" s="110">
        <f>INDEX(ConstPriceRevGrwth,F$7-1,$G$1)</f>
        <v>8.090127732655595E-3</v>
      </c>
      <c r="G30" s="110">
        <f>INDEX(ConstPriceRevGrwth,G$7-1,$G$1)</f>
        <v>8.090127732655595E-3</v>
      </c>
      <c r="H30" s="110">
        <f>INDEX(ConstPriceRevGrwth,H$7-1,$G$1)</f>
        <v>8.090127732655595E-3</v>
      </c>
      <c r="I30" s="110">
        <f>INDEX(ConstPriceRevGrwth,I$7-1,$G$1)</f>
        <v>8.090127732655595E-3</v>
      </c>
      <c r="J30" s="110">
        <f>INDEX(ConstPriceRevGrwth,J$7-1,$G$1)</f>
        <v>8.090127732655595E-3</v>
      </c>
      <c r="K30" s="49"/>
      <c r="L30" s="50"/>
      <c r="M30" s="15"/>
      <c r="U30" s="15"/>
      <c r="V30" s="15"/>
    </row>
    <row r="31" spans="1:22" ht="15.75" thickBot="1">
      <c r="A31" s="119"/>
      <c r="B31" s="149"/>
      <c r="C31" s="50"/>
      <c r="D31" s="47"/>
      <c r="E31" s="49"/>
      <c r="F31" s="50"/>
      <c r="G31" s="49"/>
      <c r="H31" s="49"/>
      <c r="I31" s="49"/>
      <c r="J31" s="49"/>
      <c r="K31" s="49"/>
      <c r="L31" s="27"/>
      <c r="M31" s="15"/>
      <c r="U31" s="15"/>
      <c r="V31" s="15"/>
    </row>
    <row r="32" spans="1:22" ht="16.5" thickBot="1">
      <c r="A32" s="119"/>
      <c r="B32" s="149"/>
      <c r="C32" s="121" t="s">
        <v>182</v>
      </c>
      <c r="D32" s="47"/>
      <c r="E32" s="49"/>
      <c r="F32" s="50"/>
      <c r="G32" s="49"/>
      <c r="H32" s="49"/>
      <c r="I32" s="49"/>
      <c r="J32" s="49"/>
      <c r="K32" s="49"/>
      <c r="L32" s="195" t="s">
        <v>322</v>
      </c>
      <c r="M32" s="111"/>
      <c r="N32" s="34"/>
      <c r="O32" s="34"/>
      <c r="P32" s="34"/>
      <c r="Q32" s="34"/>
      <c r="R32" s="34"/>
      <c r="S32" s="34"/>
      <c r="T32" s="34"/>
      <c r="U32" s="34"/>
      <c r="V32" s="35"/>
    </row>
    <row r="33" spans="1:26">
      <c r="A33" s="119"/>
      <c r="B33" s="149"/>
      <c r="C33" s="122" t="str">
        <f>Inputs!B13</f>
        <v>2009 ΔCPI, 2 index, no lag, no GST adjustment</v>
      </c>
      <c r="D33" s="47"/>
      <c r="E33" s="49">
        <f>Inputs!D13</f>
        <v>1.7233850022212005E-2</v>
      </c>
      <c r="F33" s="49">
        <f>Inputs!E13</f>
        <v>1.9812209526758329E-2</v>
      </c>
      <c r="G33" s="49">
        <f>Inputs!F13</f>
        <v>2.4339880629970168E-2</v>
      </c>
      <c r="H33" s="49">
        <f>Inputs!G13</f>
        <v>2.2893253753313525E-2</v>
      </c>
      <c r="I33" s="49">
        <f>Inputs!H13</f>
        <v>2.144662687665666E-2</v>
      </c>
      <c r="J33" s="49">
        <f>Inputs!I13</f>
        <v>2.0000000000000018E-2</v>
      </c>
      <c r="K33" s="50"/>
      <c r="L33" s="196" t="s">
        <v>194</v>
      </c>
      <c r="M33" s="50"/>
      <c r="N33" s="15"/>
      <c r="O33" s="15"/>
      <c r="P33" s="15"/>
      <c r="Q33" s="15"/>
      <c r="R33" s="15"/>
      <c r="S33" s="15"/>
      <c r="T33" s="15"/>
      <c r="U33" s="15"/>
      <c r="V33" s="29"/>
    </row>
    <row r="34" spans="1:26">
      <c r="A34" s="119"/>
      <c r="B34" s="149"/>
      <c r="C34" s="122" t="str">
        <f>Inputs!B14</f>
        <v>2012 ΔCPI, 2 index, no lag, no GST adjustment</v>
      </c>
      <c r="D34" s="47"/>
      <c r="E34" s="49"/>
      <c r="F34" s="49">
        <f>Inputs!E14</f>
        <v>4.4667274384685429E-2</v>
      </c>
      <c r="G34" s="49">
        <f>Inputs!F14</f>
        <v>1.5706806282722585E-2</v>
      </c>
      <c r="H34" s="49">
        <f>Inputs!G14</f>
        <v>1.8041237113401998E-2</v>
      </c>
      <c r="I34" s="49">
        <f>Inputs!H14</f>
        <v>1.7721518987341867E-2</v>
      </c>
      <c r="J34" s="49">
        <f>Inputs!I14</f>
        <v>2.3217247097844007E-2</v>
      </c>
      <c r="K34" s="50"/>
      <c r="L34" s="196" t="s">
        <v>320</v>
      </c>
      <c r="M34" s="50"/>
      <c r="N34" s="15"/>
      <c r="O34" s="15"/>
      <c r="P34" s="15"/>
      <c r="Q34" s="15"/>
      <c r="R34" s="15"/>
      <c r="S34" s="15"/>
      <c r="T34" s="15"/>
      <c r="U34" s="15"/>
      <c r="V34" s="29"/>
    </row>
    <row r="35" spans="1:26">
      <c r="A35" s="119"/>
      <c r="B35" s="149"/>
      <c r="C35" s="122" t="str">
        <f>Inputs!B15</f>
        <v>2009 ΔCPI, 8 index, lagged, no GST adjustment</v>
      </c>
      <c r="D35" s="47"/>
      <c r="E35" s="49"/>
      <c r="F35" s="49"/>
      <c r="G35" s="49">
        <f>Inputs!F15</f>
        <v>1.6991832174541255E-2</v>
      </c>
      <c r="H35" s="49">
        <f>Inputs!G15</f>
        <v>2.0741514169093644E-2</v>
      </c>
      <c r="I35" s="49">
        <f>Inputs!H15</f>
        <v>2.3759818812291389E-2</v>
      </c>
      <c r="J35" s="49">
        <f>Inputs!I15</f>
        <v>2.2164443909808984E-2</v>
      </c>
      <c r="K35" s="50"/>
      <c r="L35" s="196" t="s">
        <v>321</v>
      </c>
      <c r="M35" s="50"/>
      <c r="N35" s="15"/>
      <c r="O35" s="15"/>
      <c r="P35" s="15"/>
      <c r="Q35" s="15"/>
      <c r="R35" s="15"/>
      <c r="S35" s="15"/>
      <c r="T35" s="15"/>
      <c r="U35" s="15"/>
      <c r="V35" s="29"/>
    </row>
    <row r="36" spans="1:26">
      <c r="A36" s="149"/>
      <c r="B36" s="149"/>
      <c r="C36" s="122" t="str">
        <f>Inputs!B16</f>
        <v>2012 ΔCPI, 8 index, lagged, no GST adjustment</v>
      </c>
      <c r="D36" s="50"/>
      <c r="E36" s="49"/>
      <c r="F36" s="49">
        <f>Inputs!E16</f>
        <v>2.465039108793543E-2</v>
      </c>
      <c r="G36" s="49">
        <f>Inputs!F16</f>
        <v>1.7811704834605591E-2</v>
      </c>
      <c r="H36" s="49">
        <f>Inputs!G16</f>
        <v>4.5909090909090899E-2</v>
      </c>
      <c r="I36" s="49">
        <f>Inputs!H16</f>
        <v>1.2820512820512775E-2</v>
      </c>
      <c r="J36" s="49">
        <f>Inputs!I16</f>
        <v>1.9725095732576747E-2</v>
      </c>
      <c r="K36" s="50"/>
      <c r="L36" s="196" t="s">
        <v>365</v>
      </c>
      <c r="M36" s="50"/>
      <c r="N36" s="15"/>
      <c r="O36" s="15"/>
      <c r="P36" s="15"/>
      <c r="Q36" s="15"/>
      <c r="R36" s="15"/>
      <c r="S36" s="15"/>
      <c r="T36" s="15"/>
      <c r="U36" s="15"/>
      <c r="V36" s="29"/>
    </row>
    <row r="37" spans="1:26" ht="15.75" thickBot="1">
      <c r="A37" s="149"/>
      <c r="B37" s="149"/>
      <c r="C37" s="122" t="str">
        <f>Inputs!B17</f>
        <v>2012 ΔCPI, 8 index, lagged, with GST adjustment</v>
      </c>
      <c r="D37" s="50"/>
      <c r="E37" s="49"/>
      <c r="F37" s="112">
        <f>Inputs!E17</f>
        <v>2.4650391087935652E-2</v>
      </c>
      <c r="G37" s="112">
        <f>Inputs!F17</f>
        <v>1.7811704834605369E-2</v>
      </c>
      <c r="H37" s="112">
        <f>Inputs!G17</f>
        <v>2.5401069518716568E-2</v>
      </c>
      <c r="I37" s="49">
        <f>Inputs!H17</f>
        <v>1.2820512820512775E-2</v>
      </c>
      <c r="J37" s="49">
        <f>Inputs!I17</f>
        <v>1.9725095732576747E-2</v>
      </c>
      <c r="K37" s="50"/>
      <c r="L37" s="219" t="s">
        <v>409</v>
      </c>
      <c r="M37" s="220"/>
      <c r="N37" s="220"/>
      <c r="O37" s="220"/>
      <c r="P37" s="220"/>
      <c r="Q37" s="220"/>
      <c r="R37" s="220"/>
      <c r="S37" s="220"/>
      <c r="T37" s="220"/>
      <c r="U37" s="220"/>
      <c r="V37" s="221"/>
    </row>
    <row r="38" spans="1:26">
      <c r="A38" s="149"/>
      <c r="B38" s="149"/>
      <c r="C38" s="122"/>
      <c r="D38" s="50"/>
      <c r="E38" s="49"/>
      <c r="F38" s="112"/>
      <c r="G38" s="112"/>
      <c r="H38" s="112"/>
      <c r="I38" s="49"/>
      <c r="J38" s="49"/>
      <c r="K38" s="49"/>
      <c r="L38" s="49"/>
      <c r="M38" s="49"/>
      <c r="N38" s="49"/>
      <c r="O38" s="49"/>
      <c r="P38" s="49"/>
      <c r="Q38" s="49"/>
      <c r="R38" s="49"/>
      <c r="S38" s="49"/>
      <c r="T38" s="49"/>
      <c r="U38" s="49"/>
      <c r="V38" s="49"/>
      <c r="W38" s="49"/>
      <c r="X38" s="49"/>
      <c r="Y38" s="49"/>
      <c r="Z38" s="49"/>
    </row>
    <row r="39" spans="1:26" ht="23.25">
      <c r="A39" s="50"/>
      <c r="B39" s="50"/>
      <c r="C39" s="1" t="s">
        <v>4</v>
      </c>
      <c r="D39" s="153" t="s">
        <v>36</v>
      </c>
      <c r="E39" s="153" t="s">
        <v>35</v>
      </c>
      <c r="F39" s="152"/>
      <c r="G39" s="152"/>
      <c r="H39" s="152"/>
      <c r="I39" s="152"/>
      <c r="J39" s="152"/>
      <c r="K39" s="152"/>
      <c r="L39" s="152"/>
      <c r="M39" s="152"/>
      <c r="N39" s="194"/>
      <c r="O39" s="194"/>
      <c r="P39" s="194"/>
    </row>
    <row r="40" spans="1:26">
      <c r="A40" s="50"/>
      <c r="B40" s="50"/>
      <c r="C40" s="50"/>
      <c r="D40" s="50"/>
      <c r="E40" s="154" t="s">
        <v>183</v>
      </c>
      <c r="F40" s="154" t="s">
        <v>184</v>
      </c>
      <c r="G40" s="154" t="s">
        <v>185</v>
      </c>
      <c r="H40" s="154" t="s">
        <v>186</v>
      </c>
      <c r="I40" s="154" t="s">
        <v>187</v>
      </c>
      <c r="J40" s="154" t="s">
        <v>188</v>
      </c>
      <c r="K40" s="154"/>
      <c r="L40" s="154"/>
      <c r="M40" s="48"/>
    </row>
    <row r="41" spans="1:26">
      <c r="A41" s="50"/>
      <c r="B41" s="50"/>
      <c r="C41" s="50" t="s">
        <v>129</v>
      </c>
      <c r="D41" s="50"/>
      <c r="E41" s="49">
        <f t="shared" ref="E41:J41" si="2">E33</f>
        <v>1.7233850022212005E-2</v>
      </c>
      <c r="F41" s="49">
        <f t="shared" si="2"/>
        <v>1.9812209526758329E-2</v>
      </c>
      <c r="G41" s="49">
        <f t="shared" si="2"/>
        <v>2.4339880629970168E-2</v>
      </c>
      <c r="H41" s="49">
        <f t="shared" si="2"/>
        <v>2.2893253753313525E-2</v>
      </c>
      <c r="I41" s="49">
        <f t="shared" si="2"/>
        <v>2.144662687665666E-2</v>
      </c>
      <c r="J41" s="49">
        <f t="shared" si="2"/>
        <v>2.0000000000000018E-2</v>
      </c>
      <c r="K41" s="51"/>
      <c r="L41" s="47"/>
      <c r="M41" s="15"/>
    </row>
    <row r="42" spans="1:26">
      <c r="A42" s="50"/>
      <c r="B42" s="50"/>
      <c r="C42" s="50" t="s">
        <v>163</v>
      </c>
      <c r="D42" s="50"/>
      <c r="E42" s="49"/>
      <c r="F42" s="49">
        <f>F34</f>
        <v>4.4667274384685429E-2</v>
      </c>
      <c r="G42" s="49">
        <f>G34</f>
        <v>1.5706806282722585E-2</v>
      </c>
      <c r="H42" s="49">
        <f>H34</f>
        <v>1.8041237113401998E-2</v>
      </c>
      <c r="I42" s="49">
        <f>I34</f>
        <v>1.7721518987341867E-2</v>
      </c>
      <c r="J42" s="49">
        <f>J34</f>
        <v>2.3217247097844007E-2</v>
      </c>
      <c r="K42" s="51"/>
      <c r="L42" s="47"/>
      <c r="M42" s="15"/>
    </row>
    <row r="43" spans="1:26">
      <c r="A43" s="50"/>
      <c r="B43" s="50"/>
      <c r="C43" s="50" t="s">
        <v>122</v>
      </c>
      <c r="D43" s="50"/>
      <c r="E43" s="130">
        <f>E23</f>
        <v>438.91760055736785</v>
      </c>
      <c r="F43" s="47">
        <f>E43*(1+F42)</f>
        <v>458.52285345373156</v>
      </c>
      <c r="G43" s="47">
        <f>F43*(1+G42)</f>
        <v>465.72478308913054</v>
      </c>
      <c r="H43" s="47">
        <f>G43*(1+H42)</f>
        <v>474.12703433042924</v>
      </c>
      <c r="I43" s="47">
        <f>H43*(1+I42)</f>
        <v>482.52928557172805</v>
      </c>
      <c r="J43" s="47">
        <f>I43*(1+J42)</f>
        <v>493.73228722679301</v>
      </c>
      <c r="K43" s="50"/>
      <c r="L43" s="47"/>
      <c r="M43" s="15"/>
    </row>
    <row r="44" spans="1:26">
      <c r="A44" s="50"/>
      <c r="B44" s="50"/>
      <c r="C44" s="50"/>
      <c r="D44" s="50"/>
      <c r="E44" s="51"/>
      <c r="F44" s="51"/>
      <c r="G44" s="51"/>
      <c r="H44" s="51"/>
      <c r="I44" s="51"/>
      <c r="J44" s="51"/>
      <c r="K44" s="51"/>
      <c r="L44" s="27"/>
      <c r="M44" s="15"/>
    </row>
    <row r="45" spans="1:26" ht="21">
      <c r="A45" s="50"/>
      <c r="B45" s="50"/>
      <c r="C45" s="155" t="s">
        <v>69</v>
      </c>
      <c r="D45" s="50"/>
      <c r="E45" s="50"/>
      <c r="F45" s="51"/>
      <c r="G45" s="51"/>
      <c r="H45" s="51"/>
      <c r="I45" s="51"/>
      <c r="J45" s="51"/>
      <c r="K45" s="51"/>
      <c r="L45" s="27"/>
      <c r="M45" s="15"/>
    </row>
    <row r="46" spans="1:26" ht="18">
      <c r="A46" s="50"/>
      <c r="B46" s="50"/>
      <c r="C46" s="50" t="s">
        <v>70</v>
      </c>
      <c r="D46" s="156">
        <f>'Timing Assumptions'!C23</f>
        <v>1.0428084742793051</v>
      </c>
      <c r="E46" s="50"/>
      <c r="F46" s="51"/>
      <c r="G46" s="51"/>
      <c r="H46" s="51"/>
      <c r="I46" s="51"/>
      <c r="J46" s="51"/>
      <c r="K46" s="51"/>
      <c r="L46" s="51"/>
      <c r="M46" s="15"/>
    </row>
    <row r="47" spans="1:26" ht="18">
      <c r="A47" s="50"/>
      <c r="B47" s="50"/>
      <c r="C47" s="50" t="s">
        <v>71</v>
      </c>
      <c r="D47" s="156">
        <f>'Timing Assumptions'!C24</f>
        <v>1.0428084742793051</v>
      </c>
      <c r="E47" s="50"/>
      <c r="F47" s="51"/>
      <c r="G47" s="51"/>
      <c r="H47" s="51"/>
      <c r="I47" s="51"/>
      <c r="J47" s="51"/>
      <c r="K47" s="51"/>
      <c r="L47" s="51"/>
      <c r="M47" s="15"/>
    </row>
    <row r="48" spans="1:26" ht="18">
      <c r="A48" s="50"/>
      <c r="B48" s="50"/>
      <c r="C48" s="50" t="s">
        <v>125</v>
      </c>
      <c r="D48" s="156">
        <f>'Timing Assumptions'!C25</f>
        <v>1.0428084742793051</v>
      </c>
      <c r="E48" s="50"/>
      <c r="F48" s="50"/>
      <c r="G48" s="51"/>
      <c r="H48" s="51"/>
      <c r="I48" s="51"/>
      <c r="J48" s="51"/>
      <c r="K48" s="95"/>
      <c r="L48" s="51"/>
      <c r="M48" s="15"/>
    </row>
    <row r="49" spans="1:16" ht="18">
      <c r="A49" s="50"/>
      <c r="B49" s="50"/>
      <c r="C49" s="50" t="s">
        <v>123</v>
      </c>
      <c r="D49" s="156">
        <f>'Timing Assumptions'!C26</f>
        <v>1.0428084742793051</v>
      </c>
      <c r="E49" s="50"/>
      <c r="F49" s="50"/>
      <c r="G49" s="51"/>
      <c r="H49" s="51"/>
      <c r="I49" s="51"/>
      <c r="J49" s="51"/>
      <c r="K49" s="95"/>
      <c r="L49" s="51"/>
      <c r="M49" s="15"/>
    </row>
    <row r="50" spans="1:16" ht="18">
      <c r="A50" s="50"/>
      <c r="B50" s="50"/>
      <c r="C50" s="50" t="s">
        <v>72</v>
      </c>
      <c r="D50" s="156">
        <f>'Timing Assumptions'!C27</f>
        <v>1.0346743941931567</v>
      </c>
      <c r="E50" s="51"/>
      <c r="F50" s="51"/>
      <c r="G50" s="51"/>
      <c r="H50" s="51"/>
      <c r="I50" s="50"/>
      <c r="J50" s="50"/>
      <c r="K50" s="95"/>
      <c r="L50" s="51"/>
      <c r="M50" s="15"/>
    </row>
    <row r="51" spans="1:16">
      <c r="A51" s="50"/>
      <c r="B51" s="50"/>
      <c r="C51" s="50"/>
      <c r="D51" s="50"/>
      <c r="E51" s="50"/>
      <c r="F51" s="50"/>
      <c r="G51" s="50"/>
      <c r="H51" s="50"/>
      <c r="I51" s="50"/>
      <c r="J51" s="50"/>
      <c r="K51" s="95"/>
      <c r="L51" s="27"/>
      <c r="M51" s="15"/>
    </row>
    <row r="52" spans="1:16" ht="21">
      <c r="A52" s="50"/>
      <c r="B52" s="50"/>
      <c r="C52" s="155" t="s">
        <v>105</v>
      </c>
      <c r="D52" s="155"/>
      <c r="E52" s="155"/>
      <c r="F52" s="155"/>
      <c r="G52" s="155"/>
      <c r="H52" s="155"/>
      <c r="I52" s="155"/>
      <c r="J52" s="155"/>
      <c r="K52" s="155"/>
      <c r="L52" s="157"/>
      <c r="M52" s="52"/>
      <c r="N52" s="2"/>
      <c r="O52" s="2"/>
      <c r="P52" s="2"/>
    </row>
    <row r="53" spans="1:16" ht="15.75">
      <c r="A53" s="50"/>
      <c r="B53" s="50"/>
      <c r="C53" s="158" t="s">
        <v>37</v>
      </c>
      <c r="D53" s="50"/>
      <c r="E53" s="159">
        <f>Inputs!D12</f>
        <v>0.3</v>
      </c>
      <c r="F53" s="159">
        <f>Inputs!E12</f>
        <v>0.3</v>
      </c>
      <c r="G53" s="159">
        <f>Inputs!F12</f>
        <v>0.28000000000000003</v>
      </c>
      <c r="H53" s="159">
        <f>Inputs!G12</f>
        <v>0.28000000000000003</v>
      </c>
      <c r="I53" s="159">
        <f>Inputs!H12</f>
        <v>0.28000000000000003</v>
      </c>
      <c r="J53" s="159">
        <f>Inputs!I12</f>
        <v>0.28000000000000003</v>
      </c>
      <c r="K53" s="95"/>
      <c r="L53" s="50"/>
      <c r="M53" s="15"/>
    </row>
    <row r="54" spans="1:16">
      <c r="A54" s="50"/>
      <c r="B54" s="50"/>
      <c r="C54" s="50" t="s">
        <v>38</v>
      </c>
      <c r="D54" s="50"/>
      <c r="E54" s="160">
        <f>E11/E14</f>
        <v>20.851663275908351</v>
      </c>
      <c r="F54" s="161">
        <f>E54-1</f>
        <v>19.851663275908351</v>
      </c>
      <c r="G54" s="161">
        <f>F54-1</f>
        <v>18.851663275908351</v>
      </c>
      <c r="H54" s="161">
        <f>G54-1</f>
        <v>17.851663275908351</v>
      </c>
      <c r="I54" s="161">
        <f>H54-1</f>
        <v>16.851663275908351</v>
      </c>
      <c r="J54" s="161">
        <f>I54-1</f>
        <v>15.851663275908351</v>
      </c>
      <c r="K54" s="95"/>
      <c r="L54" s="50"/>
      <c r="M54" s="15"/>
    </row>
    <row r="55" spans="1:16">
      <c r="A55" s="50"/>
      <c r="B55" s="50"/>
      <c r="C55" s="50" t="s">
        <v>159</v>
      </c>
      <c r="D55" s="50"/>
      <c r="E55" s="156"/>
      <c r="F55" s="49">
        <f>F34</f>
        <v>4.4667274384685429E-2</v>
      </c>
      <c r="G55" s="49">
        <f>G34</f>
        <v>1.5706806282722585E-2</v>
      </c>
      <c r="H55" s="49">
        <f>H34</f>
        <v>1.8041237113401998E-2</v>
      </c>
      <c r="I55" s="49">
        <f>I34</f>
        <v>1.7721518987341867E-2</v>
      </c>
      <c r="J55" s="49">
        <f>J34</f>
        <v>2.3217247097844007E-2</v>
      </c>
      <c r="K55" s="95"/>
      <c r="L55" s="50"/>
      <c r="M55" s="15"/>
    </row>
    <row r="56" spans="1:16">
      <c r="A56" s="50"/>
      <c r="B56" s="50"/>
      <c r="C56" s="50" t="s">
        <v>40</v>
      </c>
      <c r="D56" s="50"/>
      <c r="E56" s="129">
        <f>E15</f>
        <v>17</v>
      </c>
      <c r="F56" s="32">
        <f>E56*(1+F55)</f>
        <v>17.759343664539653</v>
      </c>
      <c r="G56" s="32">
        <f>F56*(1+G55)</f>
        <v>18.038286235186874</v>
      </c>
      <c r="H56" s="32">
        <f>G56*(1+H55)</f>
        <v>18.363719234275294</v>
      </c>
      <c r="I56" s="32">
        <f>H56*(1+I55)</f>
        <v>18.689152233363718</v>
      </c>
      <c r="J56" s="32">
        <f>I56*(1+J55)</f>
        <v>19.123062898814947</v>
      </c>
      <c r="K56" s="95"/>
      <c r="L56" s="50"/>
      <c r="M56" s="15"/>
    </row>
    <row r="57" spans="1:16">
      <c r="A57" s="50"/>
      <c r="B57" s="50"/>
      <c r="C57" s="50"/>
      <c r="D57" s="122"/>
      <c r="E57" s="50"/>
      <c r="F57" s="50"/>
      <c r="G57" s="50"/>
      <c r="H57" s="50"/>
      <c r="I57" s="50"/>
      <c r="J57" s="50"/>
      <c r="K57" s="95"/>
      <c r="L57" s="27"/>
      <c r="M57" s="15"/>
    </row>
    <row r="58" spans="1:16" ht="15.75">
      <c r="A58" s="50"/>
      <c r="B58" s="50"/>
      <c r="C58" s="162" t="s">
        <v>89</v>
      </c>
      <c r="D58" s="32"/>
      <c r="E58" s="163" t="str">
        <f>Inputs!D11</f>
        <v>2009/10</v>
      </c>
      <c r="F58" s="163" t="str">
        <f>Inputs!E11</f>
        <v>2010/11</v>
      </c>
      <c r="G58" s="163" t="str">
        <f>Inputs!F11</f>
        <v>2011/12</v>
      </c>
      <c r="H58" s="163" t="str">
        <f>Inputs!G11</f>
        <v>2012/13</v>
      </c>
      <c r="I58" s="163" t="str">
        <f>Inputs!H11</f>
        <v>2013/14</v>
      </c>
      <c r="J58" s="163" t="str">
        <f>Inputs!I11</f>
        <v>2014/15</v>
      </c>
      <c r="K58" s="95"/>
      <c r="L58" s="27"/>
      <c r="M58" s="15"/>
    </row>
    <row r="59" spans="1:16">
      <c r="A59" s="50"/>
      <c r="B59" s="50"/>
      <c r="C59" s="50" t="s">
        <v>110</v>
      </c>
      <c r="D59" s="50"/>
      <c r="E59" s="129">
        <f>E11</f>
        <v>528459.48184932198</v>
      </c>
      <c r="F59" s="32">
        <f>E65</f>
        <v>512196.71618773765</v>
      </c>
      <c r="G59" s="32">
        <f>F65</f>
        <v>496515.00682678289</v>
      </c>
      <c r="H59" s="32">
        <f>G65</f>
        <v>482231.56570487254</v>
      </c>
      <c r="I59" s="32">
        <f>H65</f>
        <v>466228.33445803361</v>
      </c>
      <c r="J59" s="32">
        <f>I65</f>
        <v>448531.6642243719</v>
      </c>
      <c r="K59" s="95"/>
      <c r="L59" s="50"/>
      <c r="M59" s="15"/>
    </row>
    <row r="60" spans="1:16">
      <c r="A60" s="50"/>
      <c r="B60" s="50"/>
      <c r="C60" s="50" t="s">
        <v>40</v>
      </c>
      <c r="D60" s="32"/>
      <c r="E60" s="32">
        <f t="shared" ref="E60:J60" si="3">E56</f>
        <v>17</v>
      </c>
      <c r="F60" s="32">
        <f t="shared" si="3"/>
        <v>17.759343664539653</v>
      </c>
      <c r="G60" s="32">
        <f t="shared" si="3"/>
        <v>18.038286235186874</v>
      </c>
      <c r="H60" s="32">
        <f t="shared" si="3"/>
        <v>18.363719234275294</v>
      </c>
      <c r="I60" s="32">
        <f t="shared" si="3"/>
        <v>18.689152233363718</v>
      </c>
      <c r="J60" s="32">
        <f t="shared" si="3"/>
        <v>19.123062898814947</v>
      </c>
      <c r="K60" s="95"/>
      <c r="L60" s="50"/>
      <c r="M60" s="15"/>
    </row>
    <row r="61" spans="1:16">
      <c r="A61" s="50"/>
      <c r="B61" s="50"/>
      <c r="C61" s="50" t="s">
        <v>312</v>
      </c>
      <c r="D61" s="32"/>
      <c r="E61" s="32">
        <f>Wel!E12</f>
        <v>0</v>
      </c>
      <c r="F61" s="95"/>
      <c r="G61" s="95"/>
      <c r="H61" s="95"/>
      <c r="I61" s="95"/>
      <c r="J61" s="95"/>
      <c r="K61" s="95"/>
      <c r="L61" s="50"/>
      <c r="M61" s="15"/>
    </row>
    <row r="62" spans="1:16">
      <c r="A62" s="50"/>
      <c r="B62" s="50"/>
      <c r="C62" s="50" t="s">
        <v>313</v>
      </c>
      <c r="D62" s="32"/>
      <c r="E62" s="32">
        <f>Wel!E13</f>
        <v>0</v>
      </c>
      <c r="F62" s="95"/>
      <c r="G62" s="95"/>
      <c r="H62" s="95"/>
      <c r="I62" s="95"/>
      <c r="J62" s="95"/>
      <c r="K62" s="95"/>
      <c r="L62" s="50"/>
      <c r="M62" s="15"/>
    </row>
    <row r="63" spans="1:16">
      <c r="A63" s="50"/>
      <c r="B63" s="50"/>
      <c r="C63" s="50" t="s">
        <v>41</v>
      </c>
      <c r="D63" s="50"/>
      <c r="E63" s="32">
        <f t="shared" ref="E63:J63" si="4">(E59*0.999-E60)*E41</f>
        <v>9097.9910861036969</v>
      </c>
      <c r="F63" s="32">
        <f t="shared" si="4"/>
        <v>10137.249059531259</v>
      </c>
      <c r="G63" s="32">
        <f t="shared" si="4"/>
        <v>12072.591831421832</v>
      </c>
      <c r="H63" s="32">
        <f t="shared" si="4"/>
        <v>11028.389346653506</v>
      </c>
      <c r="I63" s="32">
        <f t="shared" si="4"/>
        <v>9988.6252840434972</v>
      </c>
      <c r="J63" s="32">
        <f t="shared" si="4"/>
        <v>8961.2801899449823</v>
      </c>
      <c r="K63" s="95"/>
      <c r="L63" s="50"/>
      <c r="M63" s="15"/>
    </row>
    <row r="64" spans="1:16">
      <c r="A64" s="50"/>
      <c r="B64" s="50"/>
      <c r="C64" s="50" t="s">
        <v>42</v>
      </c>
      <c r="D64" s="50"/>
      <c r="E64" s="129">
        <f>E14</f>
        <v>25343.756747688079</v>
      </c>
      <c r="F64" s="32">
        <f>F59/F54</f>
        <v>25801.199076821493</v>
      </c>
      <c r="G64" s="32">
        <f>G59/G54</f>
        <v>26337.99466709702</v>
      </c>
      <c r="H64" s="32">
        <f>H59/H54</f>
        <v>27013.256874258124</v>
      </c>
      <c r="I64" s="32">
        <f>I59/I54</f>
        <v>27666.606365471816</v>
      </c>
      <c r="J64" s="32">
        <f>J59/J54</f>
        <v>28295.558416640011</v>
      </c>
      <c r="K64" s="95"/>
      <c r="L64" s="50"/>
      <c r="M64" s="15"/>
    </row>
    <row r="65" spans="1:13">
      <c r="A65" s="50"/>
      <c r="B65" s="50"/>
      <c r="C65" s="50" t="s">
        <v>43</v>
      </c>
      <c r="D65" s="50"/>
      <c r="E65" s="129">
        <f>E59-E60-E61+E62+E63-E64</f>
        <v>512196.71618773765</v>
      </c>
      <c r="F65" s="32">
        <f>F59-F60+F63-F64</f>
        <v>496515.00682678289</v>
      </c>
      <c r="G65" s="32">
        <f>G59-G60+G63-G64</f>
        <v>482231.56570487254</v>
      </c>
      <c r="H65" s="32">
        <f>H59-H60+H63-H64</f>
        <v>466228.33445803361</v>
      </c>
      <c r="I65" s="32">
        <f>I59-I60+I63-I64</f>
        <v>448531.6642243719</v>
      </c>
      <c r="J65" s="32">
        <f>J59-J60+J63-J64</f>
        <v>429178.262934778</v>
      </c>
      <c r="K65" s="95"/>
      <c r="L65" s="50"/>
      <c r="M65" s="15"/>
    </row>
    <row r="66" spans="1:13">
      <c r="A66" s="50"/>
      <c r="B66" s="50"/>
      <c r="C66" s="50"/>
      <c r="D66" s="50"/>
      <c r="E66" s="50"/>
      <c r="F66" s="50"/>
      <c r="G66" s="50"/>
      <c r="H66" s="50"/>
      <c r="I66" s="50"/>
      <c r="J66" s="50"/>
      <c r="K66" s="95"/>
      <c r="L66" s="27"/>
      <c r="M66" s="15"/>
    </row>
    <row r="67" spans="1:13" ht="15.75">
      <c r="A67" s="50"/>
      <c r="B67" s="50"/>
      <c r="C67" s="162" t="s">
        <v>67</v>
      </c>
      <c r="D67" s="50"/>
      <c r="E67" s="162" t="str">
        <f>Inputs!D$11</f>
        <v>2009/10</v>
      </c>
      <c r="F67" s="162" t="str">
        <f>Inputs!E$11</f>
        <v>2010/11</v>
      </c>
      <c r="G67" s="162" t="str">
        <f>Inputs!F$11</f>
        <v>2011/12</v>
      </c>
      <c r="H67" s="162" t="str">
        <f>Inputs!G$11</f>
        <v>2012/13</v>
      </c>
      <c r="I67" s="162" t="str">
        <f>Inputs!H$11</f>
        <v>2013/14</v>
      </c>
      <c r="J67" s="162" t="str">
        <f>Inputs!I$11</f>
        <v>2014/15</v>
      </c>
      <c r="K67" s="95"/>
      <c r="L67" s="27"/>
      <c r="M67" s="15"/>
    </row>
    <row r="68" spans="1:13">
      <c r="A68" s="50"/>
      <c r="B68" s="50"/>
      <c r="C68" s="164" t="s">
        <v>60</v>
      </c>
      <c r="D68" s="50"/>
      <c r="E68" s="192">
        <v>1</v>
      </c>
      <c r="F68" s="164">
        <f>E68+1</f>
        <v>2</v>
      </c>
      <c r="G68" s="164">
        <f>F68+1</f>
        <v>3</v>
      </c>
      <c r="H68" s="164">
        <f>G68+1</f>
        <v>4</v>
      </c>
      <c r="I68" s="164">
        <f>H68+1</f>
        <v>5</v>
      </c>
      <c r="J68" s="164">
        <f>I68+1</f>
        <v>6</v>
      </c>
      <c r="K68" s="95"/>
      <c r="L68" s="27"/>
      <c r="M68" s="15"/>
    </row>
    <row r="69" spans="1:13">
      <c r="A69" s="50"/>
      <c r="B69" s="50"/>
      <c r="C69" s="50" t="s">
        <v>39</v>
      </c>
      <c r="D69" s="32"/>
      <c r="E69" s="32">
        <f t="shared" ref="E69:J69" si="5">E$29</f>
        <v>34983.747447013942</v>
      </c>
      <c r="F69" s="32">
        <f t="shared" si="5"/>
        <v>28280.380597409297</v>
      </c>
      <c r="G69" s="32">
        <f t="shared" si="5"/>
        <v>31549.758588266071</v>
      </c>
      <c r="H69" s="32">
        <f t="shared" si="5"/>
        <v>34608.069409814809</v>
      </c>
      <c r="I69" s="32">
        <f t="shared" si="5"/>
        <v>35230.733512882674</v>
      </c>
      <c r="J69" s="32">
        <f t="shared" si="5"/>
        <v>37062.472177288699</v>
      </c>
      <c r="K69" s="95"/>
      <c r="L69" s="50"/>
      <c r="M69" s="15"/>
    </row>
    <row r="70" spans="1:13">
      <c r="A70" s="50">
        <v>1</v>
      </c>
      <c r="B70" s="50"/>
      <c r="C70" s="50" t="s">
        <v>254</v>
      </c>
      <c r="D70" s="50"/>
      <c r="E70" s="129">
        <v>0</v>
      </c>
      <c r="F70" s="32">
        <f t="shared" ref="F70:J75" si="6">E94</f>
        <v>34983.747447013942</v>
      </c>
      <c r="G70" s="32">
        <f t="shared" si="6"/>
        <v>34899.436171531735</v>
      </c>
      <c r="H70" s="32">
        <f t="shared" si="6"/>
        <v>34955.715278101634</v>
      </c>
      <c r="I70" s="32">
        <f t="shared" si="6"/>
        <v>34943.041726973155</v>
      </c>
      <c r="J70" s="32">
        <f t="shared" si="6"/>
        <v>34860.474920851448</v>
      </c>
      <c r="K70" s="95"/>
      <c r="L70" s="50"/>
      <c r="M70" s="15"/>
    </row>
    <row r="71" spans="1:13">
      <c r="A71" s="50">
        <v>2</v>
      </c>
      <c r="B71" s="50"/>
      <c r="C71" s="50" t="s">
        <v>255</v>
      </c>
      <c r="D71" s="50"/>
      <c r="E71" s="129">
        <v>0</v>
      </c>
      <c r="F71" s="32">
        <f t="shared" si="6"/>
        <v>0</v>
      </c>
      <c r="G71" s="32">
        <f t="shared" si="6"/>
        <v>28280.380597409297</v>
      </c>
      <c r="H71" s="32">
        <f t="shared" si="6"/>
        <v>28340.268783155712</v>
      </c>
      <c r="I71" s="32">
        <f t="shared" si="6"/>
        <v>28344.972730046611</v>
      </c>
      <c r="J71" s="32">
        <f t="shared" si="6"/>
        <v>28293.691371690264</v>
      </c>
      <c r="K71" s="95"/>
      <c r="L71" s="50"/>
      <c r="M71" s="15"/>
    </row>
    <row r="72" spans="1:13">
      <c r="A72" s="50">
        <v>3</v>
      </c>
      <c r="B72" s="50"/>
      <c r="C72" s="50" t="s">
        <v>256</v>
      </c>
      <c r="D72" s="50"/>
      <c r="E72" s="129">
        <v>0</v>
      </c>
      <c r="F72" s="32">
        <f t="shared" si="6"/>
        <v>0</v>
      </c>
      <c r="G72" s="32">
        <f t="shared" si="6"/>
        <v>0</v>
      </c>
      <c r="H72" s="32">
        <f t="shared" si="6"/>
        <v>31549.758588266071</v>
      </c>
      <c r="I72" s="32">
        <f t="shared" si="6"/>
        <v>31570.929471077117</v>
      </c>
      <c r="J72" s="32">
        <f t="shared" si="6"/>
        <v>31530.498291249893</v>
      </c>
      <c r="K72" s="95"/>
      <c r="L72" s="50"/>
      <c r="M72" s="15"/>
    </row>
    <row r="73" spans="1:13">
      <c r="A73" s="50">
        <v>4</v>
      </c>
      <c r="B73" s="50"/>
      <c r="C73" s="50" t="s">
        <v>257</v>
      </c>
      <c r="D73" s="50"/>
      <c r="E73" s="129">
        <v>0</v>
      </c>
      <c r="F73" s="32">
        <f t="shared" si="6"/>
        <v>0</v>
      </c>
      <c r="G73" s="32">
        <f t="shared" si="6"/>
        <v>0</v>
      </c>
      <c r="H73" s="32">
        <f t="shared" si="6"/>
        <v>0</v>
      </c>
      <c r="I73" s="32">
        <f t="shared" si="6"/>
        <v>34608.069409814809</v>
      </c>
      <c r="J73" s="32">
        <f t="shared" si="6"/>
        <v>34581.227552261545</v>
      </c>
      <c r="K73" s="95"/>
      <c r="L73" s="50"/>
      <c r="M73" s="15"/>
    </row>
    <row r="74" spans="1:13">
      <c r="A74" s="50">
        <v>5</v>
      </c>
      <c r="B74" s="50"/>
      <c r="C74" s="50" t="s">
        <v>258</v>
      </c>
      <c r="D74" s="50"/>
      <c r="E74" s="129">
        <v>0</v>
      </c>
      <c r="F74" s="32">
        <f t="shared" si="6"/>
        <v>0</v>
      </c>
      <c r="G74" s="32">
        <f t="shared" si="6"/>
        <v>0</v>
      </c>
      <c r="H74" s="32">
        <f t="shared" si="6"/>
        <v>0</v>
      </c>
      <c r="I74" s="32">
        <f t="shared" si="6"/>
        <v>0</v>
      </c>
      <c r="J74" s="32">
        <f t="shared" si="6"/>
        <v>35230.733512882674</v>
      </c>
      <c r="K74" s="95"/>
      <c r="L74" s="50"/>
      <c r="M74" s="15"/>
    </row>
    <row r="75" spans="1:13">
      <c r="A75" s="50">
        <v>6</v>
      </c>
      <c r="B75" s="50"/>
      <c r="C75" s="50" t="s">
        <v>259</v>
      </c>
      <c r="D75" s="50"/>
      <c r="E75" s="129">
        <v>0</v>
      </c>
      <c r="F75" s="32">
        <f t="shared" si="6"/>
        <v>0</v>
      </c>
      <c r="G75" s="32">
        <f t="shared" si="6"/>
        <v>0</v>
      </c>
      <c r="H75" s="32">
        <f t="shared" si="6"/>
        <v>0</v>
      </c>
      <c r="I75" s="32">
        <f t="shared" si="6"/>
        <v>0</v>
      </c>
      <c r="J75" s="32">
        <f t="shared" si="6"/>
        <v>0</v>
      </c>
      <c r="K75" s="95"/>
      <c r="L75" s="50"/>
      <c r="M75" s="15"/>
    </row>
    <row r="76" spans="1:13">
      <c r="A76" s="50">
        <v>1</v>
      </c>
      <c r="B76" s="50"/>
      <c r="C76" s="50" t="s">
        <v>236</v>
      </c>
      <c r="D76" s="50"/>
      <c r="E76" s="129">
        <f>Inputs!$C$7+$A76</f>
        <v>46</v>
      </c>
      <c r="F76" s="32">
        <f t="shared" ref="F76:J81" si="7">E76-1</f>
        <v>45</v>
      </c>
      <c r="G76" s="32">
        <f t="shared" si="7"/>
        <v>44</v>
      </c>
      <c r="H76" s="32">
        <f t="shared" si="7"/>
        <v>43</v>
      </c>
      <c r="I76" s="32">
        <f t="shared" si="7"/>
        <v>42</v>
      </c>
      <c r="J76" s="32">
        <f t="shared" si="7"/>
        <v>41</v>
      </c>
      <c r="K76" s="95"/>
      <c r="L76" s="50"/>
      <c r="M76" s="15"/>
    </row>
    <row r="77" spans="1:13">
      <c r="A77" s="50">
        <v>2</v>
      </c>
      <c r="B77" s="50"/>
      <c r="C77" s="50" t="s">
        <v>237</v>
      </c>
      <c r="D77" s="50"/>
      <c r="E77" s="129">
        <f>Inputs!$C$7+$A77</f>
        <v>47</v>
      </c>
      <c r="F77" s="32">
        <f t="shared" si="7"/>
        <v>46</v>
      </c>
      <c r="G77" s="32">
        <f t="shared" si="7"/>
        <v>45</v>
      </c>
      <c r="H77" s="32">
        <f t="shared" si="7"/>
        <v>44</v>
      </c>
      <c r="I77" s="32">
        <f t="shared" si="7"/>
        <v>43</v>
      </c>
      <c r="J77" s="32">
        <f t="shared" si="7"/>
        <v>42</v>
      </c>
      <c r="K77" s="95"/>
      <c r="L77" s="50"/>
      <c r="M77" s="15"/>
    </row>
    <row r="78" spans="1:13">
      <c r="A78" s="50">
        <v>3</v>
      </c>
      <c r="B78" s="50"/>
      <c r="C78" s="50" t="s">
        <v>238</v>
      </c>
      <c r="D78" s="50"/>
      <c r="E78" s="129">
        <f>Inputs!$C$7+$A78</f>
        <v>48</v>
      </c>
      <c r="F78" s="32">
        <f t="shared" si="7"/>
        <v>47</v>
      </c>
      <c r="G78" s="32">
        <f t="shared" si="7"/>
        <v>46</v>
      </c>
      <c r="H78" s="32">
        <f t="shared" si="7"/>
        <v>45</v>
      </c>
      <c r="I78" s="32">
        <f t="shared" si="7"/>
        <v>44</v>
      </c>
      <c r="J78" s="32">
        <f t="shared" si="7"/>
        <v>43</v>
      </c>
      <c r="K78" s="95"/>
      <c r="L78" s="50"/>
      <c r="M78" s="15"/>
    </row>
    <row r="79" spans="1:13">
      <c r="A79" s="50">
        <v>4</v>
      </c>
      <c r="B79" s="50"/>
      <c r="C79" s="50" t="s">
        <v>239</v>
      </c>
      <c r="D79" s="50"/>
      <c r="E79" s="129">
        <f>Inputs!$C$7+$A79</f>
        <v>49</v>
      </c>
      <c r="F79" s="32">
        <f t="shared" si="7"/>
        <v>48</v>
      </c>
      <c r="G79" s="32">
        <f t="shared" si="7"/>
        <v>47</v>
      </c>
      <c r="H79" s="32">
        <f t="shared" si="7"/>
        <v>46</v>
      </c>
      <c r="I79" s="32">
        <f t="shared" si="7"/>
        <v>45</v>
      </c>
      <c r="J79" s="32">
        <f t="shared" si="7"/>
        <v>44</v>
      </c>
      <c r="K79" s="95"/>
      <c r="L79" s="50"/>
      <c r="M79" s="15"/>
    </row>
    <row r="80" spans="1:13">
      <c r="A80" s="50">
        <v>5</v>
      </c>
      <c r="B80" s="50"/>
      <c r="C80" s="50" t="s">
        <v>240</v>
      </c>
      <c r="D80" s="50"/>
      <c r="E80" s="129">
        <f>Inputs!$C$7+$A80</f>
        <v>50</v>
      </c>
      <c r="F80" s="32">
        <f t="shared" si="7"/>
        <v>49</v>
      </c>
      <c r="G80" s="32">
        <f t="shared" si="7"/>
        <v>48</v>
      </c>
      <c r="H80" s="32">
        <f t="shared" si="7"/>
        <v>47</v>
      </c>
      <c r="I80" s="32">
        <f t="shared" si="7"/>
        <v>46</v>
      </c>
      <c r="J80" s="32">
        <f t="shared" si="7"/>
        <v>45</v>
      </c>
      <c r="K80" s="95"/>
      <c r="L80" s="50"/>
      <c r="M80" s="15"/>
    </row>
    <row r="81" spans="1:13">
      <c r="A81" s="50">
        <v>6</v>
      </c>
      <c r="B81" s="50"/>
      <c r="C81" s="50" t="s">
        <v>241</v>
      </c>
      <c r="D81" s="50"/>
      <c r="E81" s="129">
        <f>Inputs!$C$7+$A81</f>
        <v>51</v>
      </c>
      <c r="F81" s="32">
        <f t="shared" si="7"/>
        <v>50</v>
      </c>
      <c r="G81" s="32">
        <f t="shared" si="7"/>
        <v>49</v>
      </c>
      <c r="H81" s="32">
        <f t="shared" si="7"/>
        <v>48</v>
      </c>
      <c r="I81" s="32">
        <f t="shared" si="7"/>
        <v>47</v>
      </c>
      <c r="J81" s="32">
        <f t="shared" si="7"/>
        <v>46</v>
      </c>
      <c r="K81" s="95"/>
      <c r="L81" s="50"/>
      <c r="M81" s="15"/>
    </row>
    <row r="82" spans="1:13">
      <c r="A82" s="50">
        <v>1</v>
      </c>
      <c r="B82" s="50"/>
      <c r="C82" s="50" t="s">
        <v>260</v>
      </c>
      <c r="D82" s="50"/>
      <c r="E82" s="32">
        <f t="shared" ref="E82:J87" si="8">E70*E$41</f>
        <v>0</v>
      </c>
      <c r="F82" s="32">
        <f t="shared" si="8"/>
        <v>693.10533445143699</v>
      </c>
      <c r="G82" s="32">
        <f t="shared" si="8"/>
        <v>849.44811046834548</v>
      </c>
      <c r="H82" s="32">
        <f t="shared" si="8"/>
        <v>800.25005999015912</v>
      </c>
      <c r="I82" s="32">
        <f t="shared" si="8"/>
        <v>749.41037785383764</v>
      </c>
      <c r="J82" s="32">
        <f t="shared" si="8"/>
        <v>697.20949841702952</v>
      </c>
      <c r="K82" s="95"/>
      <c r="L82" s="50"/>
      <c r="M82" s="15"/>
    </row>
    <row r="83" spans="1:13">
      <c r="A83" s="50">
        <v>2</v>
      </c>
      <c r="B83" s="50"/>
      <c r="C83" s="50" t="s">
        <v>261</v>
      </c>
      <c r="D83" s="50"/>
      <c r="E83" s="32">
        <f t="shared" si="8"/>
        <v>0</v>
      </c>
      <c r="F83" s="32">
        <f t="shared" si="8"/>
        <v>0</v>
      </c>
      <c r="G83" s="32">
        <f t="shared" si="8"/>
        <v>688.34108791106667</v>
      </c>
      <c r="H83" s="32">
        <f t="shared" si="8"/>
        <v>648.80096468989359</v>
      </c>
      <c r="I83" s="32">
        <f t="shared" si="8"/>
        <v>607.90405397031782</v>
      </c>
      <c r="J83" s="32">
        <f t="shared" si="8"/>
        <v>565.87382743380579</v>
      </c>
      <c r="K83" s="95"/>
      <c r="L83" s="50"/>
      <c r="M83" s="15"/>
    </row>
    <row r="84" spans="1:13">
      <c r="A84" s="50">
        <v>3</v>
      </c>
      <c r="B84" s="50"/>
      <c r="C84" s="50" t="s">
        <v>262</v>
      </c>
      <c r="D84" s="50"/>
      <c r="E84" s="32">
        <f t="shared" si="8"/>
        <v>0</v>
      </c>
      <c r="F84" s="32">
        <f t="shared" si="8"/>
        <v>0</v>
      </c>
      <c r="G84" s="32">
        <f t="shared" si="8"/>
        <v>0</v>
      </c>
      <c r="H84" s="32">
        <f t="shared" si="8"/>
        <v>722.27662921695787</v>
      </c>
      <c r="I84" s="32">
        <f t="shared" si="8"/>
        <v>677.08994451543435</v>
      </c>
      <c r="J84" s="32">
        <f t="shared" si="8"/>
        <v>630.60996582499843</v>
      </c>
      <c r="K84" s="95"/>
      <c r="L84" s="50"/>
      <c r="M84" s="15"/>
    </row>
    <row r="85" spans="1:13">
      <c r="A85" s="50">
        <v>4</v>
      </c>
      <c r="B85" s="50"/>
      <c r="C85" s="50" t="s">
        <v>263</v>
      </c>
      <c r="D85" s="50"/>
      <c r="E85" s="32">
        <f t="shared" si="8"/>
        <v>0</v>
      </c>
      <c r="F85" s="32">
        <f t="shared" si="8"/>
        <v>0</v>
      </c>
      <c r="G85" s="32">
        <f t="shared" si="8"/>
        <v>0</v>
      </c>
      <c r="H85" s="32">
        <f t="shared" si="8"/>
        <v>0</v>
      </c>
      <c r="I85" s="32">
        <f t="shared" si="8"/>
        <v>742.22635155373348</v>
      </c>
      <c r="J85" s="32">
        <f t="shared" si="8"/>
        <v>691.62455104523156</v>
      </c>
      <c r="K85" s="95"/>
      <c r="L85" s="50"/>
      <c r="M85" s="15"/>
    </row>
    <row r="86" spans="1:13">
      <c r="A86" s="50">
        <v>5</v>
      </c>
      <c r="B86" s="50"/>
      <c r="C86" s="50" t="s">
        <v>264</v>
      </c>
      <c r="D86" s="50"/>
      <c r="E86" s="32">
        <f t="shared" si="8"/>
        <v>0</v>
      </c>
      <c r="F86" s="32">
        <f t="shared" si="8"/>
        <v>0</v>
      </c>
      <c r="G86" s="32">
        <f t="shared" si="8"/>
        <v>0</v>
      </c>
      <c r="H86" s="32">
        <f t="shared" si="8"/>
        <v>0</v>
      </c>
      <c r="I86" s="32">
        <f t="shared" si="8"/>
        <v>0</v>
      </c>
      <c r="J86" s="32">
        <f t="shared" si="8"/>
        <v>704.6146702576541</v>
      </c>
      <c r="K86" s="95"/>
      <c r="L86" s="50"/>
      <c r="M86" s="15"/>
    </row>
    <row r="87" spans="1:13">
      <c r="A87" s="50">
        <v>6</v>
      </c>
      <c r="B87" s="50"/>
      <c r="C87" s="50" t="s">
        <v>265</v>
      </c>
      <c r="D87" s="50"/>
      <c r="E87" s="32">
        <f t="shared" si="8"/>
        <v>0</v>
      </c>
      <c r="F87" s="32">
        <f t="shared" si="8"/>
        <v>0</v>
      </c>
      <c r="G87" s="32">
        <f t="shared" si="8"/>
        <v>0</v>
      </c>
      <c r="H87" s="32">
        <f t="shared" si="8"/>
        <v>0</v>
      </c>
      <c r="I87" s="32">
        <f t="shared" si="8"/>
        <v>0</v>
      </c>
      <c r="J87" s="32">
        <f t="shared" si="8"/>
        <v>0</v>
      </c>
      <c r="K87" s="95"/>
      <c r="L87" s="50"/>
      <c r="M87" s="15"/>
    </row>
    <row r="88" spans="1:13">
      <c r="A88" s="50">
        <v>1</v>
      </c>
      <c r="B88" s="50"/>
      <c r="C88" s="50" t="s">
        <v>266</v>
      </c>
      <c r="D88" s="50"/>
      <c r="E88" s="32">
        <f t="shared" ref="E88:J93" si="9">E70/E76</f>
        <v>0</v>
      </c>
      <c r="F88" s="32">
        <f t="shared" si="9"/>
        <v>777.41660993364314</v>
      </c>
      <c r="G88" s="32">
        <f t="shared" si="9"/>
        <v>793.16900389844852</v>
      </c>
      <c r="H88" s="32">
        <f t="shared" si="9"/>
        <v>812.92361111864261</v>
      </c>
      <c r="I88" s="32">
        <f t="shared" si="9"/>
        <v>831.97718397555127</v>
      </c>
      <c r="J88" s="32">
        <f t="shared" si="9"/>
        <v>850.25548587442552</v>
      </c>
      <c r="K88" s="95"/>
      <c r="L88" s="50"/>
      <c r="M88" s="15"/>
    </row>
    <row r="89" spans="1:13">
      <c r="A89" s="50">
        <v>2</v>
      </c>
      <c r="B89" s="50"/>
      <c r="C89" s="50" t="s">
        <v>267</v>
      </c>
      <c r="D89" s="50"/>
      <c r="E89" s="32">
        <f t="shared" si="9"/>
        <v>0</v>
      </c>
      <c r="F89" s="32">
        <f t="shared" si="9"/>
        <v>0</v>
      </c>
      <c r="G89" s="32">
        <f t="shared" si="9"/>
        <v>628.45290216465105</v>
      </c>
      <c r="H89" s="32">
        <f t="shared" si="9"/>
        <v>644.09701779899342</v>
      </c>
      <c r="I89" s="32">
        <f t="shared" si="9"/>
        <v>659.18541232666541</v>
      </c>
      <c r="J89" s="32">
        <f t="shared" si="9"/>
        <v>673.65931837357766</v>
      </c>
      <c r="K89" s="95"/>
      <c r="L89" s="50"/>
      <c r="M89" s="15"/>
    </row>
    <row r="90" spans="1:13">
      <c r="A90" s="50">
        <v>3</v>
      </c>
      <c r="B90" s="50"/>
      <c r="C90" s="50" t="s">
        <v>268</v>
      </c>
      <c r="D90" s="50"/>
      <c r="E90" s="32">
        <f t="shared" si="9"/>
        <v>0</v>
      </c>
      <c r="F90" s="32">
        <f t="shared" si="9"/>
        <v>0</v>
      </c>
      <c r="G90" s="32">
        <f t="shared" si="9"/>
        <v>0</v>
      </c>
      <c r="H90" s="32">
        <f t="shared" si="9"/>
        <v>701.10574640591267</v>
      </c>
      <c r="I90" s="32">
        <f t="shared" si="9"/>
        <v>717.52112434266178</v>
      </c>
      <c r="J90" s="32">
        <f t="shared" si="9"/>
        <v>733.26740212209052</v>
      </c>
      <c r="K90" s="95"/>
      <c r="L90" s="50"/>
      <c r="M90" s="15"/>
    </row>
    <row r="91" spans="1:13">
      <c r="A91" s="50">
        <v>4</v>
      </c>
      <c r="B91" s="50"/>
      <c r="C91" s="50" t="s">
        <v>269</v>
      </c>
      <c r="D91" s="50"/>
      <c r="E91" s="32">
        <f t="shared" si="9"/>
        <v>0</v>
      </c>
      <c r="F91" s="32">
        <f t="shared" si="9"/>
        <v>0</v>
      </c>
      <c r="G91" s="32">
        <f t="shared" si="9"/>
        <v>0</v>
      </c>
      <c r="H91" s="32">
        <f t="shared" si="9"/>
        <v>0</v>
      </c>
      <c r="I91" s="32">
        <f t="shared" si="9"/>
        <v>769.06820910699571</v>
      </c>
      <c r="J91" s="32">
        <f t="shared" si="9"/>
        <v>785.93698982412604</v>
      </c>
      <c r="K91" s="95"/>
      <c r="L91" s="50"/>
      <c r="M91" s="15"/>
    </row>
    <row r="92" spans="1:13">
      <c r="A92" s="50">
        <v>5</v>
      </c>
      <c r="B92" s="50"/>
      <c r="C92" s="50" t="s">
        <v>270</v>
      </c>
      <c r="D92" s="50"/>
      <c r="E92" s="32">
        <f t="shared" si="9"/>
        <v>0</v>
      </c>
      <c r="F92" s="32">
        <f t="shared" si="9"/>
        <v>0</v>
      </c>
      <c r="G92" s="32">
        <f t="shared" si="9"/>
        <v>0</v>
      </c>
      <c r="H92" s="32">
        <f t="shared" si="9"/>
        <v>0</v>
      </c>
      <c r="I92" s="32">
        <f t="shared" si="9"/>
        <v>0</v>
      </c>
      <c r="J92" s="32">
        <f t="shared" si="9"/>
        <v>782.90518917517056</v>
      </c>
      <c r="K92" s="95"/>
      <c r="L92" s="50"/>
      <c r="M92" s="15"/>
    </row>
    <row r="93" spans="1:13">
      <c r="A93" s="50">
        <v>6</v>
      </c>
      <c r="B93" s="50"/>
      <c r="C93" s="50" t="s">
        <v>271</v>
      </c>
      <c r="D93" s="50"/>
      <c r="E93" s="32">
        <f t="shared" si="9"/>
        <v>0</v>
      </c>
      <c r="F93" s="32">
        <f t="shared" si="9"/>
        <v>0</v>
      </c>
      <c r="G93" s="32">
        <f t="shared" si="9"/>
        <v>0</v>
      </c>
      <c r="H93" s="32">
        <f t="shared" si="9"/>
        <v>0</v>
      </c>
      <c r="I93" s="32">
        <f t="shared" si="9"/>
        <v>0</v>
      </c>
      <c r="J93" s="32">
        <f t="shared" si="9"/>
        <v>0</v>
      </c>
      <c r="K93" s="95"/>
      <c r="L93" s="50"/>
      <c r="M93" s="15"/>
    </row>
    <row r="94" spans="1:13">
      <c r="A94" s="50">
        <v>1</v>
      </c>
      <c r="B94" s="50"/>
      <c r="C94" s="50" t="s">
        <v>272</v>
      </c>
      <c r="D94" s="50"/>
      <c r="E94" s="32">
        <f t="shared" ref="E94:J99" si="10">E70+E82-E88+IF($A94=E$68,E$69,0)</f>
        <v>34983.747447013942</v>
      </c>
      <c r="F94" s="32">
        <f t="shared" si="10"/>
        <v>34899.436171531735</v>
      </c>
      <c r="G94" s="32">
        <f t="shared" si="10"/>
        <v>34955.715278101634</v>
      </c>
      <c r="H94" s="32">
        <f t="shared" si="10"/>
        <v>34943.041726973155</v>
      </c>
      <c r="I94" s="32">
        <f t="shared" si="10"/>
        <v>34860.474920851448</v>
      </c>
      <c r="J94" s="32">
        <f t="shared" si="10"/>
        <v>34707.428933394054</v>
      </c>
      <c r="K94" s="95"/>
      <c r="L94" s="50"/>
      <c r="M94" s="15"/>
    </row>
    <row r="95" spans="1:13">
      <c r="A95" s="50">
        <v>2</v>
      </c>
      <c r="B95" s="50"/>
      <c r="C95" s="50" t="s">
        <v>273</v>
      </c>
      <c r="D95" s="50"/>
      <c r="E95" s="32">
        <f t="shared" si="10"/>
        <v>0</v>
      </c>
      <c r="F95" s="32">
        <f t="shared" si="10"/>
        <v>28280.380597409297</v>
      </c>
      <c r="G95" s="32">
        <f t="shared" si="10"/>
        <v>28340.268783155712</v>
      </c>
      <c r="H95" s="32">
        <f t="shared" si="10"/>
        <v>28344.972730046611</v>
      </c>
      <c r="I95" s="32">
        <f t="shared" si="10"/>
        <v>28293.691371690264</v>
      </c>
      <c r="J95" s="32">
        <f t="shared" si="10"/>
        <v>28185.905880750492</v>
      </c>
      <c r="K95" s="95"/>
      <c r="L95" s="50"/>
      <c r="M95" s="15"/>
    </row>
    <row r="96" spans="1:13">
      <c r="A96" s="50">
        <v>3</v>
      </c>
      <c r="B96" s="50"/>
      <c r="C96" s="50" t="s">
        <v>274</v>
      </c>
      <c r="D96" s="50"/>
      <c r="E96" s="32">
        <f t="shared" si="10"/>
        <v>0</v>
      </c>
      <c r="F96" s="32">
        <f t="shared" si="10"/>
        <v>0</v>
      </c>
      <c r="G96" s="32">
        <f t="shared" si="10"/>
        <v>31549.758588266071</v>
      </c>
      <c r="H96" s="32">
        <f t="shared" si="10"/>
        <v>31570.929471077117</v>
      </c>
      <c r="I96" s="32">
        <f t="shared" si="10"/>
        <v>31530.498291249893</v>
      </c>
      <c r="J96" s="32">
        <f t="shared" si="10"/>
        <v>31427.840854952799</v>
      </c>
      <c r="K96" s="95"/>
      <c r="L96" s="50"/>
      <c r="M96" s="15"/>
    </row>
    <row r="97" spans="1:13">
      <c r="A97" s="50">
        <v>4</v>
      </c>
      <c r="B97" s="50"/>
      <c r="C97" s="50" t="s">
        <v>275</v>
      </c>
      <c r="D97" s="50"/>
      <c r="E97" s="32">
        <f t="shared" si="10"/>
        <v>0</v>
      </c>
      <c r="F97" s="32">
        <f t="shared" si="10"/>
        <v>0</v>
      </c>
      <c r="G97" s="32">
        <f t="shared" si="10"/>
        <v>0</v>
      </c>
      <c r="H97" s="32">
        <f t="shared" si="10"/>
        <v>34608.069409814809</v>
      </c>
      <c r="I97" s="32">
        <f t="shared" si="10"/>
        <v>34581.227552261545</v>
      </c>
      <c r="J97" s="32">
        <f t="shared" si="10"/>
        <v>34486.915113482646</v>
      </c>
      <c r="K97" s="95"/>
      <c r="L97" s="50"/>
      <c r="M97" s="15"/>
    </row>
    <row r="98" spans="1:13">
      <c r="A98" s="50">
        <v>5</v>
      </c>
      <c r="B98" s="50"/>
      <c r="C98" s="50" t="s">
        <v>276</v>
      </c>
      <c r="D98" s="50"/>
      <c r="E98" s="32">
        <f t="shared" si="10"/>
        <v>0</v>
      </c>
      <c r="F98" s="32">
        <f t="shared" si="10"/>
        <v>0</v>
      </c>
      <c r="G98" s="32">
        <f t="shared" si="10"/>
        <v>0</v>
      </c>
      <c r="H98" s="32">
        <f t="shared" si="10"/>
        <v>0</v>
      </c>
      <c r="I98" s="32">
        <f t="shared" si="10"/>
        <v>35230.733512882674</v>
      </c>
      <c r="J98" s="32">
        <f t="shared" si="10"/>
        <v>35152.442993965153</v>
      </c>
      <c r="K98" s="95"/>
      <c r="L98" s="50"/>
      <c r="M98" s="15"/>
    </row>
    <row r="99" spans="1:13">
      <c r="A99" s="50">
        <v>6</v>
      </c>
      <c r="B99" s="50"/>
      <c r="C99" s="50" t="s">
        <v>277</v>
      </c>
      <c r="D99" s="50"/>
      <c r="E99" s="32">
        <f t="shared" si="10"/>
        <v>0</v>
      </c>
      <c r="F99" s="32">
        <f t="shared" si="10"/>
        <v>0</v>
      </c>
      <c r="G99" s="32">
        <f t="shared" si="10"/>
        <v>0</v>
      </c>
      <c r="H99" s="32">
        <f t="shared" si="10"/>
        <v>0</v>
      </c>
      <c r="I99" s="32">
        <f t="shared" si="10"/>
        <v>0</v>
      </c>
      <c r="J99" s="32">
        <f t="shared" si="10"/>
        <v>37062.472177288699</v>
      </c>
      <c r="K99" s="95"/>
      <c r="L99" s="50"/>
      <c r="M99" s="15"/>
    </row>
    <row r="100" spans="1:13">
      <c r="A100" s="50"/>
      <c r="B100" s="50"/>
      <c r="C100" s="50" t="s">
        <v>146</v>
      </c>
      <c r="D100" s="50"/>
      <c r="E100" s="32">
        <f t="shared" ref="E100:J100" si="11">SUM(E70:E75)</f>
        <v>0</v>
      </c>
      <c r="F100" s="32">
        <f t="shared" si="11"/>
        <v>34983.747447013942</v>
      </c>
      <c r="G100" s="32">
        <f t="shared" si="11"/>
        <v>63179.816768941033</v>
      </c>
      <c r="H100" s="32">
        <f t="shared" si="11"/>
        <v>94845.742649523425</v>
      </c>
      <c r="I100" s="32">
        <f t="shared" si="11"/>
        <v>129467.01333791169</v>
      </c>
      <c r="J100" s="32">
        <f t="shared" si="11"/>
        <v>164496.62564893582</v>
      </c>
      <c r="K100" s="95"/>
      <c r="L100" s="27"/>
      <c r="M100" s="15"/>
    </row>
    <row r="101" spans="1:13">
      <c r="A101" s="50"/>
      <c r="B101" s="50"/>
      <c r="C101" s="50" t="s">
        <v>147</v>
      </c>
      <c r="D101" s="50"/>
      <c r="E101" s="32">
        <f t="shared" ref="E101:J101" si="12">SUM(E82:E87)</f>
        <v>0</v>
      </c>
      <c r="F101" s="32">
        <f t="shared" si="12"/>
        <v>693.10533445143699</v>
      </c>
      <c r="G101" s="32">
        <f t="shared" si="12"/>
        <v>1537.789198379412</v>
      </c>
      <c r="H101" s="32">
        <f t="shared" si="12"/>
        <v>2171.3276538970104</v>
      </c>
      <c r="I101" s="32">
        <f t="shared" si="12"/>
        <v>2776.6307278933232</v>
      </c>
      <c r="J101" s="32">
        <f t="shared" si="12"/>
        <v>3289.9325129787194</v>
      </c>
      <c r="K101" s="95"/>
      <c r="L101" s="27"/>
      <c r="M101" s="15"/>
    </row>
    <row r="102" spans="1:13">
      <c r="A102" s="50"/>
      <c r="B102" s="50"/>
      <c r="C102" s="50" t="s">
        <v>68</v>
      </c>
      <c r="D102" s="50"/>
      <c r="E102" s="32">
        <f t="shared" ref="E102:J102" si="13">SUM(E88:E93)</f>
        <v>0</v>
      </c>
      <c r="F102" s="32">
        <f t="shared" si="13"/>
        <v>777.41660993364314</v>
      </c>
      <c r="G102" s="32">
        <f t="shared" si="13"/>
        <v>1421.6219060630997</v>
      </c>
      <c r="H102" s="32">
        <f t="shared" si="13"/>
        <v>2158.1263753235489</v>
      </c>
      <c r="I102" s="32">
        <f t="shared" si="13"/>
        <v>2977.7519297518738</v>
      </c>
      <c r="J102" s="32">
        <f t="shared" si="13"/>
        <v>3826.0243853693905</v>
      </c>
      <c r="K102" s="95"/>
      <c r="L102" s="27"/>
      <c r="M102" s="15"/>
    </row>
    <row r="103" spans="1:13">
      <c r="A103" s="50"/>
      <c r="B103" s="50"/>
      <c r="C103" s="50" t="s">
        <v>148</v>
      </c>
      <c r="D103" s="50"/>
      <c r="E103" s="32">
        <f t="shared" ref="E103:J103" si="14">SUM(E94:E99)</f>
        <v>34983.747447013942</v>
      </c>
      <c r="F103" s="32">
        <f t="shared" si="14"/>
        <v>63179.816768941033</v>
      </c>
      <c r="G103" s="32">
        <f t="shared" si="14"/>
        <v>94845.742649523425</v>
      </c>
      <c r="H103" s="32">
        <f t="shared" si="14"/>
        <v>129467.01333791169</v>
      </c>
      <c r="I103" s="32">
        <f t="shared" si="14"/>
        <v>164496.62564893582</v>
      </c>
      <c r="J103" s="32">
        <f t="shared" si="14"/>
        <v>201023.00595383384</v>
      </c>
      <c r="K103" s="95"/>
      <c r="L103" s="50"/>
      <c r="M103" s="15"/>
    </row>
    <row r="104" spans="1:13">
      <c r="A104" s="50"/>
      <c r="B104" s="50"/>
      <c r="C104" s="50"/>
      <c r="D104" s="50"/>
      <c r="E104" s="32"/>
      <c r="F104" s="32"/>
      <c r="G104" s="32"/>
      <c r="H104" s="32"/>
      <c r="I104" s="32"/>
      <c r="J104" s="32"/>
      <c r="K104" s="95"/>
      <c r="L104" s="50"/>
      <c r="M104" s="15"/>
    </row>
    <row r="105" spans="1:13" ht="15.75">
      <c r="A105" s="50"/>
      <c r="B105" s="50"/>
      <c r="C105" s="162" t="s">
        <v>121</v>
      </c>
      <c r="D105" s="50"/>
      <c r="E105" s="162" t="str">
        <f>Inputs!D$11</f>
        <v>2009/10</v>
      </c>
      <c r="F105" s="162" t="str">
        <f>Inputs!E$11</f>
        <v>2010/11</v>
      </c>
      <c r="G105" s="162" t="str">
        <f>Inputs!F$11</f>
        <v>2011/12</v>
      </c>
      <c r="H105" s="162" t="str">
        <f>Inputs!G$11</f>
        <v>2012/13</v>
      </c>
      <c r="I105" s="162" t="str">
        <f>Inputs!H$11</f>
        <v>2013/14</v>
      </c>
      <c r="J105" s="162" t="str">
        <f>Inputs!I$11</f>
        <v>2014/15</v>
      </c>
      <c r="K105" s="95"/>
      <c r="L105" s="50"/>
      <c r="M105" s="15"/>
    </row>
    <row r="106" spans="1:13">
      <c r="A106" s="50"/>
      <c r="B106" s="50"/>
      <c r="C106" s="164" t="s">
        <v>60</v>
      </c>
      <c r="D106" s="50"/>
      <c r="E106" s="164">
        <v>1</v>
      </c>
      <c r="F106" s="164">
        <v>2</v>
      </c>
      <c r="G106" s="164">
        <v>3</v>
      </c>
      <c r="H106" s="164">
        <v>4</v>
      </c>
      <c r="I106" s="164">
        <v>5</v>
      </c>
      <c r="J106" s="164">
        <v>6</v>
      </c>
      <c r="K106" s="95"/>
      <c r="L106" s="50"/>
      <c r="M106" s="15"/>
    </row>
    <row r="107" spans="1:13">
      <c r="A107" s="50"/>
      <c r="B107" s="50"/>
      <c r="C107" s="50" t="s">
        <v>39</v>
      </c>
      <c r="D107" s="32"/>
      <c r="E107" s="32">
        <f t="shared" ref="E107:J107" si="15">E$29</f>
        <v>34983.747447013942</v>
      </c>
      <c r="F107" s="32">
        <f t="shared" si="15"/>
        <v>28280.380597409297</v>
      </c>
      <c r="G107" s="32">
        <f t="shared" si="15"/>
        <v>31549.758588266071</v>
      </c>
      <c r="H107" s="32">
        <f t="shared" si="15"/>
        <v>34608.069409814809</v>
      </c>
      <c r="I107" s="32">
        <f t="shared" si="15"/>
        <v>35230.733512882674</v>
      </c>
      <c r="J107" s="32">
        <f t="shared" si="15"/>
        <v>37062.472177288699</v>
      </c>
      <c r="K107" s="95"/>
      <c r="L107" s="50"/>
      <c r="M107" s="15"/>
    </row>
    <row r="108" spans="1:13">
      <c r="A108" s="50">
        <v>1</v>
      </c>
      <c r="B108" s="50"/>
      <c r="C108" s="50" t="s">
        <v>230</v>
      </c>
      <c r="D108" s="50"/>
      <c r="E108" s="129">
        <v>0</v>
      </c>
      <c r="F108" s="32">
        <f t="shared" ref="F108:J113" si="16">E126</f>
        <v>34983.747447013942</v>
      </c>
      <c r="G108" s="32">
        <f t="shared" si="16"/>
        <v>34206.330837080299</v>
      </c>
      <c r="H108" s="32">
        <f t="shared" si="16"/>
        <v>33428.914227146655</v>
      </c>
      <c r="I108" s="32">
        <f t="shared" si="16"/>
        <v>32651.497617213012</v>
      </c>
      <c r="J108" s="32">
        <f t="shared" si="16"/>
        <v>31874.081007279368</v>
      </c>
      <c r="K108" s="95"/>
      <c r="L108" s="50"/>
      <c r="M108" s="15"/>
    </row>
    <row r="109" spans="1:13">
      <c r="A109" s="50">
        <v>2</v>
      </c>
      <c r="B109" s="50"/>
      <c r="C109" s="50" t="s">
        <v>231</v>
      </c>
      <c r="D109" s="50"/>
      <c r="E109" s="129">
        <v>0</v>
      </c>
      <c r="F109" s="32">
        <f t="shared" si="16"/>
        <v>0</v>
      </c>
      <c r="G109" s="32">
        <f t="shared" si="16"/>
        <v>28280.380597409297</v>
      </c>
      <c r="H109" s="32">
        <f t="shared" si="16"/>
        <v>27651.927695244645</v>
      </c>
      <c r="I109" s="32">
        <f t="shared" si="16"/>
        <v>27023.474793079993</v>
      </c>
      <c r="J109" s="32">
        <f t="shared" si="16"/>
        <v>26395.021890915341</v>
      </c>
      <c r="K109" s="95"/>
      <c r="L109" s="50"/>
      <c r="M109" s="15"/>
    </row>
    <row r="110" spans="1:13">
      <c r="A110" s="50">
        <v>3</v>
      </c>
      <c r="B110" s="50"/>
      <c r="C110" s="50" t="s">
        <v>232</v>
      </c>
      <c r="D110" s="50"/>
      <c r="E110" s="129">
        <v>0</v>
      </c>
      <c r="F110" s="32">
        <f t="shared" si="16"/>
        <v>0</v>
      </c>
      <c r="G110" s="32">
        <f t="shared" si="16"/>
        <v>0</v>
      </c>
      <c r="H110" s="32">
        <f t="shared" si="16"/>
        <v>31549.758588266071</v>
      </c>
      <c r="I110" s="32">
        <f t="shared" si="16"/>
        <v>30848.652841860159</v>
      </c>
      <c r="J110" s="32">
        <f t="shared" si="16"/>
        <v>30147.547095454247</v>
      </c>
      <c r="K110" s="95"/>
      <c r="L110" s="50"/>
      <c r="M110" s="15"/>
    </row>
    <row r="111" spans="1:13">
      <c r="A111" s="50">
        <v>4</v>
      </c>
      <c r="B111" s="50"/>
      <c r="C111" s="50" t="s">
        <v>233</v>
      </c>
      <c r="D111" s="50"/>
      <c r="E111" s="129">
        <v>0</v>
      </c>
      <c r="F111" s="32">
        <f t="shared" si="16"/>
        <v>0</v>
      </c>
      <c r="G111" s="32">
        <f t="shared" si="16"/>
        <v>0</v>
      </c>
      <c r="H111" s="32">
        <f t="shared" si="16"/>
        <v>0</v>
      </c>
      <c r="I111" s="32">
        <f t="shared" si="16"/>
        <v>34608.069409814809</v>
      </c>
      <c r="J111" s="32">
        <f t="shared" si="16"/>
        <v>33839.001200707811</v>
      </c>
      <c r="K111" s="95"/>
      <c r="L111" s="50"/>
      <c r="M111" s="15"/>
    </row>
    <row r="112" spans="1:13">
      <c r="A112" s="50">
        <v>5</v>
      </c>
      <c r="B112" s="50"/>
      <c r="C112" s="50" t="s">
        <v>234</v>
      </c>
      <c r="D112" s="50"/>
      <c r="E112" s="129">
        <v>0</v>
      </c>
      <c r="F112" s="32">
        <f t="shared" si="16"/>
        <v>0</v>
      </c>
      <c r="G112" s="32">
        <f t="shared" si="16"/>
        <v>0</v>
      </c>
      <c r="H112" s="32">
        <f t="shared" si="16"/>
        <v>0</v>
      </c>
      <c r="I112" s="32">
        <f t="shared" si="16"/>
        <v>0</v>
      </c>
      <c r="J112" s="32">
        <f t="shared" si="16"/>
        <v>35230.733512882674</v>
      </c>
      <c r="K112" s="95"/>
      <c r="L112" s="50"/>
      <c r="M112" s="15"/>
    </row>
    <row r="113" spans="1:13">
      <c r="A113" s="50">
        <v>6</v>
      </c>
      <c r="B113" s="50"/>
      <c r="C113" s="50" t="s">
        <v>235</v>
      </c>
      <c r="D113" s="50"/>
      <c r="E113" s="129">
        <v>0</v>
      </c>
      <c r="F113" s="32">
        <f t="shared" si="16"/>
        <v>0</v>
      </c>
      <c r="G113" s="32">
        <f t="shared" si="16"/>
        <v>0</v>
      </c>
      <c r="H113" s="32">
        <f t="shared" si="16"/>
        <v>0</v>
      </c>
      <c r="I113" s="32">
        <f t="shared" si="16"/>
        <v>0</v>
      </c>
      <c r="J113" s="32">
        <f t="shared" si="16"/>
        <v>0</v>
      </c>
      <c r="K113" s="95"/>
      <c r="L113" s="50"/>
      <c r="M113" s="15"/>
    </row>
    <row r="114" spans="1:13">
      <c r="A114" s="50">
        <v>1</v>
      </c>
      <c r="B114" s="50"/>
      <c r="C114" s="50" t="s">
        <v>236</v>
      </c>
      <c r="D114" s="50"/>
      <c r="E114" s="129">
        <f>Inputs!$C$7+$A114</f>
        <v>46</v>
      </c>
      <c r="F114" s="32">
        <f t="shared" ref="F114:J119" si="17">E114-1</f>
        <v>45</v>
      </c>
      <c r="G114" s="32">
        <f t="shared" si="17"/>
        <v>44</v>
      </c>
      <c r="H114" s="32">
        <f t="shared" si="17"/>
        <v>43</v>
      </c>
      <c r="I114" s="32">
        <f t="shared" si="17"/>
        <v>42</v>
      </c>
      <c r="J114" s="32">
        <f t="shared" si="17"/>
        <v>41</v>
      </c>
      <c r="K114" s="95"/>
      <c r="L114" s="50"/>
      <c r="M114" s="15"/>
    </row>
    <row r="115" spans="1:13">
      <c r="A115" s="50">
        <v>2</v>
      </c>
      <c r="B115" s="50"/>
      <c r="C115" s="50" t="s">
        <v>237</v>
      </c>
      <c r="D115" s="50"/>
      <c r="E115" s="129">
        <f>Inputs!$C$7+$A115</f>
        <v>47</v>
      </c>
      <c r="F115" s="32">
        <f t="shared" si="17"/>
        <v>46</v>
      </c>
      <c r="G115" s="32">
        <f t="shared" si="17"/>
        <v>45</v>
      </c>
      <c r="H115" s="32">
        <f t="shared" si="17"/>
        <v>44</v>
      </c>
      <c r="I115" s="32">
        <f t="shared" si="17"/>
        <v>43</v>
      </c>
      <c r="J115" s="32">
        <f t="shared" si="17"/>
        <v>42</v>
      </c>
      <c r="K115" s="95"/>
      <c r="L115" s="50"/>
      <c r="M115" s="15"/>
    </row>
    <row r="116" spans="1:13">
      <c r="A116" s="50">
        <v>3</v>
      </c>
      <c r="B116" s="50"/>
      <c r="C116" s="50" t="s">
        <v>238</v>
      </c>
      <c r="D116" s="50"/>
      <c r="E116" s="129">
        <f>Inputs!$C$7+$A116</f>
        <v>48</v>
      </c>
      <c r="F116" s="32">
        <f t="shared" si="17"/>
        <v>47</v>
      </c>
      <c r="G116" s="32">
        <f t="shared" si="17"/>
        <v>46</v>
      </c>
      <c r="H116" s="32">
        <f t="shared" si="17"/>
        <v>45</v>
      </c>
      <c r="I116" s="32">
        <f t="shared" si="17"/>
        <v>44</v>
      </c>
      <c r="J116" s="32">
        <f t="shared" si="17"/>
        <v>43</v>
      </c>
      <c r="K116" s="95"/>
      <c r="L116" s="50"/>
      <c r="M116" s="15"/>
    </row>
    <row r="117" spans="1:13">
      <c r="A117" s="50">
        <v>4</v>
      </c>
      <c r="B117" s="50"/>
      <c r="C117" s="50" t="s">
        <v>239</v>
      </c>
      <c r="D117" s="50"/>
      <c r="E117" s="129">
        <f>Inputs!$C$7+$A117</f>
        <v>49</v>
      </c>
      <c r="F117" s="32">
        <f t="shared" si="17"/>
        <v>48</v>
      </c>
      <c r="G117" s="32">
        <f t="shared" si="17"/>
        <v>47</v>
      </c>
      <c r="H117" s="32">
        <f t="shared" si="17"/>
        <v>46</v>
      </c>
      <c r="I117" s="32">
        <f t="shared" si="17"/>
        <v>45</v>
      </c>
      <c r="J117" s="32">
        <f t="shared" si="17"/>
        <v>44</v>
      </c>
      <c r="K117" s="95"/>
      <c r="L117" s="50"/>
      <c r="M117" s="15"/>
    </row>
    <row r="118" spans="1:13">
      <c r="A118" s="50">
        <v>5</v>
      </c>
      <c r="B118" s="50"/>
      <c r="C118" s="50" t="s">
        <v>240</v>
      </c>
      <c r="D118" s="50"/>
      <c r="E118" s="129">
        <f>Inputs!$C$7+$A118</f>
        <v>50</v>
      </c>
      <c r="F118" s="32">
        <f t="shared" si="17"/>
        <v>49</v>
      </c>
      <c r="G118" s="32">
        <f t="shared" si="17"/>
        <v>48</v>
      </c>
      <c r="H118" s="32">
        <f t="shared" si="17"/>
        <v>47</v>
      </c>
      <c r="I118" s="32">
        <f t="shared" si="17"/>
        <v>46</v>
      </c>
      <c r="J118" s="32">
        <f t="shared" si="17"/>
        <v>45</v>
      </c>
      <c r="K118" s="95"/>
      <c r="L118" s="50"/>
      <c r="M118" s="15"/>
    </row>
    <row r="119" spans="1:13">
      <c r="A119" s="50">
        <v>6</v>
      </c>
      <c r="B119" s="50"/>
      <c r="C119" s="50" t="s">
        <v>241</v>
      </c>
      <c r="D119" s="50"/>
      <c r="E119" s="129">
        <f>Inputs!$C$7+$A119</f>
        <v>51</v>
      </c>
      <c r="F119" s="32">
        <f t="shared" si="17"/>
        <v>50</v>
      </c>
      <c r="G119" s="32">
        <f t="shared" si="17"/>
        <v>49</v>
      </c>
      <c r="H119" s="32">
        <f t="shared" si="17"/>
        <v>48</v>
      </c>
      <c r="I119" s="32">
        <f t="shared" si="17"/>
        <v>47</v>
      </c>
      <c r="J119" s="32">
        <f t="shared" si="17"/>
        <v>46</v>
      </c>
      <c r="K119" s="95"/>
      <c r="L119" s="50"/>
      <c r="M119" s="15"/>
    </row>
    <row r="120" spans="1:13">
      <c r="A120" s="50">
        <v>1</v>
      </c>
      <c r="B120" s="50"/>
      <c r="C120" s="50" t="s">
        <v>242</v>
      </c>
      <c r="D120" s="50"/>
      <c r="E120" s="32">
        <f t="shared" ref="E120:J125" si="18">E108/E114</f>
        <v>0</v>
      </c>
      <c r="F120" s="32">
        <f t="shared" si="18"/>
        <v>777.41660993364314</v>
      </c>
      <c r="G120" s="32">
        <f t="shared" si="18"/>
        <v>777.41660993364314</v>
      </c>
      <c r="H120" s="32">
        <f t="shared" si="18"/>
        <v>777.41660993364314</v>
      </c>
      <c r="I120" s="32">
        <f t="shared" si="18"/>
        <v>777.41660993364314</v>
      </c>
      <c r="J120" s="32">
        <f t="shared" si="18"/>
        <v>777.41660993364314</v>
      </c>
      <c r="K120" s="95"/>
      <c r="L120" s="50"/>
      <c r="M120" s="15"/>
    </row>
    <row r="121" spans="1:13">
      <c r="A121" s="50">
        <v>2</v>
      </c>
      <c r="B121" s="50"/>
      <c r="C121" s="50" t="s">
        <v>243</v>
      </c>
      <c r="D121" s="50"/>
      <c r="E121" s="32">
        <f t="shared" si="18"/>
        <v>0</v>
      </c>
      <c r="F121" s="32">
        <f t="shared" si="18"/>
        <v>0</v>
      </c>
      <c r="G121" s="32">
        <f t="shared" si="18"/>
        <v>628.45290216465105</v>
      </c>
      <c r="H121" s="32">
        <f t="shared" si="18"/>
        <v>628.45290216465105</v>
      </c>
      <c r="I121" s="32">
        <f t="shared" si="18"/>
        <v>628.45290216465105</v>
      </c>
      <c r="J121" s="32">
        <f t="shared" si="18"/>
        <v>628.45290216465094</v>
      </c>
      <c r="K121" s="95"/>
      <c r="L121" s="50"/>
      <c r="M121" s="15"/>
    </row>
    <row r="122" spans="1:13">
      <c r="A122" s="50">
        <v>3</v>
      </c>
      <c r="B122" s="50"/>
      <c r="C122" s="50" t="s">
        <v>244</v>
      </c>
      <c r="D122" s="50"/>
      <c r="E122" s="32">
        <f t="shared" si="18"/>
        <v>0</v>
      </c>
      <c r="F122" s="32">
        <f t="shared" si="18"/>
        <v>0</v>
      </c>
      <c r="G122" s="32">
        <f t="shared" si="18"/>
        <v>0</v>
      </c>
      <c r="H122" s="32">
        <f t="shared" si="18"/>
        <v>701.10574640591267</v>
      </c>
      <c r="I122" s="32">
        <f t="shared" si="18"/>
        <v>701.10574640591267</v>
      </c>
      <c r="J122" s="32">
        <f t="shared" si="18"/>
        <v>701.10574640591267</v>
      </c>
      <c r="K122" s="95"/>
      <c r="L122" s="50"/>
      <c r="M122" s="15"/>
    </row>
    <row r="123" spans="1:13">
      <c r="A123" s="50">
        <v>4</v>
      </c>
      <c r="B123" s="50"/>
      <c r="C123" s="50" t="s">
        <v>245</v>
      </c>
      <c r="D123" s="50"/>
      <c r="E123" s="32">
        <f t="shared" si="18"/>
        <v>0</v>
      </c>
      <c r="F123" s="32">
        <f t="shared" si="18"/>
        <v>0</v>
      </c>
      <c r="G123" s="32">
        <f t="shared" si="18"/>
        <v>0</v>
      </c>
      <c r="H123" s="32">
        <f t="shared" si="18"/>
        <v>0</v>
      </c>
      <c r="I123" s="32">
        <f t="shared" si="18"/>
        <v>769.06820910699571</v>
      </c>
      <c r="J123" s="32">
        <f t="shared" si="18"/>
        <v>769.06820910699571</v>
      </c>
      <c r="K123" s="95"/>
      <c r="L123" s="50"/>
      <c r="M123" s="15"/>
    </row>
    <row r="124" spans="1:13">
      <c r="A124" s="50">
        <v>5</v>
      </c>
      <c r="B124" s="50"/>
      <c r="C124" s="50" t="s">
        <v>246</v>
      </c>
      <c r="D124" s="50"/>
      <c r="E124" s="32">
        <f t="shared" si="18"/>
        <v>0</v>
      </c>
      <c r="F124" s="32">
        <f t="shared" si="18"/>
        <v>0</v>
      </c>
      <c r="G124" s="32">
        <f t="shared" si="18"/>
        <v>0</v>
      </c>
      <c r="H124" s="32">
        <f t="shared" si="18"/>
        <v>0</v>
      </c>
      <c r="I124" s="32">
        <f t="shared" si="18"/>
        <v>0</v>
      </c>
      <c r="J124" s="32">
        <f t="shared" si="18"/>
        <v>782.90518917517056</v>
      </c>
      <c r="K124" s="95"/>
      <c r="L124" s="50"/>
      <c r="M124" s="15"/>
    </row>
    <row r="125" spans="1:13">
      <c r="A125" s="50">
        <v>6</v>
      </c>
      <c r="B125" s="50"/>
      <c r="C125" s="50" t="s">
        <v>247</v>
      </c>
      <c r="D125" s="50"/>
      <c r="E125" s="32">
        <f t="shared" si="18"/>
        <v>0</v>
      </c>
      <c r="F125" s="32">
        <f t="shared" si="18"/>
        <v>0</v>
      </c>
      <c r="G125" s="32">
        <f t="shared" si="18"/>
        <v>0</v>
      </c>
      <c r="H125" s="32">
        <f t="shared" si="18"/>
        <v>0</v>
      </c>
      <c r="I125" s="32">
        <f t="shared" si="18"/>
        <v>0</v>
      </c>
      <c r="J125" s="32">
        <f t="shared" si="18"/>
        <v>0</v>
      </c>
      <c r="K125" s="95"/>
      <c r="L125" s="50"/>
      <c r="M125" s="15"/>
    </row>
    <row r="126" spans="1:13">
      <c r="A126" s="50">
        <v>1</v>
      </c>
      <c r="B126" s="50"/>
      <c r="C126" s="50" t="s">
        <v>248</v>
      </c>
      <c r="D126" s="50"/>
      <c r="E126" s="32">
        <f t="shared" ref="E126:J131" si="19">E108-E120+IF($A126=E$106,E$107,0)</f>
        <v>34983.747447013942</v>
      </c>
      <c r="F126" s="32">
        <f t="shared" si="19"/>
        <v>34206.330837080299</v>
      </c>
      <c r="G126" s="32">
        <f t="shared" si="19"/>
        <v>33428.914227146655</v>
      </c>
      <c r="H126" s="32">
        <f t="shared" si="19"/>
        <v>32651.497617213012</v>
      </c>
      <c r="I126" s="32">
        <f t="shared" si="19"/>
        <v>31874.081007279368</v>
      </c>
      <c r="J126" s="32">
        <f t="shared" si="19"/>
        <v>31096.664397345725</v>
      </c>
      <c r="K126" s="95"/>
      <c r="L126" s="50"/>
      <c r="M126" s="15"/>
    </row>
    <row r="127" spans="1:13">
      <c r="A127" s="50">
        <v>2</v>
      </c>
      <c r="B127" s="50"/>
      <c r="C127" s="50" t="s">
        <v>249</v>
      </c>
      <c r="D127" s="50"/>
      <c r="E127" s="32">
        <f t="shared" si="19"/>
        <v>0</v>
      </c>
      <c r="F127" s="32">
        <f t="shared" si="19"/>
        <v>28280.380597409297</v>
      </c>
      <c r="G127" s="32">
        <f t="shared" si="19"/>
        <v>27651.927695244645</v>
      </c>
      <c r="H127" s="32">
        <f t="shared" si="19"/>
        <v>27023.474793079993</v>
      </c>
      <c r="I127" s="32">
        <f t="shared" si="19"/>
        <v>26395.021890915341</v>
      </c>
      <c r="J127" s="32">
        <f t="shared" si="19"/>
        <v>25766.568988750689</v>
      </c>
      <c r="K127" s="95"/>
      <c r="L127" s="50"/>
      <c r="M127" s="15"/>
    </row>
    <row r="128" spans="1:13">
      <c r="A128" s="50">
        <v>3</v>
      </c>
      <c r="B128" s="50"/>
      <c r="C128" s="50" t="s">
        <v>250</v>
      </c>
      <c r="D128" s="50"/>
      <c r="E128" s="32">
        <f t="shared" si="19"/>
        <v>0</v>
      </c>
      <c r="F128" s="32">
        <f t="shared" si="19"/>
        <v>0</v>
      </c>
      <c r="G128" s="32">
        <f t="shared" si="19"/>
        <v>31549.758588266071</v>
      </c>
      <c r="H128" s="32">
        <f t="shared" si="19"/>
        <v>30848.652841860159</v>
      </c>
      <c r="I128" s="32">
        <f t="shared" si="19"/>
        <v>30147.547095454247</v>
      </c>
      <c r="J128" s="32">
        <f t="shared" si="19"/>
        <v>29446.441349048335</v>
      </c>
      <c r="K128" s="95"/>
      <c r="L128" s="50"/>
      <c r="M128" s="15"/>
    </row>
    <row r="129" spans="1:13">
      <c r="A129" s="50">
        <v>4</v>
      </c>
      <c r="B129" s="50"/>
      <c r="C129" s="50" t="s">
        <v>251</v>
      </c>
      <c r="D129" s="50"/>
      <c r="E129" s="32">
        <f t="shared" si="19"/>
        <v>0</v>
      </c>
      <c r="F129" s="32">
        <f t="shared" si="19"/>
        <v>0</v>
      </c>
      <c r="G129" s="32">
        <f t="shared" si="19"/>
        <v>0</v>
      </c>
      <c r="H129" s="32">
        <f t="shared" si="19"/>
        <v>34608.069409814809</v>
      </c>
      <c r="I129" s="32">
        <f t="shared" si="19"/>
        <v>33839.001200707811</v>
      </c>
      <c r="J129" s="32">
        <f t="shared" si="19"/>
        <v>33069.932991600814</v>
      </c>
      <c r="K129" s="95"/>
      <c r="L129" s="50"/>
      <c r="M129" s="15"/>
    </row>
    <row r="130" spans="1:13">
      <c r="A130" s="50">
        <v>5</v>
      </c>
      <c r="B130" s="50"/>
      <c r="C130" s="50" t="s">
        <v>252</v>
      </c>
      <c r="D130" s="50"/>
      <c r="E130" s="32">
        <f t="shared" si="19"/>
        <v>0</v>
      </c>
      <c r="F130" s="32">
        <f t="shared" si="19"/>
        <v>0</v>
      </c>
      <c r="G130" s="32">
        <f t="shared" si="19"/>
        <v>0</v>
      </c>
      <c r="H130" s="32">
        <f t="shared" si="19"/>
        <v>0</v>
      </c>
      <c r="I130" s="32">
        <f t="shared" si="19"/>
        <v>35230.733512882674</v>
      </c>
      <c r="J130" s="32">
        <f t="shared" si="19"/>
        <v>34447.828323707501</v>
      </c>
      <c r="K130" s="95"/>
      <c r="L130" s="50"/>
      <c r="M130" s="15"/>
    </row>
    <row r="131" spans="1:13">
      <c r="A131" s="50">
        <v>6</v>
      </c>
      <c r="B131" s="50"/>
      <c r="C131" s="50" t="s">
        <v>253</v>
      </c>
      <c r="D131" s="50"/>
      <c r="E131" s="32">
        <f t="shared" si="19"/>
        <v>0</v>
      </c>
      <c r="F131" s="32">
        <f t="shared" si="19"/>
        <v>0</v>
      </c>
      <c r="G131" s="32">
        <f t="shared" si="19"/>
        <v>0</v>
      </c>
      <c r="H131" s="32">
        <f t="shared" si="19"/>
        <v>0</v>
      </c>
      <c r="I131" s="32">
        <f t="shared" si="19"/>
        <v>0</v>
      </c>
      <c r="J131" s="32">
        <f t="shared" si="19"/>
        <v>37062.472177288699</v>
      </c>
      <c r="K131" s="95"/>
      <c r="L131" s="50"/>
      <c r="M131" s="15"/>
    </row>
    <row r="132" spans="1:13">
      <c r="A132" s="50"/>
      <c r="B132" s="50"/>
      <c r="C132" s="50" t="s">
        <v>62</v>
      </c>
      <c r="D132" s="50"/>
      <c r="E132" s="32">
        <f t="shared" ref="E132:J132" si="20">SUM(E120:E125)</f>
        <v>0</v>
      </c>
      <c r="F132" s="32">
        <f t="shared" si="20"/>
        <v>777.41660993364314</v>
      </c>
      <c r="G132" s="32">
        <f t="shared" si="20"/>
        <v>1405.8695120982943</v>
      </c>
      <c r="H132" s="32">
        <f t="shared" si="20"/>
        <v>2106.975258504207</v>
      </c>
      <c r="I132" s="32">
        <f t="shared" si="20"/>
        <v>2876.0434676112027</v>
      </c>
      <c r="J132" s="32">
        <f t="shared" si="20"/>
        <v>3658.9486567863732</v>
      </c>
      <c r="K132" s="95"/>
      <c r="L132" s="27"/>
      <c r="M132" s="15"/>
    </row>
    <row r="133" spans="1:13" s="15" customFormat="1">
      <c r="A133" s="50"/>
      <c r="B133" s="50"/>
      <c r="C133" s="50"/>
      <c r="D133" s="50"/>
      <c r="E133" s="32"/>
      <c r="F133" s="32"/>
      <c r="G133" s="32"/>
      <c r="H133" s="32"/>
      <c r="I133" s="32"/>
      <c r="J133" s="32"/>
      <c r="K133" s="95"/>
      <c r="L133" s="50"/>
    </row>
    <row r="134" spans="1:13" ht="15.75">
      <c r="A134" s="50"/>
      <c r="B134" s="50"/>
      <c r="C134" s="162" t="s">
        <v>63</v>
      </c>
      <c r="D134" s="50"/>
      <c r="E134" s="50"/>
      <c r="F134" s="50"/>
      <c r="G134" s="50"/>
      <c r="H134" s="50"/>
      <c r="I134" s="50"/>
      <c r="J134" s="50"/>
      <c r="K134" s="95"/>
      <c r="L134" s="50"/>
      <c r="M134" s="15"/>
    </row>
    <row r="135" spans="1:13">
      <c r="A135" s="50"/>
      <c r="B135" s="50"/>
      <c r="C135" s="50" t="s">
        <v>65</v>
      </c>
      <c r="D135" s="50"/>
      <c r="E135" s="129">
        <f>E59</f>
        <v>528459.48184932198</v>
      </c>
      <c r="F135" s="32">
        <f>E140</f>
        <v>503098.72510163393</v>
      </c>
      <c r="G135" s="32">
        <f>F140</f>
        <v>477738.06536169956</v>
      </c>
      <c r="H135" s="32">
        <f>G140</f>
        <v>452378.06873631722</v>
      </c>
      <c r="I135" s="32">
        <f>H140</f>
        <v>427018.75713202939</v>
      </c>
      <c r="J135" s="32">
        <f>I140</f>
        <v>401660.20982214413</v>
      </c>
      <c r="K135" s="95"/>
      <c r="L135" s="50"/>
      <c r="M135" s="15"/>
    </row>
    <row r="136" spans="1:13">
      <c r="A136" s="50"/>
      <c r="B136" s="50"/>
      <c r="C136" s="50" t="s">
        <v>40</v>
      </c>
      <c r="D136" s="50"/>
      <c r="E136" s="32">
        <f t="shared" ref="E136:J136" si="21">E56</f>
        <v>17</v>
      </c>
      <c r="F136" s="32">
        <f t="shared" si="21"/>
        <v>17.759343664539653</v>
      </c>
      <c r="G136" s="32">
        <f t="shared" si="21"/>
        <v>18.038286235186874</v>
      </c>
      <c r="H136" s="32">
        <f t="shared" si="21"/>
        <v>18.363719234275294</v>
      </c>
      <c r="I136" s="32">
        <f t="shared" si="21"/>
        <v>18.689152233363718</v>
      </c>
      <c r="J136" s="32">
        <f t="shared" si="21"/>
        <v>19.123062898814947</v>
      </c>
      <c r="K136" s="95"/>
      <c r="L136" s="50"/>
      <c r="M136" s="15"/>
    </row>
    <row r="137" spans="1:13">
      <c r="A137" s="50"/>
      <c r="B137" s="50"/>
      <c r="C137" s="50" t="s">
        <v>312</v>
      </c>
      <c r="D137" s="50"/>
      <c r="E137" s="32">
        <f>Wel!E12</f>
        <v>0</v>
      </c>
      <c r="F137" s="32"/>
      <c r="G137" s="32"/>
      <c r="H137" s="32"/>
      <c r="I137" s="32"/>
      <c r="J137" s="32"/>
      <c r="K137" s="95"/>
      <c r="L137" s="50"/>
      <c r="M137" s="15"/>
    </row>
    <row r="138" spans="1:13">
      <c r="A138" s="50"/>
      <c r="B138" s="50"/>
      <c r="C138" s="50" t="s">
        <v>313</v>
      </c>
      <c r="D138" s="50"/>
      <c r="E138" s="32">
        <f>Wel!E13</f>
        <v>0</v>
      </c>
      <c r="F138" s="32"/>
      <c r="G138" s="32"/>
      <c r="H138" s="32"/>
      <c r="I138" s="32"/>
      <c r="J138" s="32"/>
      <c r="K138" s="95"/>
      <c r="L138" s="50"/>
      <c r="M138" s="15"/>
    </row>
    <row r="139" spans="1:13">
      <c r="A139" s="50"/>
      <c r="B139" s="50"/>
      <c r="C139" s="50" t="s">
        <v>64</v>
      </c>
      <c r="D139" s="50"/>
      <c r="E139" s="32">
        <f t="shared" ref="E139:J139" si="22">E135/E$54</f>
        <v>25343.756747688079</v>
      </c>
      <c r="F139" s="32">
        <f t="shared" si="22"/>
        <v>25342.900396269877</v>
      </c>
      <c r="G139" s="32">
        <f t="shared" si="22"/>
        <v>25341.958339147142</v>
      </c>
      <c r="H139" s="32">
        <f t="shared" si="22"/>
        <v>25340.947885053516</v>
      </c>
      <c r="I139" s="32">
        <f t="shared" si="22"/>
        <v>25339.858157651914</v>
      </c>
      <c r="J139" s="32">
        <f t="shared" si="22"/>
        <v>25338.679155050857</v>
      </c>
      <c r="K139" s="95"/>
      <c r="L139" s="50"/>
      <c r="M139" s="15"/>
    </row>
    <row r="140" spans="1:13">
      <c r="A140" s="50"/>
      <c r="B140" s="50"/>
      <c r="C140" s="50" t="s">
        <v>61</v>
      </c>
      <c r="D140" s="50"/>
      <c r="E140" s="129">
        <f>E135-E136-E137+E138-E139</f>
        <v>503098.72510163393</v>
      </c>
      <c r="F140" s="32">
        <f>F135-F136-F139</f>
        <v>477738.06536169956</v>
      </c>
      <c r="G140" s="32">
        <f>G135-G136-G139</f>
        <v>452378.06873631722</v>
      </c>
      <c r="H140" s="32">
        <f>H135-H136-H139</f>
        <v>427018.75713202939</v>
      </c>
      <c r="I140" s="32">
        <f>I135-I136-I139</f>
        <v>401660.20982214413</v>
      </c>
      <c r="J140" s="32">
        <f>J135-J136-J139</f>
        <v>376302.40760419448</v>
      </c>
      <c r="K140" s="95"/>
      <c r="L140" s="50"/>
      <c r="M140" s="15"/>
    </row>
    <row r="141" spans="1:13">
      <c r="A141" s="50"/>
      <c r="B141" s="50"/>
      <c r="C141" s="50"/>
      <c r="D141" s="50"/>
      <c r="E141" s="32"/>
      <c r="F141" s="32"/>
      <c r="G141" s="32"/>
      <c r="H141" s="32"/>
      <c r="I141" s="32"/>
      <c r="J141" s="32"/>
      <c r="K141" s="95"/>
      <c r="L141" s="27"/>
      <c r="M141" s="15"/>
    </row>
    <row r="142" spans="1:13" ht="15.75">
      <c r="A142" s="50"/>
      <c r="B142" s="50"/>
      <c r="C142" s="162" t="s">
        <v>66</v>
      </c>
      <c r="D142" s="50"/>
      <c r="E142" s="50"/>
      <c r="F142" s="50"/>
      <c r="G142" s="50"/>
      <c r="H142" s="50"/>
      <c r="I142" s="50"/>
      <c r="J142" s="50"/>
      <c r="K142" s="95"/>
      <c r="L142" s="27"/>
      <c r="M142" s="15"/>
    </row>
    <row r="143" spans="1:13">
      <c r="A143" s="50"/>
      <c r="B143" s="50"/>
      <c r="C143" s="50" t="s">
        <v>155</v>
      </c>
      <c r="D143" s="50"/>
      <c r="E143" s="32">
        <f t="shared" ref="E143:J143" si="23">E59+E100</f>
        <v>528459.48184932198</v>
      </c>
      <c r="F143" s="32">
        <f t="shared" si="23"/>
        <v>547180.46363475162</v>
      </c>
      <c r="G143" s="32">
        <f t="shared" si="23"/>
        <v>559694.82359572395</v>
      </c>
      <c r="H143" s="32">
        <f t="shared" si="23"/>
        <v>577077.30835439591</v>
      </c>
      <c r="I143" s="32">
        <f t="shared" si="23"/>
        <v>595695.34779594536</v>
      </c>
      <c r="J143" s="32">
        <f t="shared" si="23"/>
        <v>613028.28987330769</v>
      </c>
      <c r="K143" s="95"/>
      <c r="L143" s="27"/>
      <c r="M143" s="15"/>
    </row>
    <row r="144" spans="1:13">
      <c r="A144" s="50"/>
      <c r="B144" s="50"/>
      <c r="C144" s="50" t="s">
        <v>154</v>
      </c>
      <c r="D144" s="50"/>
      <c r="E144" s="32">
        <f t="shared" ref="E144:J146" si="24">E63+E101</f>
        <v>9097.9910861036969</v>
      </c>
      <c r="F144" s="32">
        <f t="shared" si="24"/>
        <v>10830.354393982696</v>
      </c>
      <c r="G144" s="32">
        <f t="shared" si="24"/>
        <v>13610.381029801245</v>
      </c>
      <c r="H144" s="32">
        <f t="shared" si="24"/>
        <v>13199.717000550518</v>
      </c>
      <c r="I144" s="32">
        <f t="shared" si="24"/>
        <v>12765.256011936821</v>
      </c>
      <c r="J144" s="32">
        <f t="shared" si="24"/>
        <v>12251.212702923702</v>
      </c>
      <c r="K144" s="95"/>
      <c r="L144" s="50"/>
      <c r="M144" s="15"/>
    </row>
    <row r="145" spans="1:13">
      <c r="A145" s="50"/>
      <c r="B145" s="50"/>
      <c r="C145" s="50" t="s">
        <v>153</v>
      </c>
      <c r="D145" s="50"/>
      <c r="E145" s="32">
        <f t="shared" si="24"/>
        <v>25343.756747688079</v>
      </c>
      <c r="F145" s="32">
        <f t="shared" si="24"/>
        <v>26578.615686755136</v>
      </c>
      <c r="G145" s="32">
        <f t="shared" si="24"/>
        <v>27759.616573160121</v>
      </c>
      <c r="H145" s="32">
        <f t="shared" si="24"/>
        <v>29171.383249581675</v>
      </c>
      <c r="I145" s="32">
        <f t="shared" si="24"/>
        <v>30644.35829522369</v>
      </c>
      <c r="J145" s="32">
        <f t="shared" si="24"/>
        <v>32121.582802009401</v>
      </c>
      <c r="K145" s="95"/>
      <c r="L145" s="50"/>
      <c r="M145" s="15"/>
    </row>
    <row r="146" spans="1:13">
      <c r="A146" s="50"/>
      <c r="B146" s="50"/>
      <c r="C146" s="50" t="s">
        <v>156</v>
      </c>
      <c r="D146" s="50"/>
      <c r="E146" s="32">
        <f t="shared" si="24"/>
        <v>547180.46363475162</v>
      </c>
      <c r="F146" s="32">
        <f t="shared" si="24"/>
        <v>559694.82359572395</v>
      </c>
      <c r="G146" s="32">
        <f t="shared" si="24"/>
        <v>577077.30835439591</v>
      </c>
      <c r="H146" s="32">
        <f t="shared" si="24"/>
        <v>595695.34779594536</v>
      </c>
      <c r="I146" s="32">
        <f t="shared" si="24"/>
        <v>613028.28987330769</v>
      </c>
      <c r="J146" s="32">
        <f t="shared" si="24"/>
        <v>630201.26888861181</v>
      </c>
      <c r="K146" s="95"/>
      <c r="L146" s="50"/>
      <c r="M146" s="15"/>
    </row>
    <row r="147" spans="1:13">
      <c r="A147" s="50"/>
      <c r="B147" s="50"/>
      <c r="C147" s="50" t="s">
        <v>45</v>
      </c>
      <c r="D147" s="50"/>
      <c r="E147" s="32">
        <f t="shared" ref="E147:J147" si="25">E132+E139</f>
        <v>25343.756747688079</v>
      </c>
      <c r="F147" s="32">
        <f t="shared" si="25"/>
        <v>26120.317006203521</v>
      </c>
      <c r="G147" s="32">
        <f t="shared" si="25"/>
        <v>26747.827851245438</v>
      </c>
      <c r="H147" s="32">
        <f t="shared" si="25"/>
        <v>27447.923143557724</v>
      </c>
      <c r="I147" s="32">
        <f t="shared" si="25"/>
        <v>28215.901625263115</v>
      </c>
      <c r="J147" s="32">
        <f t="shared" si="25"/>
        <v>28997.627811837228</v>
      </c>
      <c r="K147" s="95"/>
      <c r="L147" s="50"/>
      <c r="M147" s="15"/>
    </row>
    <row r="148" spans="1:13">
      <c r="A148" s="50"/>
      <c r="B148" s="50"/>
      <c r="C148" s="50" t="s">
        <v>178</v>
      </c>
      <c r="D148" s="50"/>
      <c r="E148" s="128"/>
      <c r="F148" s="165">
        <f>F143+F107+F144-F145-F56-F146</f>
        <v>0</v>
      </c>
      <c r="G148" s="165">
        <f>G143+G107+G144-G145-G56-G146</f>
        <v>0</v>
      </c>
      <c r="H148" s="165">
        <f>H143+H107+H144-H145-H56-H146</f>
        <v>0</v>
      </c>
      <c r="I148" s="165">
        <f>I143+I107+I144-I145-I56-I146</f>
        <v>0</v>
      </c>
      <c r="J148" s="165">
        <f>J143+J107+J144-J145-J56-J146</f>
        <v>0</v>
      </c>
      <c r="K148" s="95"/>
      <c r="L148" s="50"/>
      <c r="M148" s="15"/>
    </row>
    <row r="149" spans="1:13">
      <c r="A149" s="50"/>
      <c r="B149" s="50"/>
      <c r="C149" s="50"/>
      <c r="D149" s="50"/>
      <c r="E149" s="50"/>
      <c r="F149" s="32"/>
      <c r="G149" s="32"/>
      <c r="H149" s="50"/>
      <c r="I149" s="50"/>
      <c r="J149" s="50"/>
      <c r="K149" s="95"/>
      <c r="L149" s="50"/>
      <c r="M149" s="15"/>
    </row>
    <row r="150" spans="1:13" ht="15.75">
      <c r="A150" s="50"/>
      <c r="B150" s="50"/>
      <c r="C150" s="162" t="s">
        <v>90</v>
      </c>
      <c r="D150" s="50"/>
      <c r="E150" s="50"/>
      <c r="F150" s="50"/>
      <c r="G150" s="50"/>
      <c r="H150" s="50"/>
      <c r="I150" s="50"/>
      <c r="J150" s="50"/>
      <c r="K150" s="95"/>
      <c r="L150" s="50"/>
      <c r="M150" s="15"/>
    </row>
    <row r="151" spans="1:13" ht="15.75">
      <c r="A151" s="50"/>
      <c r="B151" s="50"/>
      <c r="C151" s="158" t="s">
        <v>160</v>
      </c>
      <c r="D151" s="50"/>
      <c r="E151" s="129"/>
      <c r="F151" s="166">
        <f>F143/$E143</f>
        <v>1.0354255764697728</v>
      </c>
      <c r="G151" s="166">
        <f>G143/$E143</f>
        <v>1.0591064080014143</v>
      </c>
      <c r="H151" s="166">
        <f>H143/$E143</f>
        <v>1.0919991563685032</v>
      </c>
      <c r="I151" s="166">
        <f>I143/$E143</f>
        <v>1.1272299357962776</v>
      </c>
      <c r="J151" s="166">
        <f>J143/$E143</f>
        <v>1.1600289349110373</v>
      </c>
      <c r="K151" s="95"/>
      <c r="L151" s="50"/>
      <c r="M151" s="15"/>
    </row>
    <row r="152" spans="1:13">
      <c r="A152" s="50"/>
      <c r="B152" s="50"/>
      <c r="C152" s="50" t="s">
        <v>90</v>
      </c>
      <c r="D152" s="50"/>
      <c r="E152" s="129">
        <f>IF(E20&gt;0,E20,0)</f>
        <v>0</v>
      </c>
      <c r="F152" s="32">
        <f>$E152*F151</f>
        <v>0</v>
      </c>
      <c r="G152" s="32">
        <f>$E152*G151</f>
        <v>0</v>
      </c>
      <c r="H152" s="32">
        <f>$E152*H151</f>
        <v>0</v>
      </c>
      <c r="I152" s="32">
        <f>$E152*I151</f>
        <v>0</v>
      </c>
      <c r="J152" s="32">
        <f>$E152*J151</f>
        <v>0</v>
      </c>
      <c r="K152" s="95"/>
      <c r="L152" s="50"/>
      <c r="M152" s="15"/>
    </row>
    <row r="153" spans="1:13">
      <c r="A153" s="50"/>
      <c r="B153" s="50"/>
      <c r="C153" s="50"/>
      <c r="D153" s="50"/>
      <c r="E153" s="50"/>
      <c r="F153" s="50"/>
      <c r="G153" s="50"/>
      <c r="H153" s="50"/>
      <c r="I153" s="50"/>
      <c r="J153" s="50"/>
      <c r="K153" s="95"/>
      <c r="L153" s="50"/>
      <c r="M153" s="15"/>
    </row>
    <row r="154" spans="1:13" ht="15.75">
      <c r="A154" s="50"/>
      <c r="B154" s="50"/>
      <c r="C154" s="162" t="s">
        <v>46</v>
      </c>
      <c r="D154" s="50"/>
      <c r="E154" s="50"/>
      <c r="F154" s="50"/>
      <c r="G154" s="50"/>
      <c r="H154" s="50"/>
      <c r="I154" s="50"/>
      <c r="J154" s="50"/>
      <c r="K154" s="95"/>
      <c r="L154" s="27"/>
      <c r="M154" s="15"/>
    </row>
    <row r="155" spans="1:13">
      <c r="A155" s="50"/>
      <c r="B155" s="50"/>
      <c r="C155" s="50" t="s">
        <v>157</v>
      </c>
      <c r="D155" s="49">
        <f>E17/E18</f>
        <v>8.7432085500372833E-2</v>
      </c>
      <c r="E155" s="50"/>
      <c r="F155" s="50"/>
      <c r="G155" s="50"/>
      <c r="H155" s="50"/>
      <c r="I155" s="50"/>
      <c r="J155" s="50"/>
      <c r="K155" s="95"/>
      <c r="L155" s="125"/>
      <c r="M155" s="15"/>
    </row>
    <row r="156" spans="1:13">
      <c r="A156" s="50"/>
      <c r="B156" s="50"/>
      <c r="C156" s="50" t="s">
        <v>167</v>
      </c>
      <c r="D156" s="50"/>
      <c r="E156" s="129">
        <f>E18</f>
        <v>394459.92603999993</v>
      </c>
      <c r="F156" s="32">
        <f>E159</f>
        <v>394955.21950701391</v>
      </c>
      <c r="G156" s="32">
        <f>F159</f>
        <v>388703.84158366744</v>
      </c>
      <c r="H156" s="32">
        <f>G159</f>
        <v>386268.41266026697</v>
      </c>
      <c r="I156" s="32">
        <f>H159</f>
        <v>387104.22918827599</v>
      </c>
      <c r="J156" s="32">
        <f>I159</f>
        <v>388489.63263721339</v>
      </c>
      <c r="K156" s="95"/>
      <c r="L156" s="125"/>
      <c r="M156" s="15"/>
    </row>
    <row r="157" spans="1:13">
      <c r="A157" s="50"/>
      <c r="B157" s="50"/>
      <c r="C157" s="50" t="s">
        <v>34</v>
      </c>
      <c r="D157" s="50"/>
      <c r="E157" s="129">
        <f>E17</f>
        <v>34488.45398000002</v>
      </c>
      <c r="F157" s="32">
        <f>F156*$D155</f>
        <v>34531.758520755764</v>
      </c>
      <c r="G157" s="32">
        <f>G156*$D155</f>
        <v>33985.187511666591</v>
      </c>
      <c r="H157" s="32">
        <f>H156*$D155</f>
        <v>33772.252881805754</v>
      </c>
      <c r="I157" s="32">
        <f>I156*$D155</f>
        <v>33845.330063945265</v>
      </c>
      <c r="J157" s="32">
        <f>J156*$D155</f>
        <v>33966.458776745276</v>
      </c>
      <c r="K157" s="95"/>
      <c r="L157" s="50"/>
      <c r="M157" s="15"/>
    </row>
    <row r="158" spans="1:13">
      <c r="A158" s="50"/>
      <c r="B158" s="50"/>
      <c r="C158" s="50" t="s">
        <v>98</v>
      </c>
      <c r="D158" s="50"/>
      <c r="E158" s="32">
        <f t="shared" ref="E158:J158" si="26">E29</f>
        <v>34983.747447013942</v>
      </c>
      <c r="F158" s="32">
        <f t="shared" si="26"/>
        <v>28280.380597409297</v>
      </c>
      <c r="G158" s="32">
        <f t="shared" si="26"/>
        <v>31549.758588266071</v>
      </c>
      <c r="H158" s="32">
        <f t="shared" si="26"/>
        <v>34608.069409814809</v>
      </c>
      <c r="I158" s="32">
        <f t="shared" si="26"/>
        <v>35230.733512882674</v>
      </c>
      <c r="J158" s="32">
        <f t="shared" si="26"/>
        <v>37062.472177288699</v>
      </c>
      <c r="K158" s="95"/>
      <c r="L158" s="125"/>
      <c r="M158" s="15"/>
    </row>
    <row r="159" spans="1:13">
      <c r="A159" s="50"/>
      <c r="B159" s="50"/>
      <c r="C159" s="50" t="s">
        <v>127</v>
      </c>
      <c r="D159" s="50"/>
      <c r="E159" s="32">
        <f t="shared" ref="E159:J159" si="27">E156-E157+E158</f>
        <v>394955.21950701391</v>
      </c>
      <c r="F159" s="32">
        <f t="shared" si="27"/>
        <v>388703.84158366744</v>
      </c>
      <c r="G159" s="32">
        <f t="shared" si="27"/>
        <v>386268.41266026697</v>
      </c>
      <c r="H159" s="32">
        <f t="shared" si="27"/>
        <v>387104.22918827599</v>
      </c>
      <c r="I159" s="32">
        <f t="shared" si="27"/>
        <v>388489.63263721339</v>
      </c>
      <c r="J159" s="32">
        <f t="shared" si="27"/>
        <v>391585.64603775681</v>
      </c>
      <c r="K159" s="95"/>
      <c r="L159" s="125"/>
      <c r="M159" s="15"/>
    </row>
    <row r="160" spans="1:13">
      <c r="A160" s="50"/>
      <c r="B160" s="50"/>
      <c r="C160" s="50"/>
      <c r="D160" s="50"/>
      <c r="E160" s="50"/>
      <c r="F160" s="50"/>
      <c r="G160" s="50"/>
      <c r="H160" s="50"/>
      <c r="I160" s="50"/>
      <c r="J160" s="50"/>
      <c r="K160" s="95"/>
      <c r="L160" s="27"/>
      <c r="M160" s="15"/>
    </row>
    <row r="161" spans="1:13" ht="15.75">
      <c r="A161" s="50"/>
      <c r="B161" s="50"/>
      <c r="C161" s="162" t="s">
        <v>128</v>
      </c>
      <c r="D161" s="50"/>
      <c r="E161" s="50"/>
      <c r="F161" s="50"/>
      <c r="G161" s="50"/>
      <c r="H161" s="50"/>
      <c r="I161" s="50"/>
      <c r="J161" s="50"/>
      <c r="K161" s="95"/>
      <c r="L161" s="27"/>
      <c r="M161" s="15"/>
    </row>
    <row r="162" spans="1:13">
      <c r="A162" s="50"/>
      <c r="B162" s="50"/>
      <c r="C162" s="50" t="s">
        <v>126</v>
      </c>
      <c r="D162" s="50"/>
      <c r="E162" s="32">
        <f t="shared" ref="E162:J162" si="28">E147-E157</f>
        <v>-9144.6972323119408</v>
      </c>
      <c r="F162" s="32">
        <f t="shared" si="28"/>
        <v>-8411.4415145522435</v>
      </c>
      <c r="G162" s="32">
        <f t="shared" si="28"/>
        <v>-7237.3596604211525</v>
      </c>
      <c r="H162" s="32">
        <f t="shared" si="28"/>
        <v>-6324.3297382480305</v>
      </c>
      <c r="I162" s="32">
        <f t="shared" si="28"/>
        <v>-5629.4284386821491</v>
      </c>
      <c r="J162" s="32">
        <f t="shared" si="28"/>
        <v>-4968.8309649080475</v>
      </c>
      <c r="K162" s="95"/>
      <c r="L162" s="50"/>
      <c r="M162" s="15"/>
    </row>
    <row r="163" spans="1:13">
      <c r="A163" s="50"/>
      <c r="B163" s="50"/>
      <c r="C163" s="50"/>
      <c r="D163" s="50"/>
      <c r="E163" s="50"/>
      <c r="F163" s="50"/>
      <c r="G163" s="50"/>
      <c r="H163" s="50"/>
      <c r="I163" s="50"/>
      <c r="J163" s="50"/>
      <c r="K163" s="95"/>
      <c r="L163" s="50"/>
      <c r="M163" s="15"/>
    </row>
    <row r="164" spans="1:13" ht="15.75">
      <c r="A164" s="50"/>
      <c r="B164" s="50"/>
      <c r="C164" s="162" t="s">
        <v>47</v>
      </c>
      <c r="D164" s="50"/>
      <c r="E164" s="50"/>
      <c r="F164" s="50"/>
      <c r="G164" s="50"/>
      <c r="H164" s="50"/>
      <c r="I164" s="50"/>
      <c r="J164" s="50"/>
      <c r="K164" s="95"/>
      <c r="L164" s="50"/>
      <c r="M164" s="15"/>
    </row>
    <row r="165" spans="1:13">
      <c r="A165" s="50"/>
      <c r="B165" s="50"/>
      <c r="C165" s="50" t="s">
        <v>151</v>
      </c>
      <c r="D165" s="50"/>
      <c r="E165" s="193">
        <v>0</v>
      </c>
      <c r="F165" s="31">
        <f>E168</f>
        <v>-4418.4036173101076</v>
      </c>
      <c r="G165" s="31">
        <f>F168</f>
        <v>-8616.8305192923053</v>
      </c>
      <c r="H165" s="31">
        <f>G168</f>
        <v>-12206.619375318985</v>
      </c>
      <c r="I165" s="31">
        <f>H168</f>
        <v>-15540.759853137191</v>
      </c>
      <c r="J165" s="31">
        <f>I168</f>
        <v>-18680.327967076952</v>
      </c>
      <c r="K165" s="95"/>
      <c r="L165" s="50"/>
      <c r="M165" s="15"/>
    </row>
    <row r="166" spans="1:13">
      <c r="A166" s="50"/>
      <c r="B166" s="50"/>
      <c r="C166" s="50" t="s">
        <v>126</v>
      </c>
      <c r="D166" s="50"/>
      <c r="E166" s="32">
        <f t="shared" ref="E166:J166" si="29">E162</f>
        <v>-9144.6972323119408</v>
      </c>
      <c r="F166" s="32">
        <f t="shared" si="29"/>
        <v>-8411.4415145522435</v>
      </c>
      <c r="G166" s="32">
        <f t="shared" si="29"/>
        <v>-7237.3596604211525</v>
      </c>
      <c r="H166" s="32">
        <f t="shared" si="29"/>
        <v>-6324.3297382480305</v>
      </c>
      <c r="I166" s="32">
        <f t="shared" si="29"/>
        <v>-5629.4284386821491</v>
      </c>
      <c r="J166" s="32">
        <f t="shared" si="29"/>
        <v>-4968.8309649080475</v>
      </c>
      <c r="K166" s="95"/>
      <c r="L166" s="50"/>
      <c r="M166" s="15"/>
    </row>
    <row r="167" spans="1:13">
      <c r="A167" s="50"/>
      <c r="B167" s="50"/>
      <c r="C167" s="50" t="s">
        <v>48</v>
      </c>
      <c r="D167" s="50"/>
      <c r="E167" s="129">
        <f>(E11-E18)/E19</f>
        <v>5583.3148253884183</v>
      </c>
      <c r="F167" s="32">
        <f>E167</f>
        <v>5583.3148253884183</v>
      </c>
      <c r="G167" s="32">
        <f>F167</f>
        <v>5583.3148253884183</v>
      </c>
      <c r="H167" s="32">
        <f>G167</f>
        <v>5583.3148253884183</v>
      </c>
      <c r="I167" s="32">
        <f>H167</f>
        <v>5583.3148253884183</v>
      </c>
      <c r="J167" s="32">
        <f>I167</f>
        <v>5583.3148253884183</v>
      </c>
      <c r="K167" s="95"/>
      <c r="L167" s="50"/>
      <c r="M167" s="15"/>
    </row>
    <row r="168" spans="1:13">
      <c r="A168" s="50"/>
      <c r="B168" s="50"/>
      <c r="C168" s="50" t="s">
        <v>152</v>
      </c>
      <c r="D168" s="50"/>
      <c r="E168" s="31">
        <f t="shared" ref="E168:J168" si="30">E165+(E166-E167)*E53</f>
        <v>-4418.4036173101076</v>
      </c>
      <c r="F168" s="31">
        <f t="shared" si="30"/>
        <v>-8616.8305192923053</v>
      </c>
      <c r="G168" s="31">
        <f t="shared" si="30"/>
        <v>-12206.619375318985</v>
      </c>
      <c r="H168" s="31">
        <f t="shared" si="30"/>
        <v>-15540.759853137191</v>
      </c>
      <c r="I168" s="31">
        <f t="shared" si="30"/>
        <v>-18680.327967076952</v>
      </c>
      <c r="J168" s="31">
        <f t="shared" si="30"/>
        <v>-21634.928788359961</v>
      </c>
      <c r="K168" s="95"/>
      <c r="L168" s="50"/>
      <c r="M168" s="15"/>
    </row>
    <row r="169" spans="1:13">
      <c r="A169" s="50"/>
      <c r="B169" s="50"/>
      <c r="C169" s="50"/>
      <c r="D169" s="50"/>
      <c r="E169" s="31"/>
      <c r="F169" s="31"/>
      <c r="G169" s="31"/>
      <c r="H169" s="31"/>
      <c r="I169" s="31"/>
      <c r="J169" s="31"/>
      <c r="K169" s="95"/>
      <c r="L169" s="27"/>
      <c r="M169" s="15"/>
    </row>
    <row r="170" spans="1:13" ht="15.75">
      <c r="A170" s="50"/>
      <c r="B170" s="50"/>
      <c r="C170" s="162" t="s">
        <v>196</v>
      </c>
      <c r="D170" s="50"/>
      <c r="E170" s="50"/>
      <c r="F170" s="50"/>
      <c r="G170" s="50"/>
      <c r="H170" s="50"/>
      <c r="I170" s="50"/>
      <c r="J170" s="50"/>
      <c r="K170" s="95"/>
      <c r="L170" s="27"/>
      <c r="M170" s="15"/>
    </row>
    <row r="171" spans="1:13">
      <c r="A171" s="50"/>
      <c r="B171" s="50"/>
      <c r="C171" s="50" t="s">
        <v>106</v>
      </c>
      <c r="D171" s="50"/>
      <c r="E171" s="32">
        <f t="shared" ref="E171:J171" si="31">E143+E165</f>
        <v>528459.48184932198</v>
      </c>
      <c r="F171" s="32">
        <f t="shared" si="31"/>
        <v>542762.06001744152</v>
      </c>
      <c r="G171" s="32">
        <f t="shared" si="31"/>
        <v>551077.99307643168</v>
      </c>
      <c r="H171" s="32">
        <f t="shared" si="31"/>
        <v>564870.68897907692</v>
      </c>
      <c r="I171" s="32">
        <f t="shared" si="31"/>
        <v>580154.58794280817</v>
      </c>
      <c r="J171" s="32">
        <f t="shared" si="31"/>
        <v>594347.96190623078</v>
      </c>
      <c r="K171" s="95"/>
      <c r="L171" s="50"/>
      <c r="M171" s="15"/>
    </row>
    <row r="172" spans="1:13">
      <c r="A172" s="50"/>
      <c r="B172" s="50"/>
      <c r="C172" s="50" t="s">
        <v>98</v>
      </c>
      <c r="D172" s="50"/>
      <c r="E172" s="32">
        <f t="shared" ref="E172:J172" si="32">E29</f>
        <v>34983.747447013942</v>
      </c>
      <c r="F172" s="32">
        <f t="shared" si="32"/>
        <v>28280.380597409297</v>
      </c>
      <c r="G172" s="32">
        <f t="shared" si="32"/>
        <v>31549.758588266071</v>
      </c>
      <c r="H172" s="32">
        <f t="shared" si="32"/>
        <v>34608.069409814809</v>
      </c>
      <c r="I172" s="32">
        <f t="shared" si="32"/>
        <v>35230.733512882674</v>
      </c>
      <c r="J172" s="32">
        <f t="shared" si="32"/>
        <v>37062.472177288699</v>
      </c>
      <c r="K172" s="95"/>
      <c r="L172" s="50"/>
      <c r="M172" s="15"/>
    </row>
    <row r="173" spans="1:13">
      <c r="A173" s="50"/>
      <c r="B173" s="50"/>
      <c r="C173" s="50" t="s">
        <v>111</v>
      </c>
      <c r="D173" s="50"/>
      <c r="E173" s="96">
        <f t="shared" ref="E173:J173" si="33">E152</f>
        <v>0</v>
      </c>
      <c r="F173" s="96">
        <f t="shared" si="33"/>
        <v>0</v>
      </c>
      <c r="G173" s="96">
        <f t="shared" si="33"/>
        <v>0</v>
      </c>
      <c r="H173" s="96">
        <f t="shared" si="33"/>
        <v>0</v>
      </c>
      <c r="I173" s="96">
        <f t="shared" si="33"/>
        <v>0</v>
      </c>
      <c r="J173" s="96">
        <f t="shared" si="33"/>
        <v>0</v>
      </c>
      <c r="K173" s="95"/>
      <c r="L173" s="50"/>
      <c r="M173" s="15"/>
    </row>
    <row r="174" spans="1:13">
      <c r="A174" s="50"/>
      <c r="B174" s="50"/>
      <c r="C174" s="50" t="s">
        <v>44</v>
      </c>
      <c r="D174" s="50"/>
      <c r="E174" s="96">
        <f t="shared" ref="E174:J174" si="34">E144</f>
        <v>9097.9910861036969</v>
      </c>
      <c r="F174" s="96">
        <f t="shared" si="34"/>
        <v>10830.354393982696</v>
      </c>
      <c r="G174" s="96">
        <f t="shared" si="34"/>
        <v>13610.381029801245</v>
      </c>
      <c r="H174" s="96">
        <f t="shared" si="34"/>
        <v>13199.717000550518</v>
      </c>
      <c r="I174" s="96">
        <f t="shared" si="34"/>
        <v>12765.256011936821</v>
      </c>
      <c r="J174" s="96">
        <f t="shared" si="34"/>
        <v>12251.212702923702</v>
      </c>
      <c r="K174" s="95"/>
      <c r="L174" s="50"/>
      <c r="M174" s="15"/>
    </row>
    <row r="175" spans="1:13">
      <c r="A175" s="50"/>
      <c r="B175" s="50"/>
      <c r="C175" s="50" t="s">
        <v>196</v>
      </c>
      <c r="D175" s="50"/>
      <c r="E175" s="32">
        <f t="shared" ref="E175:J175" si="35">E171*WACC+E172*($D$48-1)+E173-E174</f>
        <v>38745.506324861039</v>
      </c>
      <c r="F175" s="32">
        <f t="shared" si="35"/>
        <v>37980.518214960073</v>
      </c>
      <c r="G175" s="32">
        <f t="shared" si="35"/>
        <v>36069.755992045888</v>
      </c>
      <c r="H175" s="32">
        <f t="shared" si="35"/>
        <v>37820.961072100996</v>
      </c>
      <c r="I175" s="32">
        <f t="shared" si="35"/>
        <v>39622.475300074744</v>
      </c>
      <c r="J175" s="32">
        <f t="shared" si="35"/>
        <v>41459.691443181662</v>
      </c>
      <c r="K175" s="95"/>
      <c r="L175" s="50"/>
      <c r="M175" s="15"/>
    </row>
    <row r="176" spans="1:13">
      <c r="A176" s="50"/>
      <c r="B176" s="50"/>
      <c r="C176" s="50"/>
      <c r="D176" s="50"/>
      <c r="E176" s="31"/>
      <c r="F176" s="31"/>
      <c r="G176" s="31"/>
      <c r="H176" s="31"/>
      <c r="I176" s="31"/>
      <c r="J176" s="31"/>
      <c r="K176" s="95"/>
      <c r="L176" s="27"/>
      <c r="M176" s="15"/>
    </row>
    <row r="177" spans="1:13" ht="15.75">
      <c r="A177" s="50"/>
      <c r="B177" s="50"/>
      <c r="C177" s="162" t="s">
        <v>49</v>
      </c>
      <c r="D177" s="50"/>
      <c r="E177" s="50"/>
      <c r="F177" s="50"/>
      <c r="G177" s="50"/>
      <c r="H177" s="50"/>
      <c r="I177" s="50"/>
      <c r="J177" s="50"/>
      <c r="K177" s="95"/>
      <c r="L177" s="27"/>
      <c r="M177" s="15"/>
    </row>
    <row r="178" spans="1:13">
      <c r="A178" s="50"/>
      <c r="B178" s="50"/>
      <c r="C178" s="50" t="s">
        <v>50</v>
      </c>
      <c r="D178" s="50"/>
      <c r="E178" s="31">
        <f t="shared" ref="E178:J178" si="36">E171*Leverage*Debt+E152</f>
        <v>18439.00824068654</v>
      </c>
      <c r="F178" s="31">
        <f t="shared" si="36"/>
        <v>18938.053798128571</v>
      </c>
      <c r="G178" s="31">
        <f t="shared" si="36"/>
        <v>19228.213334422853</v>
      </c>
      <c r="H178" s="31">
        <f t="shared" si="36"/>
        <v>19709.46807985795</v>
      </c>
      <c r="I178" s="31">
        <f t="shared" si="36"/>
        <v>20242.753882500463</v>
      </c>
      <c r="J178" s="31">
        <f t="shared" si="36"/>
        <v>20737.989086832204</v>
      </c>
      <c r="K178" s="95"/>
      <c r="L178" s="50"/>
      <c r="M178" s="15"/>
    </row>
    <row r="179" spans="1:13">
      <c r="A179" s="50"/>
      <c r="B179" s="50"/>
      <c r="C179" s="50" t="s">
        <v>51</v>
      </c>
      <c r="D179" s="50"/>
      <c r="E179" s="31">
        <f t="shared" ref="E179:J179" si="37">E145-E147</f>
        <v>0</v>
      </c>
      <c r="F179" s="31">
        <f t="shared" si="37"/>
        <v>458.29868055161569</v>
      </c>
      <c r="G179" s="31">
        <f t="shared" si="37"/>
        <v>1011.7887219146833</v>
      </c>
      <c r="H179" s="31">
        <f t="shared" si="37"/>
        <v>1723.4601060239511</v>
      </c>
      <c r="I179" s="31">
        <f t="shared" si="37"/>
        <v>2428.4566699605748</v>
      </c>
      <c r="J179" s="31">
        <f t="shared" si="37"/>
        <v>3123.954990172173</v>
      </c>
      <c r="K179" s="95"/>
      <c r="L179" s="50"/>
      <c r="M179" s="15"/>
    </row>
    <row r="180" spans="1:13">
      <c r="A180" s="50"/>
      <c r="B180" s="50"/>
      <c r="C180" s="50" t="s">
        <v>52</v>
      </c>
      <c r="D180" s="50"/>
      <c r="E180" s="31">
        <f t="shared" ref="E180:J180" si="38">E167+E179-E178</f>
        <v>-12855.693415298123</v>
      </c>
      <c r="F180" s="31">
        <f t="shared" si="38"/>
        <v>-12896.440292188538</v>
      </c>
      <c r="G180" s="31">
        <f t="shared" si="38"/>
        <v>-12633.109787119753</v>
      </c>
      <c r="H180" s="31">
        <f t="shared" si="38"/>
        <v>-12402.693148445582</v>
      </c>
      <c r="I180" s="31">
        <f t="shared" si="38"/>
        <v>-12230.982387151471</v>
      </c>
      <c r="J180" s="31">
        <f t="shared" si="38"/>
        <v>-12030.719271271613</v>
      </c>
      <c r="K180" s="95"/>
      <c r="L180" s="50"/>
      <c r="M180" s="15"/>
    </row>
    <row r="181" spans="1:13">
      <c r="A181" s="50"/>
      <c r="B181" s="50"/>
      <c r="C181" s="50"/>
      <c r="D181" s="50"/>
      <c r="E181" s="50"/>
      <c r="F181" s="167"/>
      <c r="G181" s="32"/>
      <c r="H181" s="32"/>
      <c r="I181" s="32"/>
      <c r="J181" s="32"/>
      <c r="K181" s="95"/>
      <c r="L181" s="50"/>
      <c r="M181" s="15"/>
    </row>
    <row r="182" spans="1:13" ht="15.75">
      <c r="A182" s="50"/>
      <c r="B182" s="50"/>
      <c r="C182" s="162" t="s">
        <v>107</v>
      </c>
      <c r="D182" s="50"/>
      <c r="E182" s="50"/>
      <c r="F182" s="167"/>
      <c r="G182" s="32"/>
      <c r="H182" s="32"/>
      <c r="I182" s="32"/>
      <c r="J182" s="32"/>
      <c r="K182" s="95"/>
      <c r="L182" s="27"/>
      <c r="M182" s="15"/>
    </row>
    <row r="183" spans="1:13">
      <c r="A183" s="50"/>
      <c r="B183" s="50"/>
      <c r="C183" s="50" t="s">
        <v>153</v>
      </c>
      <c r="D183" s="50"/>
      <c r="E183" s="32">
        <f t="shared" ref="E183:J183" si="39">E145</f>
        <v>25343.756747688079</v>
      </c>
      <c r="F183" s="32">
        <f t="shared" si="39"/>
        <v>26578.615686755136</v>
      </c>
      <c r="G183" s="32">
        <f t="shared" si="39"/>
        <v>27759.616573160121</v>
      </c>
      <c r="H183" s="32">
        <f t="shared" si="39"/>
        <v>29171.383249581675</v>
      </c>
      <c r="I183" s="32">
        <f t="shared" si="39"/>
        <v>30644.35829522369</v>
      </c>
      <c r="J183" s="32">
        <f t="shared" si="39"/>
        <v>32121.582802009401</v>
      </c>
      <c r="K183" s="95"/>
      <c r="L183" s="50"/>
      <c r="M183" s="15"/>
    </row>
    <row r="184" spans="1:13">
      <c r="A184" s="50"/>
      <c r="B184" s="50"/>
      <c r="C184" s="50" t="s">
        <v>107</v>
      </c>
      <c r="D184" s="50"/>
      <c r="E184" s="96">
        <f t="shared" ref="E184:J184" si="40">E183</f>
        <v>25343.756747688079</v>
      </c>
      <c r="F184" s="96">
        <f t="shared" si="40"/>
        <v>26578.615686755136</v>
      </c>
      <c r="G184" s="96">
        <f t="shared" si="40"/>
        <v>27759.616573160121</v>
      </c>
      <c r="H184" s="96">
        <f t="shared" si="40"/>
        <v>29171.383249581675</v>
      </c>
      <c r="I184" s="96">
        <f t="shared" si="40"/>
        <v>30644.35829522369</v>
      </c>
      <c r="J184" s="96">
        <f t="shared" si="40"/>
        <v>32121.582802009401</v>
      </c>
      <c r="K184" s="95"/>
      <c r="L184" s="50"/>
      <c r="M184" s="15"/>
    </row>
    <row r="185" spans="1:13">
      <c r="A185" s="50"/>
      <c r="B185" s="50"/>
      <c r="C185" s="50"/>
      <c r="D185" s="50"/>
      <c r="E185" s="50"/>
      <c r="F185" s="96"/>
      <c r="G185" s="96"/>
      <c r="H185" s="96"/>
      <c r="I185" s="96"/>
      <c r="J185" s="96"/>
      <c r="K185" s="95"/>
      <c r="L185" s="50"/>
      <c r="M185" s="15"/>
    </row>
    <row r="186" spans="1:13" ht="15.75">
      <c r="A186" s="50"/>
      <c r="B186" s="50"/>
      <c r="C186" s="121" t="s">
        <v>122</v>
      </c>
      <c r="D186" s="50"/>
      <c r="E186" s="50"/>
      <c r="F186" s="96"/>
      <c r="G186" s="96"/>
      <c r="H186" s="96"/>
      <c r="I186" s="96"/>
      <c r="J186" s="96"/>
      <c r="K186" s="95"/>
      <c r="L186" s="27"/>
      <c r="M186" s="15"/>
    </row>
    <row r="187" spans="1:13">
      <c r="A187" s="50"/>
      <c r="B187" s="50"/>
      <c r="C187" s="50" t="s">
        <v>122</v>
      </c>
      <c r="D187" s="50"/>
      <c r="E187" s="32">
        <f t="shared" ref="E187:J187" si="41">E43</f>
        <v>438.91760055736785</v>
      </c>
      <c r="F187" s="32">
        <f t="shared" si="41"/>
        <v>458.52285345373156</v>
      </c>
      <c r="G187" s="32">
        <f t="shared" si="41"/>
        <v>465.72478308913054</v>
      </c>
      <c r="H187" s="32">
        <f t="shared" si="41"/>
        <v>474.12703433042924</v>
      </c>
      <c r="I187" s="32">
        <f t="shared" si="41"/>
        <v>482.52928557172805</v>
      </c>
      <c r="J187" s="32">
        <f t="shared" si="41"/>
        <v>493.73228722679301</v>
      </c>
      <c r="K187" s="95"/>
      <c r="L187" s="125"/>
      <c r="M187" s="15"/>
    </row>
    <row r="188" spans="1:13">
      <c r="A188" s="50"/>
      <c r="B188" s="50"/>
      <c r="C188" s="50"/>
      <c r="D188" s="50"/>
      <c r="E188" s="50"/>
      <c r="F188" s="96"/>
      <c r="G188" s="96"/>
      <c r="H188" s="96"/>
      <c r="I188" s="96"/>
      <c r="J188" s="96"/>
      <c r="K188" s="95"/>
      <c r="L188" s="27"/>
      <c r="M188" s="15"/>
    </row>
    <row r="189" spans="1:13" ht="15.75">
      <c r="A189" s="50"/>
      <c r="B189" s="50"/>
      <c r="C189" s="162" t="s">
        <v>179</v>
      </c>
      <c r="D189" s="50"/>
      <c r="E189" s="32">
        <f t="shared" ref="E189:J189" si="42">E28</f>
        <v>28899.090320000003</v>
      </c>
      <c r="F189" s="32">
        <f t="shared" si="42"/>
        <v>29784.184265820113</v>
      </c>
      <c r="G189" s="32">
        <f t="shared" si="42"/>
        <v>31122.747965808729</v>
      </c>
      <c r="H189" s="32">
        <f t="shared" si="42"/>
        <v>32063.422081938686</v>
      </c>
      <c r="I189" s="32">
        <f t="shared" si="42"/>
        <v>33134.124940637004</v>
      </c>
      <c r="J189" s="32">
        <f t="shared" si="42"/>
        <v>34366.100457660774</v>
      </c>
      <c r="K189" s="95"/>
      <c r="L189" s="125"/>
      <c r="M189" s="15"/>
    </row>
    <row r="190" spans="1:13">
      <c r="A190" s="50"/>
      <c r="B190" s="50"/>
      <c r="C190" s="50" t="s">
        <v>180</v>
      </c>
      <c r="D190" s="50"/>
      <c r="E190" s="32">
        <f t="shared" ref="E190:J190" si="43">E189*$D$46</f>
        <v>30136.21628465904</v>
      </c>
      <c r="F190" s="32">
        <f t="shared" si="43"/>
        <v>31059.199751893557</v>
      </c>
      <c r="G190" s="32">
        <f t="shared" si="43"/>
        <v>32455.065321604347</v>
      </c>
      <c r="H190" s="32">
        <f t="shared" si="43"/>
        <v>33436.008261439863</v>
      </c>
      <c r="I190" s="32">
        <f t="shared" si="43"/>
        <v>34552.546275925546</v>
      </c>
      <c r="J190" s="32">
        <f t="shared" si="43"/>
        <v>35837.26078518256</v>
      </c>
      <c r="K190" s="95"/>
      <c r="L190" s="125"/>
      <c r="M190" s="15"/>
    </row>
    <row r="191" spans="1:13">
      <c r="A191" s="50"/>
      <c r="B191" s="50"/>
      <c r="C191" s="50"/>
      <c r="D191" s="50"/>
      <c r="E191" s="50"/>
      <c r="F191" s="96"/>
      <c r="G191" s="32"/>
      <c r="H191" s="32"/>
      <c r="I191" s="32"/>
      <c r="J191" s="32"/>
      <c r="K191" s="95"/>
      <c r="L191" s="27"/>
      <c r="M191" s="15"/>
    </row>
    <row r="192" spans="1:13" ht="15.75">
      <c r="A192" s="50"/>
      <c r="B192" s="50"/>
      <c r="C192" s="162" t="s">
        <v>229</v>
      </c>
      <c r="D192" s="50"/>
      <c r="E192" s="50"/>
      <c r="F192" s="50"/>
      <c r="G192" s="50"/>
      <c r="H192" s="50"/>
      <c r="I192" s="50"/>
      <c r="J192" s="50"/>
      <c r="K192" s="95"/>
      <c r="L192" s="125"/>
      <c r="M192" s="15"/>
    </row>
    <row r="193" spans="1:15">
      <c r="A193" s="50"/>
      <c r="B193" s="50"/>
      <c r="C193" s="50" t="s">
        <v>169</v>
      </c>
      <c r="D193" s="50"/>
      <c r="E193" s="31">
        <f t="shared" ref="E193:J193" si="44">E168-E165</f>
        <v>-4418.4036173101076</v>
      </c>
      <c r="F193" s="31">
        <f t="shared" si="44"/>
        <v>-4198.4269019821977</v>
      </c>
      <c r="G193" s="31">
        <f t="shared" si="44"/>
        <v>-3589.7888560266802</v>
      </c>
      <c r="H193" s="31">
        <f t="shared" si="44"/>
        <v>-3334.1404778182059</v>
      </c>
      <c r="I193" s="31">
        <f t="shared" si="44"/>
        <v>-3139.5681139397602</v>
      </c>
      <c r="J193" s="31">
        <f t="shared" si="44"/>
        <v>-2954.6008212830093</v>
      </c>
      <c r="K193" s="95"/>
      <c r="L193" s="125"/>
      <c r="M193" s="15"/>
    </row>
    <row r="194" spans="1:15">
      <c r="A194" s="50"/>
      <c r="B194" s="50"/>
      <c r="C194" s="50" t="s">
        <v>170</v>
      </c>
      <c r="D194" s="50"/>
      <c r="E194" s="50"/>
      <c r="F194" s="31">
        <f>(F175+F184+F190+((F187-F189-F145-F152+F180)*F53+F193)*$D47-F193-F187*$D49)/($D50-F53*$D47)</f>
        <v>101736.52264364775</v>
      </c>
      <c r="G194" s="31">
        <f>(G175+G184+G190+((G187-G189-G145-G152+G180)*G53+G193)*$D47-G193-G187*$D49)/($D50-G53*$D47)</f>
        <v>100849.26905708078</v>
      </c>
      <c r="H194" s="31">
        <f>(H175+H184+H190+((H187-H189-H145-H152+H180)*H53+H193)*$D47-H193-H187*$D49)/($D50-H53*$D47)</f>
        <v>105600.85758424192</v>
      </c>
      <c r="I194" s="31">
        <f>(I175+I184+I190+((I187-I189-I145-I152+I180)*I53+I193)*$D47-I193-I187*$D49)/($D50-I53*$D47)</f>
        <v>110583.38840351767</v>
      </c>
      <c r="J194" s="31">
        <f>(J175+J184+J190+((J187-J189-J145-J152+J180)*J53+J193)*$D47-J193-J187*$D49)/($D50-J53*$D47)</f>
        <v>115788.92069540372</v>
      </c>
      <c r="K194" s="95"/>
      <c r="L194" s="125"/>
      <c r="M194" s="15"/>
    </row>
    <row r="195" spans="1:15">
      <c r="A195" s="50"/>
      <c r="B195" s="50"/>
      <c r="C195" s="50" t="s">
        <v>177</v>
      </c>
      <c r="D195" s="50"/>
      <c r="E195" s="50"/>
      <c r="F195" s="31">
        <f>(F194+F187-F189-F183-F152+F180)*F53</f>
        <v>9880.7415757013096</v>
      </c>
      <c r="G195" s="31">
        <f>(G194+G187-G189-G183-G152+G180)*G53</f>
        <v>8343.8654639427659</v>
      </c>
      <c r="H195" s="31">
        <f>(H194+H187-H189-H183-H152+H180)*H53</f>
        <v>9082.4961188097986</v>
      </c>
      <c r="I195" s="31">
        <f>(I194+I187-I189-I183-I152+I180)*I53</f>
        <v>9815.8065785016279</v>
      </c>
      <c r="J195" s="31">
        <f>(J194+J187-J189-J183-J152+J180)*J53</f>
        <v>10573.990126472843</v>
      </c>
      <c r="K195" s="95"/>
      <c r="L195" s="125"/>
      <c r="M195" s="15"/>
    </row>
    <row r="196" spans="1:15">
      <c r="A196" s="50"/>
      <c r="B196" s="50"/>
      <c r="C196" s="50" t="s">
        <v>162</v>
      </c>
      <c r="D196" s="50"/>
      <c r="E196" s="50"/>
      <c r="F196" s="31">
        <f>IF(F195&lt;0,#N/A,F195)</f>
        <v>9880.7415757013096</v>
      </c>
      <c r="G196" s="31">
        <f>IF(G195&lt;0,#N/A,G195)</f>
        <v>8343.8654639427659</v>
      </c>
      <c r="H196" s="31">
        <f>IF(H195&lt;0,#N/A,H195)</f>
        <v>9082.4961188097986</v>
      </c>
      <c r="I196" s="31">
        <f>IF(I195&lt;0,#N/A,I195)</f>
        <v>9815.8065785016279</v>
      </c>
      <c r="J196" s="31">
        <f>IF(J195&lt;0,#N/A,J195)</f>
        <v>10573.990126472843</v>
      </c>
      <c r="K196" s="95"/>
      <c r="L196" s="50"/>
      <c r="M196" s="15"/>
    </row>
    <row r="197" spans="1:15">
      <c r="A197" s="50"/>
      <c r="B197" s="50"/>
      <c r="C197" s="50" t="s">
        <v>171</v>
      </c>
      <c r="D197" s="50"/>
      <c r="E197" s="50"/>
      <c r="F197" s="31">
        <f>F175+F184+F190+(F196+F193)*$D$47-F193-F187*$D$49</f>
        <v>105264.17493363461</v>
      </c>
      <c r="G197" s="31">
        <f>G175+G184+G190+(G196+G193)*$D$47-G193-G187*$D$49</f>
        <v>104346.15636645771</v>
      </c>
      <c r="H197" s="31">
        <f>H175+H184+H190+(H196+H193)*$D$47-H193-H187*$D$49</f>
        <v>109262.50334725333</v>
      </c>
      <c r="I197" s="31">
        <f>I175+I184+I190+(I196+I193)*$D$47-I193-I187*$D$49</f>
        <v>114417.80040423617</v>
      </c>
      <c r="J197" s="31">
        <f>J175+J184+J190+(J196+J193)*$D$47-J193-J187*$D$49</f>
        <v>119803.8313747963</v>
      </c>
      <c r="K197" s="95"/>
      <c r="L197" s="27"/>
      <c r="M197" s="15"/>
    </row>
    <row r="198" spans="1:15">
      <c r="A198" s="50"/>
      <c r="B198" s="50"/>
      <c r="C198" s="50" t="s">
        <v>172</v>
      </c>
      <c r="D198" s="50"/>
      <c r="E198" s="50"/>
      <c r="F198" s="31">
        <f>F197/$D$50</f>
        <v>101736.52264364777</v>
      </c>
      <c r="G198" s="31">
        <f>G197/$D$50</f>
        <v>100849.26905708078</v>
      </c>
      <c r="H198" s="31">
        <f>H197/$D$50</f>
        <v>105600.85758424192</v>
      </c>
      <c r="I198" s="31">
        <f>I197/$D$50</f>
        <v>110583.38840351765</v>
      </c>
      <c r="J198" s="31">
        <f>J197/$D$50</f>
        <v>115788.92069540371</v>
      </c>
      <c r="K198" s="95"/>
      <c r="L198" s="50"/>
      <c r="M198" s="15"/>
    </row>
    <row r="199" spans="1:15">
      <c r="A199" s="50"/>
      <c r="B199" s="50"/>
      <c r="C199" s="50" t="s">
        <v>173</v>
      </c>
      <c r="D199" s="50"/>
      <c r="E199" s="50"/>
      <c r="F199" s="31">
        <f>F194-F198</f>
        <v>0</v>
      </c>
      <c r="G199" s="31">
        <f>G194-G198</f>
        <v>0</v>
      </c>
      <c r="H199" s="31">
        <f>H194-H198</f>
        <v>0</v>
      </c>
      <c r="I199" s="31">
        <f>I194-I198</f>
        <v>0</v>
      </c>
      <c r="J199" s="31">
        <f>J194-J198</f>
        <v>0</v>
      </c>
      <c r="K199" s="95"/>
      <c r="L199" s="27"/>
      <c r="M199" s="15"/>
    </row>
    <row r="200" spans="1:15">
      <c r="A200" s="50"/>
      <c r="B200" s="50"/>
      <c r="C200" s="50"/>
      <c r="D200" s="50"/>
      <c r="E200" s="50"/>
      <c r="F200" s="50"/>
      <c r="G200" s="50"/>
      <c r="H200" s="50"/>
      <c r="I200" s="50"/>
      <c r="J200" s="50"/>
      <c r="K200" s="50"/>
      <c r="L200" s="50"/>
      <c r="M200" s="15"/>
    </row>
    <row r="201" spans="1:15" ht="15.75">
      <c r="A201" s="50"/>
      <c r="B201" s="50"/>
      <c r="C201" s="162" t="s">
        <v>174</v>
      </c>
      <c r="D201" s="50"/>
      <c r="E201" s="50"/>
      <c r="F201" s="31"/>
      <c r="G201" s="31"/>
      <c r="H201" s="31"/>
      <c r="I201" s="31"/>
      <c r="J201" s="50"/>
      <c r="K201" s="95"/>
      <c r="L201" s="27"/>
      <c r="M201" s="15"/>
    </row>
    <row r="202" spans="1:15">
      <c r="A202" s="50"/>
      <c r="B202" s="50"/>
      <c r="C202" s="95" t="s">
        <v>103</v>
      </c>
      <c r="D202" s="50"/>
      <c r="E202" s="50"/>
      <c r="F202" s="31"/>
      <c r="G202" s="31"/>
      <c r="H202" s="31"/>
      <c r="I202" s="31"/>
      <c r="J202" s="50"/>
      <c r="K202" s="95"/>
      <c r="L202" s="50"/>
      <c r="M202" s="15"/>
      <c r="O202" s="8"/>
    </row>
    <row r="203" spans="1:15">
      <c r="A203" s="50"/>
      <c r="B203" s="50"/>
      <c r="C203" s="50" t="s">
        <v>175</v>
      </c>
      <c r="D203" s="50"/>
      <c r="E203" s="50"/>
      <c r="F203" s="50"/>
      <c r="G203" s="50"/>
      <c r="H203" s="31">
        <v>1</v>
      </c>
      <c r="I203" s="31">
        <v>2</v>
      </c>
      <c r="J203" s="31">
        <v>3</v>
      </c>
      <c r="K203" s="95"/>
      <c r="L203" s="27"/>
      <c r="M203" s="15"/>
    </row>
    <row r="204" spans="1:15">
      <c r="A204" s="50"/>
      <c r="B204" s="50" t="s">
        <v>135</v>
      </c>
      <c r="C204" s="50" t="s">
        <v>136</v>
      </c>
      <c r="D204" s="50"/>
      <c r="E204" s="50"/>
      <c r="F204" s="31"/>
      <c r="G204" s="31"/>
      <c r="H204" s="31">
        <f>H197</f>
        <v>109262.50334725333</v>
      </c>
      <c r="I204" s="31">
        <f>I197</f>
        <v>114417.80040423617</v>
      </c>
      <c r="J204" s="31">
        <f>J197</f>
        <v>119803.8313747963</v>
      </c>
      <c r="K204" s="95"/>
      <c r="L204" s="50"/>
      <c r="M204" s="15"/>
    </row>
    <row r="205" spans="1:15">
      <c r="A205" s="50"/>
      <c r="B205" s="50" t="s">
        <v>135</v>
      </c>
      <c r="C205" s="50" t="s">
        <v>137</v>
      </c>
      <c r="D205" s="50"/>
      <c r="E205" s="50"/>
      <c r="F205" s="31"/>
      <c r="G205" s="31"/>
      <c r="H205" s="31">
        <f>H204/(1+WACC)^H$203</f>
        <v>100452.79336880881</v>
      </c>
      <c r="I205" s="31">
        <f>I204/(1+WACC)^I$203</f>
        <v>96710.880530813651</v>
      </c>
      <c r="J205" s="31">
        <f>J204/(1+WACC)^J$203</f>
        <v>93098.636742920746</v>
      </c>
      <c r="K205" s="95"/>
      <c r="L205" s="50"/>
      <c r="M205" s="15"/>
    </row>
    <row r="206" spans="1:15">
      <c r="A206" s="50"/>
      <c r="B206" s="50" t="s">
        <v>135</v>
      </c>
      <c r="C206" s="50" t="s">
        <v>101</v>
      </c>
      <c r="D206" s="31">
        <f>SUM(H205:J205)</f>
        <v>290262.31064254319</v>
      </c>
      <c r="E206" s="50"/>
      <c r="F206" s="31"/>
      <c r="G206" s="31"/>
      <c r="H206" s="31"/>
      <c r="I206" s="31"/>
      <c r="J206" s="31"/>
      <c r="K206" s="95"/>
      <c r="L206" s="50"/>
      <c r="M206" s="15"/>
    </row>
    <row r="207" spans="1:15">
      <c r="A207" s="50"/>
      <c r="B207" s="50"/>
      <c r="C207" s="50"/>
      <c r="D207" s="50"/>
      <c r="E207" s="50"/>
      <c r="F207" s="123"/>
      <c r="G207" s="50"/>
      <c r="H207" s="50"/>
      <c r="I207" s="50"/>
      <c r="J207" s="50"/>
      <c r="K207" s="95"/>
      <c r="L207" s="50"/>
      <c r="M207" s="15"/>
    </row>
    <row r="208" spans="1:15" ht="21">
      <c r="A208" s="50"/>
      <c r="B208" s="50"/>
      <c r="C208" s="155" t="s">
        <v>104</v>
      </c>
      <c r="D208" s="50"/>
      <c r="E208" s="50"/>
      <c r="F208" s="123"/>
      <c r="G208" s="50"/>
      <c r="H208" s="50"/>
      <c r="I208" s="50"/>
      <c r="J208" s="50"/>
      <c r="K208" s="95"/>
      <c r="L208" s="50"/>
      <c r="M208" s="15"/>
    </row>
    <row r="209" spans="1:13" ht="15.75">
      <c r="A209" s="50"/>
      <c r="B209" s="50"/>
      <c r="C209" s="50"/>
      <c r="D209" s="50"/>
      <c r="E209" s="162" t="str">
        <f>Inputs!D$11</f>
        <v>2009/10</v>
      </c>
      <c r="F209" s="168" t="str">
        <f>Inputs!E$11</f>
        <v>2010/11</v>
      </c>
      <c r="G209" s="162" t="str">
        <f>Inputs!F$11</f>
        <v>2011/12</v>
      </c>
      <c r="H209" s="162" t="str">
        <f>Inputs!G$11</f>
        <v>2012/13</v>
      </c>
      <c r="I209" s="162" t="str">
        <f>Inputs!H$11</f>
        <v>2013/14</v>
      </c>
      <c r="J209" s="162" t="str">
        <f>Inputs!I$11</f>
        <v>2014/15</v>
      </c>
      <c r="K209" s="95"/>
      <c r="L209" s="50"/>
      <c r="M209" s="15"/>
    </row>
    <row r="210" spans="1:13">
      <c r="A210" s="50"/>
      <c r="B210" s="50"/>
      <c r="C210" s="50" t="s">
        <v>53</v>
      </c>
      <c r="D210" s="32">
        <f>D206</f>
        <v>290262.31064254319</v>
      </c>
      <c r="E210" s="50"/>
      <c r="F210" s="169"/>
      <c r="G210" s="32"/>
      <c r="H210" s="32"/>
      <c r="I210" s="32"/>
      <c r="J210" s="32"/>
      <c r="K210" s="95"/>
      <c r="L210" s="50"/>
      <c r="M210" s="15"/>
    </row>
    <row r="211" spans="1:13">
      <c r="A211" s="50"/>
      <c r="B211" s="50"/>
      <c r="C211" s="50" t="s">
        <v>143</v>
      </c>
      <c r="D211" s="50"/>
      <c r="E211" s="50"/>
      <c r="F211" s="113"/>
      <c r="G211" s="113"/>
      <c r="H211" s="170">
        <v>1</v>
      </c>
      <c r="I211" s="113">
        <f>H211*(1+I$35)*(1+I$30)*(1-X_industry_wide)</f>
        <v>1.0320421665140431</v>
      </c>
      <c r="J211" s="113">
        <f>I211*(1+J$35)*(1+J$30)*(1-X_industry_wide)</f>
        <v>1.0634512189440872</v>
      </c>
      <c r="K211" s="95"/>
      <c r="L211" s="50" t="s">
        <v>290</v>
      </c>
    </row>
    <row r="212" spans="1:13">
      <c r="A212" s="50"/>
      <c r="B212" s="50"/>
      <c r="C212" s="50" t="s">
        <v>102</v>
      </c>
      <c r="D212" s="50"/>
      <c r="E212" s="50"/>
      <c r="F212" s="171"/>
      <c r="G212" s="113"/>
      <c r="H212" s="113">
        <f>H211/(1+WACC)^H$203</f>
        <v>0.91937115013330895</v>
      </c>
      <c r="I212" s="113">
        <f>I211/(1+WACC)^I$203</f>
        <v>0.87232673863573407</v>
      </c>
      <c r="J212" s="113">
        <f>J211/(1+WACC)^J$203</f>
        <v>0.82639977027579592</v>
      </c>
      <c r="K212" s="95"/>
      <c r="L212" s="50" t="s">
        <v>165</v>
      </c>
    </row>
    <row r="213" spans="1:13">
      <c r="A213" s="50"/>
      <c r="B213" s="50"/>
      <c r="C213" s="50" t="s">
        <v>91</v>
      </c>
      <c r="D213" s="113">
        <f>SUM(H212:J212)</f>
        <v>2.6180976590448388</v>
      </c>
      <c r="E213" s="50"/>
      <c r="F213" s="171"/>
      <c r="G213" s="113"/>
      <c r="H213" s="113"/>
      <c r="I213" s="113"/>
      <c r="J213" s="113"/>
      <c r="K213" s="95"/>
      <c r="L213" s="50" t="s">
        <v>279</v>
      </c>
    </row>
    <row r="214" spans="1:13">
      <c r="A214" s="50"/>
      <c r="B214" s="50"/>
      <c r="C214" s="50" t="s">
        <v>142</v>
      </c>
      <c r="D214" s="32">
        <f>D210/D213</f>
        <v>110867.64072369999</v>
      </c>
      <c r="E214" s="50"/>
      <c r="F214" s="171"/>
      <c r="G214" s="113"/>
      <c r="H214" s="31"/>
      <c r="I214" s="31"/>
      <c r="J214" s="31"/>
      <c r="K214" s="95"/>
      <c r="L214" s="31"/>
    </row>
    <row r="215" spans="1:13">
      <c r="A215" s="50"/>
      <c r="B215" s="50"/>
      <c r="C215" s="50" t="s">
        <v>138</v>
      </c>
      <c r="D215" s="32"/>
      <c r="E215" s="50"/>
      <c r="F215" s="171"/>
      <c r="G215" s="113"/>
      <c r="H215" s="31">
        <f>$D214*H211</f>
        <v>110867.64072369999</v>
      </c>
      <c r="I215" s="31">
        <f>$D214*I211</f>
        <v>114420.0801287879</v>
      </c>
      <c r="J215" s="31">
        <f>$D214*J211</f>
        <v>117902.32766907389</v>
      </c>
      <c r="K215" s="95"/>
      <c r="L215" s="50" t="s">
        <v>131</v>
      </c>
    </row>
    <row r="216" spans="1:13">
      <c r="A216" s="50"/>
      <c r="B216" s="50"/>
      <c r="C216" s="50" t="s">
        <v>139</v>
      </c>
      <c r="D216" s="32"/>
      <c r="E216" s="50"/>
      <c r="F216" s="171"/>
      <c r="G216" s="113"/>
      <c r="H216" s="54">
        <f>H215/$D$50</f>
        <v>107152.20299827274</v>
      </c>
      <c r="I216" s="54">
        <f>I215/$D$50</f>
        <v>110585.59172908995</v>
      </c>
      <c r="J216" s="54">
        <f>J215/$D$50</f>
        <v>113951.14089105742</v>
      </c>
      <c r="K216" s="95"/>
      <c r="L216" s="50" t="s">
        <v>133</v>
      </c>
    </row>
    <row r="217" spans="1:13">
      <c r="A217" s="50"/>
      <c r="B217" s="50"/>
      <c r="C217" s="50" t="s">
        <v>140</v>
      </c>
      <c r="D217" s="50"/>
      <c r="E217" s="50"/>
      <c r="F217" s="171"/>
      <c r="G217" s="113"/>
      <c r="H217" s="31">
        <f>H215/(1+WACC)^H$203</f>
        <v>101928.51036471454</v>
      </c>
      <c r="I217" s="31">
        <f>I215/(1+WACC)^I$203</f>
        <v>96712.807452743509</v>
      </c>
      <c r="J217" s="31">
        <f>J215/(1+WACC)^J$203</f>
        <v>91620.992825085152</v>
      </c>
      <c r="K217" s="95"/>
      <c r="L217" s="50" t="s">
        <v>181</v>
      </c>
    </row>
    <row r="218" spans="1:13">
      <c r="A218" s="50"/>
      <c r="B218" s="50"/>
      <c r="C218" s="50" t="s">
        <v>141</v>
      </c>
      <c r="D218" s="32">
        <f>SUM(H217:J217)</f>
        <v>290262.31064254325</v>
      </c>
      <c r="E218" s="50"/>
      <c r="F218" s="171"/>
      <c r="G218" s="113"/>
      <c r="H218" s="31"/>
      <c r="I218" s="31"/>
      <c r="J218" s="31"/>
      <c r="K218" s="95"/>
      <c r="L218" s="50" t="s">
        <v>134</v>
      </c>
      <c r="M218" s="15"/>
    </row>
    <row r="219" spans="1:13">
      <c r="A219" s="50"/>
      <c r="B219" s="50"/>
      <c r="C219" s="50" t="s">
        <v>132</v>
      </c>
      <c r="D219" s="172">
        <f>D210-D218</f>
        <v>0</v>
      </c>
      <c r="E219" s="50"/>
      <c r="F219" s="171"/>
      <c r="G219" s="113"/>
      <c r="H219" s="31"/>
      <c r="I219" s="31"/>
      <c r="J219" s="31"/>
      <c r="K219" s="95"/>
      <c r="L219" s="50"/>
      <c r="M219" s="15"/>
    </row>
    <row r="220" spans="1:13">
      <c r="A220" s="50"/>
      <c r="B220" s="50"/>
      <c r="C220" s="50" t="s">
        <v>202</v>
      </c>
      <c r="D220" s="32">
        <f>SUM(I217:J217)</f>
        <v>188333.80027782865</v>
      </c>
      <c r="E220" s="50"/>
      <c r="F220" s="171"/>
      <c r="G220" s="113"/>
      <c r="H220" s="31"/>
      <c r="I220" s="31"/>
      <c r="J220" s="31"/>
      <c r="K220" s="95"/>
      <c r="L220" s="27"/>
      <c r="M220" s="15"/>
    </row>
    <row r="221" spans="1:13">
      <c r="A221" s="50"/>
      <c r="B221" s="50"/>
      <c r="C221" s="50"/>
      <c r="D221" s="31"/>
      <c r="E221" s="50"/>
      <c r="F221" s="123"/>
      <c r="G221" s="50"/>
      <c r="H221" s="50"/>
      <c r="I221" s="50"/>
      <c r="J221" s="50"/>
      <c r="K221" s="95"/>
      <c r="L221" s="50"/>
      <c r="M221" s="15"/>
    </row>
    <row r="222" spans="1:13" ht="21">
      <c r="A222" s="50"/>
      <c r="B222" s="50"/>
      <c r="C222" s="155" t="s">
        <v>113</v>
      </c>
      <c r="D222" s="155"/>
      <c r="E222" s="155"/>
      <c r="F222" s="155"/>
      <c r="G222" s="155"/>
      <c r="H222" s="50"/>
      <c r="I222" s="50"/>
      <c r="J222" s="50"/>
      <c r="K222" s="173"/>
      <c r="L222" s="174"/>
      <c r="M222" s="53"/>
    </row>
    <row r="223" spans="1:13" ht="15.75">
      <c r="A223" s="50"/>
      <c r="B223" s="50"/>
      <c r="C223" s="50"/>
      <c r="D223" s="50"/>
      <c r="E223" s="162" t="str">
        <f>Inputs!D$11</f>
        <v>2009/10</v>
      </c>
      <c r="F223" s="168" t="str">
        <f>Inputs!E$11</f>
        <v>2010/11</v>
      </c>
      <c r="G223" s="162" t="str">
        <f>Inputs!F$11</f>
        <v>2011/12</v>
      </c>
      <c r="H223" s="162" t="str">
        <f>Inputs!G$11</f>
        <v>2012/13</v>
      </c>
      <c r="I223" s="162" t="str">
        <f>Inputs!H$11</f>
        <v>2013/14</v>
      </c>
      <c r="J223" s="162" t="str">
        <f>Inputs!I$11</f>
        <v>2014/15</v>
      </c>
      <c r="K223" s="95"/>
      <c r="L223" s="50"/>
      <c r="M223" s="15"/>
    </row>
    <row r="224" spans="1:13" ht="15.75">
      <c r="A224" s="50"/>
      <c r="B224" s="50"/>
      <c r="C224" s="175" t="s">
        <v>318</v>
      </c>
      <c r="D224" s="50"/>
      <c r="E224" s="162"/>
      <c r="F224" s="95"/>
      <c r="G224" s="95"/>
      <c r="H224" s="95"/>
      <c r="I224" s="95"/>
      <c r="J224" s="95"/>
      <c r="K224" s="95"/>
      <c r="L224" s="50"/>
      <c r="M224" s="15"/>
    </row>
    <row r="225" spans="1:13" ht="15.75">
      <c r="A225" s="50"/>
      <c r="B225" s="50"/>
      <c r="C225" s="175" t="s">
        <v>204</v>
      </c>
      <c r="D225" s="50"/>
      <c r="E225" s="162"/>
      <c r="F225" s="95"/>
      <c r="G225" s="95"/>
      <c r="H225" s="95"/>
      <c r="I225" s="95"/>
      <c r="J225" s="95"/>
      <c r="K225" s="95"/>
      <c r="L225" s="50"/>
      <c r="M225" s="15"/>
    </row>
    <row r="226" spans="1:13">
      <c r="A226" s="50"/>
      <c r="B226" s="50" t="s">
        <v>150</v>
      </c>
      <c r="C226" s="50" t="s">
        <v>203</v>
      </c>
      <c r="D226" s="32">
        <f>D220</f>
        <v>188333.80027782865</v>
      </c>
      <c r="E226" s="50"/>
      <c r="F226" s="169"/>
      <c r="G226" s="32"/>
      <c r="H226" s="32"/>
      <c r="I226" s="32"/>
      <c r="J226" s="32"/>
      <c r="K226" s="95"/>
      <c r="L226" s="50"/>
      <c r="M226" s="15"/>
    </row>
    <row r="227" spans="1:13">
      <c r="A227" s="32"/>
      <c r="B227" s="50" t="s">
        <v>150</v>
      </c>
      <c r="C227" s="50" t="s">
        <v>319</v>
      </c>
      <c r="D227" s="49">
        <f>IF(E26="IWX",X_industry_wide,E26)</f>
        <v>0</v>
      </c>
      <c r="E227" s="32"/>
      <c r="F227" s="49"/>
      <c r="G227" s="49"/>
      <c r="H227" s="49"/>
      <c r="I227" s="49"/>
      <c r="J227" s="49"/>
      <c r="K227" s="95"/>
      <c r="L227" s="50"/>
      <c r="M227" s="15"/>
    </row>
    <row r="228" spans="1:13">
      <c r="A228" s="50"/>
      <c r="B228" s="50" t="s">
        <v>150</v>
      </c>
      <c r="C228" s="50" t="s">
        <v>143</v>
      </c>
      <c r="D228" s="50"/>
      <c r="E228" s="50"/>
      <c r="F228" s="171"/>
      <c r="G228" s="113"/>
      <c r="H228" s="113"/>
      <c r="I228" s="113">
        <v>1</v>
      </c>
      <c r="J228" s="113">
        <f>I228*(1+J$35)*(1+J$30)*(1-D227)</f>
        <v>1.030433884824818</v>
      </c>
      <c r="K228" s="95"/>
      <c r="L228" s="50" t="s">
        <v>278</v>
      </c>
    </row>
    <row r="229" spans="1:13">
      <c r="A229" s="50"/>
      <c r="B229" s="50" t="s">
        <v>150</v>
      </c>
      <c r="C229" s="50" t="s">
        <v>102</v>
      </c>
      <c r="D229" s="50"/>
      <c r="E229" s="50"/>
      <c r="F229" s="171"/>
      <c r="G229" s="113"/>
      <c r="H229" s="113"/>
      <c r="I229" s="113">
        <f>I228/(1+WACC)^I$203</f>
        <v>0.84524331169744327</v>
      </c>
      <c r="J229" s="113">
        <f>J228/(1+WACC)^J$203</f>
        <v>0.80074225364952756</v>
      </c>
      <c r="K229" s="95"/>
      <c r="L229" s="50" t="s">
        <v>165</v>
      </c>
    </row>
    <row r="230" spans="1:13">
      <c r="A230" s="50"/>
      <c r="B230" s="50" t="s">
        <v>150</v>
      </c>
      <c r="C230" s="50" t="s">
        <v>91</v>
      </c>
      <c r="D230" s="113">
        <f>SUM(I229:J229)</f>
        <v>1.6459855653469708</v>
      </c>
      <c r="E230" s="50"/>
      <c r="F230" s="171"/>
      <c r="G230" s="113"/>
      <c r="H230" s="113"/>
      <c r="I230" s="113"/>
      <c r="J230" s="113"/>
      <c r="K230" s="95"/>
      <c r="L230" s="50" t="s">
        <v>279</v>
      </c>
    </row>
    <row r="231" spans="1:13">
      <c r="A231" s="50"/>
      <c r="B231" s="50" t="s">
        <v>150</v>
      </c>
      <c r="C231" s="50" t="s">
        <v>142</v>
      </c>
      <c r="D231" s="32">
        <f>D226/D230</f>
        <v>114420.0801287879</v>
      </c>
      <c r="E231" s="50"/>
      <c r="F231" s="171"/>
      <c r="G231" s="113"/>
      <c r="H231" s="31"/>
      <c r="I231" s="31"/>
      <c r="J231" s="31"/>
      <c r="K231" s="95"/>
      <c r="L231" s="50"/>
    </row>
    <row r="232" spans="1:13">
      <c r="A232" s="50"/>
      <c r="B232" s="50" t="s">
        <v>150</v>
      </c>
      <c r="C232" s="50" t="s">
        <v>138</v>
      </c>
      <c r="D232" s="32"/>
      <c r="E232" s="50"/>
      <c r="F232" s="171"/>
      <c r="G232" s="113"/>
      <c r="H232" s="31">
        <f>H215</f>
        <v>110867.64072369999</v>
      </c>
      <c r="I232" s="31">
        <f>$D231*I228</f>
        <v>114420.0801287879</v>
      </c>
      <c r="J232" s="31">
        <f>$D231*J228</f>
        <v>117902.32766907389</v>
      </c>
      <c r="K232" s="95"/>
      <c r="L232" s="50" t="s">
        <v>131</v>
      </c>
    </row>
    <row r="233" spans="1:13">
      <c r="A233" s="50"/>
      <c r="B233" s="50" t="s">
        <v>150</v>
      </c>
      <c r="C233" s="50" t="s">
        <v>139</v>
      </c>
      <c r="D233" s="32"/>
      <c r="E233" s="50"/>
      <c r="F233" s="171"/>
      <c r="G233" s="113"/>
      <c r="H233" s="54">
        <f>H232/$D$50</f>
        <v>107152.20299827274</v>
      </c>
      <c r="I233" s="54">
        <f>I232/$D$50</f>
        <v>110585.59172908995</v>
      </c>
      <c r="J233" s="54">
        <f>J232/$D$50</f>
        <v>113951.14089105742</v>
      </c>
      <c r="K233" s="95"/>
      <c r="L233" s="50" t="s">
        <v>133</v>
      </c>
    </row>
    <row r="234" spans="1:13">
      <c r="A234" s="50"/>
      <c r="B234" s="50" t="s">
        <v>150</v>
      </c>
      <c r="C234" s="50" t="s">
        <v>209</v>
      </c>
      <c r="D234" s="50"/>
      <c r="E234" s="50"/>
      <c r="F234" s="171"/>
      <c r="G234" s="113"/>
      <c r="H234" s="31"/>
      <c r="I234" s="31">
        <f>I232/(1+WACC)^I$203</f>
        <v>96712.807452743509</v>
      </c>
      <c r="J234" s="31">
        <f>J232/(1+WACC)^J$203</f>
        <v>91620.992825085152</v>
      </c>
      <c r="K234" s="95"/>
      <c r="L234" s="50" t="s">
        <v>181</v>
      </c>
    </row>
    <row r="235" spans="1:13">
      <c r="A235" s="50"/>
      <c r="B235" s="50" t="s">
        <v>150</v>
      </c>
      <c r="C235" s="50" t="s">
        <v>390</v>
      </c>
      <c r="D235" s="32">
        <f>SUM(I234:J234)</f>
        <v>188333.80027782865</v>
      </c>
      <c r="E235" s="50"/>
      <c r="F235" s="50"/>
      <c r="G235" s="113"/>
      <c r="H235" s="31"/>
      <c r="I235" s="31"/>
      <c r="J235" s="31"/>
      <c r="K235" s="95"/>
      <c r="L235" s="50" t="s">
        <v>134</v>
      </c>
    </row>
    <row r="236" spans="1:13">
      <c r="A236" s="50"/>
      <c r="B236" s="50" t="s">
        <v>150</v>
      </c>
      <c r="C236" s="50" t="s">
        <v>132</v>
      </c>
      <c r="D236" s="172">
        <f>D226-D235</f>
        <v>0</v>
      </c>
      <c r="E236" s="50"/>
      <c r="F236" s="171"/>
      <c r="G236" s="113"/>
      <c r="H236" s="31"/>
      <c r="I236" s="31"/>
      <c r="J236" s="31"/>
      <c r="K236" s="95"/>
      <c r="L236" s="50"/>
      <c r="M236" s="15"/>
    </row>
    <row r="237" spans="1:13">
      <c r="A237" s="50"/>
      <c r="B237" s="119" t="s">
        <v>150</v>
      </c>
      <c r="C237" s="119" t="s">
        <v>190</v>
      </c>
      <c r="D237" s="119"/>
      <c r="E237" s="50"/>
      <c r="F237" s="176"/>
      <c r="G237" s="177"/>
      <c r="H237" s="178">
        <f>(H233+H187-H$189-H$183-H152+H$180)*H$53</f>
        <v>9516.8728347384258</v>
      </c>
      <c r="I237" s="178">
        <f>(I233+I187-I$189-I$183-I152+I$180)*I$53</f>
        <v>9816.4235096618668</v>
      </c>
      <c r="J237" s="178">
        <f>(J233+J187-J$189-J$183-J152+J$180)*J$53</f>
        <v>10059.41178125588</v>
      </c>
      <c r="K237" s="54"/>
      <c r="L237" s="50"/>
      <c r="M237" s="15"/>
    </row>
    <row r="238" spans="1:13">
      <c r="A238" s="50"/>
      <c r="B238" s="119"/>
      <c r="C238" s="119"/>
      <c r="D238" s="119"/>
      <c r="E238" s="178"/>
      <c r="F238" s="176"/>
      <c r="G238" s="177"/>
      <c r="H238" s="178"/>
      <c r="I238" s="178"/>
      <c r="J238" s="178"/>
      <c r="K238" s="95"/>
      <c r="L238" s="50"/>
      <c r="M238" s="15"/>
    </row>
    <row r="239" spans="1:13" ht="21">
      <c r="A239" s="50"/>
      <c r="B239" s="50"/>
      <c r="C239" s="155" t="s">
        <v>199</v>
      </c>
      <c r="D239" s="155"/>
      <c r="E239" s="155"/>
      <c r="F239" s="155"/>
      <c r="G239" s="155"/>
      <c r="H239" s="155"/>
      <c r="I239" s="155"/>
      <c r="J239" s="50"/>
      <c r="K239" s="50"/>
      <c r="L239" s="50"/>
      <c r="M239" s="15"/>
    </row>
    <row r="240" spans="1:13">
      <c r="A240" s="50"/>
      <c r="B240" s="50"/>
      <c r="C240" s="50" t="s">
        <v>197</v>
      </c>
      <c r="D240" s="179"/>
      <c r="E240" s="50"/>
      <c r="F240" s="31">
        <f>G240/((1+G35)*(1+G30)*(1-X_industry_wide))</f>
        <v>101570.86192041777</v>
      </c>
      <c r="G240" s="31">
        <f>H240/((1+H35)*(1+H30)*(1-X_industry_wide))</f>
        <v>104132.42075636586</v>
      </c>
      <c r="H240" s="31">
        <f>H233</f>
        <v>107152.20299827274</v>
      </c>
      <c r="I240" s="50"/>
      <c r="J240" s="50"/>
      <c r="K240" s="50"/>
      <c r="L240" s="50"/>
      <c r="M240" s="15"/>
    </row>
    <row r="241" spans="1:13">
      <c r="A241" s="50"/>
      <c r="B241" s="50"/>
      <c r="C241" s="50"/>
      <c r="D241" s="179"/>
      <c r="E241" s="50"/>
      <c r="F241" s="31"/>
      <c r="G241" s="31"/>
      <c r="H241" s="31"/>
      <c r="I241" s="50"/>
      <c r="J241" s="50"/>
      <c r="K241" s="50"/>
      <c r="L241" s="50"/>
      <c r="M241" s="15"/>
    </row>
    <row r="242" spans="1:13" ht="21">
      <c r="A242" s="50"/>
      <c r="B242" s="50"/>
      <c r="C242" s="155" t="s">
        <v>198</v>
      </c>
      <c r="D242" s="179"/>
      <c r="E242" s="50"/>
      <c r="F242" s="123"/>
      <c r="G242" s="50"/>
      <c r="H242" s="50"/>
      <c r="I242" s="50"/>
      <c r="J242" s="50"/>
      <c r="K242" s="50"/>
      <c r="L242" s="27"/>
      <c r="M242" s="15"/>
    </row>
    <row r="243" spans="1:13">
      <c r="A243" s="50"/>
      <c r="B243" s="50"/>
      <c r="C243" s="180" t="s">
        <v>212</v>
      </c>
      <c r="D243" s="179"/>
      <c r="E243" s="181">
        <f>(1+H30)*(1+I30)</f>
        <v>1.0162457056320418</v>
      </c>
      <c r="F243" s="123"/>
      <c r="G243" s="50"/>
      <c r="H243" s="50"/>
      <c r="I243" s="50"/>
      <c r="J243" s="50"/>
      <c r="K243" s="50"/>
      <c r="L243" s="27"/>
      <c r="M243" s="15"/>
    </row>
    <row r="244" spans="1:13">
      <c r="A244" s="50"/>
      <c r="B244" s="50"/>
      <c r="C244" s="50"/>
      <c r="D244" s="127"/>
      <c r="E244" s="50"/>
      <c r="F244" s="123"/>
      <c r="G244" s="50"/>
      <c r="H244" s="50"/>
      <c r="I244" s="50"/>
      <c r="J244" s="50"/>
      <c r="K244" s="50"/>
      <c r="L244" s="27"/>
    </row>
    <row r="245" spans="1:13" ht="21">
      <c r="A245" s="50"/>
      <c r="B245" s="50"/>
      <c r="C245" s="155" t="s">
        <v>315</v>
      </c>
      <c r="D245" s="162" t="s">
        <v>342</v>
      </c>
      <c r="E245" s="50"/>
      <c r="F245" s="123"/>
      <c r="G245" s="50"/>
      <c r="H245" s="50"/>
      <c r="I245" s="50"/>
      <c r="J245" s="50"/>
      <c r="K245" s="50"/>
      <c r="L245" s="27"/>
    </row>
    <row r="246" spans="1:13">
      <c r="A246" s="50"/>
      <c r="B246" s="50"/>
      <c r="C246" s="50"/>
      <c r="D246" s="50"/>
      <c r="E246" s="99" t="str">
        <f>Inputs!D$11</f>
        <v>2009/10</v>
      </c>
      <c r="F246" s="99" t="str">
        <f>Inputs!E$11</f>
        <v>2010/11</v>
      </c>
      <c r="G246" s="99" t="str">
        <f>Inputs!F$11</f>
        <v>2011/12</v>
      </c>
      <c r="H246" s="99" t="str">
        <f>Inputs!G$11</f>
        <v>2012/13</v>
      </c>
      <c r="I246" s="99" t="str">
        <f>Inputs!H$11</f>
        <v>2013/14</v>
      </c>
      <c r="J246" s="99" t="str">
        <f>Inputs!I$11</f>
        <v>2014/15</v>
      </c>
      <c r="K246" s="50"/>
      <c r="L246" s="27"/>
    </row>
    <row r="247" spans="1:13">
      <c r="A247" s="50"/>
      <c r="B247" s="50"/>
      <c r="C247" s="122" t="str">
        <f>C35</f>
        <v>2009 ΔCPI, 8 index, lagged, no GST adjustment</v>
      </c>
      <c r="D247" s="50"/>
      <c r="E247" s="50"/>
      <c r="F247" s="50"/>
      <c r="G247" s="50"/>
      <c r="H247" s="50"/>
      <c r="I247" s="100">
        <f>I35</f>
        <v>2.3759818812291389E-2</v>
      </c>
      <c r="J247" s="100">
        <f>J35</f>
        <v>2.2164443909808984E-2</v>
      </c>
      <c r="K247" s="50"/>
      <c r="L247" s="27"/>
    </row>
    <row r="248" spans="1:13">
      <c r="A248" s="50"/>
      <c r="B248" s="50"/>
      <c r="C248" s="122" t="str">
        <f>C37</f>
        <v>2012 ΔCPI, 8 index, lagged, with GST adjustment</v>
      </c>
      <c r="D248" s="50"/>
      <c r="E248" s="99"/>
      <c r="F248" s="100"/>
      <c r="G248" s="100"/>
      <c r="H248" s="100"/>
      <c r="I248" s="100">
        <f>I$37</f>
        <v>1.2820512820512775E-2</v>
      </c>
      <c r="J248" s="101">
        <f>J$37</f>
        <v>1.9725095732576747E-2</v>
      </c>
      <c r="K248" s="50"/>
      <c r="L248" s="27"/>
    </row>
    <row r="249" spans="1:13">
      <c r="A249" s="50"/>
      <c r="B249" s="50"/>
      <c r="C249" s="50" t="s">
        <v>200</v>
      </c>
      <c r="D249" s="50"/>
      <c r="E249" s="99"/>
      <c r="F249" s="100"/>
      <c r="G249" s="100">
        <f>G$30</f>
        <v>8.090127732655595E-3</v>
      </c>
      <c r="H249" s="100">
        <f>H$30</f>
        <v>8.090127732655595E-3</v>
      </c>
      <c r="I249" s="100">
        <f>I$30</f>
        <v>8.090127732655595E-3</v>
      </c>
      <c r="J249" s="100">
        <f>J$30</f>
        <v>8.090127732655595E-3</v>
      </c>
      <c r="K249" s="50"/>
      <c r="L249" s="27"/>
    </row>
    <row r="250" spans="1:13">
      <c r="A250" s="50"/>
      <c r="B250" s="50"/>
      <c r="C250" s="50" t="s">
        <v>309</v>
      </c>
      <c r="D250" s="54">
        <f>E25</f>
        <v>60471.42490556003</v>
      </c>
      <c r="E250" s="50"/>
      <c r="F250" s="123"/>
      <c r="G250" s="50"/>
      <c r="H250" s="50"/>
      <c r="I250" s="50"/>
      <c r="J250" s="50"/>
      <c r="K250" s="50"/>
      <c r="L250" s="27"/>
    </row>
    <row r="251" spans="1:13">
      <c r="A251" s="50"/>
      <c r="B251" s="50"/>
      <c r="C251" s="119" t="s">
        <v>335</v>
      </c>
      <c r="D251" s="32">
        <f>E24</f>
        <v>101666.72121827664</v>
      </c>
      <c r="E251" s="50"/>
      <c r="F251" s="123"/>
      <c r="G251" s="50"/>
      <c r="H251" s="50"/>
      <c r="I251" s="50"/>
      <c r="J251" s="50"/>
      <c r="K251" s="50"/>
      <c r="L251" s="27"/>
    </row>
    <row r="252" spans="1:13">
      <c r="A252" s="50"/>
      <c r="B252" s="50"/>
      <c r="C252" s="50" t="s">
        <v>383</v>
      </c>
      <c r="D252" s="50"/>
      <c r="E252" s="50"/>
      <c r="F252" s="123"/>
      <c r="G252" s="50"/>
      <c r="H252" s="124">
        <f>(D251+D250)*(1+G$249)*(1+H$249)-D250</f>
        <v>104300.76981192944</v>
      </c>
      <c r="I252" s="124">
        <f>H252*(1+I249)*(1+I248)</f>
        <v>106492.58375158279</v>
      </c>
      <c r="J252" s="124">
        <f>I252*(1+J249)*(1+J248)</f>
        <v>109471.69269748653</v>
      </c>
      <c r="K252" s="50"/>
      <c r="L252" s="27"/>
    </row>
    <row r="253" spans="1:13">
      <c r="A253" s="50"/>
      <c r="B253" s="50"/>
      <c r="C253" s="50" t="s">
        <v>314</v>
      </c>
      <c r="D253" s="50"/>
      <c r="E253" s="50"/>
      <c r="F253" s="123"/>
      <c r="G253" s="50"/>
      <c r="H253" s="124">
        <f>$D$250</f>
        <v>60471.42490556003</v>
      </c>
      <c r="I253" s="124">
        <f>H253*(1+I34)</f>
        <v>61543.070410215529</v>
      </c>
      <c r="J253" s="124"/>
      <c r="K253" s="50"/>
      <c r="L253" s="27"/>
    </row>
    <row r="254" spans="1:13">
      <c r="A254" s="50"/>
      <c r="B254" s="50"/>
      <c r="C254" s="119" t="s">
        <v>336</v>
      </c>
      <c r="D254" s="50"/>
      <c r="E254" s="50"/>
      <c r="F254" s="123"/>
      <c r="G254" s="50"/>
      <c r="H254" s="124">
        <f>D251</f>
        <v>101666.72121827664</v>
      </c>
      <c r="I254" s="124">
        <f>((H254+H253)*(1+G249)-H253)*(1+I248)*(1-X_industry_wide)</f>
        <v>104298.67593499487</v>
      </c>
      <c r="J254" s="97"/>
      <c r="K254" s="50"/>
      <c r="L254" s="27"/>
    </row>
    <row r="255" spans="1:13">
      <c r="A255" s="50"/>
      <c r="B255" s="50"/>
      <c r="C255" s="50" t="s">
        <v>337</v>
      </c>
      <c r="D255" s="50"/>
      <c r="E255" s="50"/>
      <c r="F255" s="123"/>
      <c r="G255" s="50"/>
      <c r="H255" s="124">
        <f>H216</f>
        <v>107152.20299827274</v>
      </c>
      <c r="I255" s="124">
        <f>I216</f>
        <v>110585.59172908995</v>
      </c>
      <c r="J255" s="124">
        <f>J216</f>
        <v>113951.14089105742</v>
      </c>
      <c r="K255" s="50"/>
      <c r="L255" s="27"/>
    </row>
    <row r="256" spans="1:13">
      <c r="A256" s="50"/>
      <c r="B256" s="50"/>
      <c r="C256" s="119" t="s">
        <v>371</v>
      </c>
      <c r="D256" s="50"/>
      <c r="E256" s="50"/>
      <c r="F256" s="123"/>
      <c r="G256" s="50"/>
      <c r="H256" s="124"/>
      <c r="I256" s="124">
        <f>(I255+I253)/((1+H249)*(1+I249))-I253</f>
        <v>107833.94263433371</v>
      </c>
      <c r="J256" s="124"/>
      <c r="K256" s="50"/>
      <c r="L256" s="27"/>
    </row>
    <row r="257" spans="1:12">
      <c r="A257" s="50"/>
      <c r="B257" s="50"/>
      <c r="C257" s="50" t="s">
        <v>344</v>
      </c>
      <c r="D257" s="50"/>
      <c r="E257" s="50"/>
      <c r="F257" s="123"/>
      <c r="G257" s="50"/>
      <c r="H257" s="124">
        <f>H255</f>
        <v>107152.20299827274</v>
      </c>
      <c r="I257" s="124">
        <f>I255*(1+I248)/(1+I247)</f>
        <v>109403.93798181759</v>
      </c>
      <c r="J257" s="124">
        <f>I257*(1+J$248)*(1+J$249)*(1-X_industry_wide)</f>
        <v>112464.49148589095</v>
      </c>
      <c r="K257" s="50"/>
      <c r="L257" s="27"/>
    </row>
    <row r="258" spans="1:12">
      <c r="A258" s="50"/>
      <c r="B258" s="50"/>
      <c r="C258" s="119" t="s">
        <v>346</v>
      </c>
      <c r="D258" s="50"/>
      <c r="E258" s="50"/>
      <c r="F258" s="123"/>
      <c r="G258" s="50"/>
      <c r="H258" s="124"/>
      <c r="I258" s="124">
        <f>(I257+I253)/((1+H249)*(1+I249))-I253</f>
        <v>106671.17880593706</v>
      </c>
      <c r="J258" s="97"/>
      <c r="K258" s="50"/>
      <c r="L258" s="27"/>
    </row>
    <row r="259" spans="1:12">
      <c r="A259" s="50"/>
      <c r="B259" s="50"/>
      <c r="C259" s="50" t="s">
        <v>338</v>
      </c>
      <c r="D259" s="50"/>
      <c r="E259" s="50"/>
      <c r="F259" s="123"/>
      <c r="G259" s="50"/>
      <c r="H259" s="124">
        <f>H233</f>
        <v>107152.20299827274</v>
      </c>
      <c r="I259" s="124">
        <f>I233</f>
        <v>110585.59172908995</v>
      </c>
      <c r="J259" s="124">
        <f>J233</f>
        <v>113951.14089105742</v>
      </c>
      <c r="K259" s="50"/>
      <c r="L259" s="27"/>
    </row>
    <row r="260" spans="1:12">
      <c r="A260" s="50"/>
      <c r="B260" s="50"/>
      <c r="C260" s="50" t="s">
        <v>345</v>
      </c>
      <c r="D260" s="50"/>
      <c r="E260" s="50"/>
      <c r="F260" s="123"/>
      <c r="G260" s="50"/>
      <c r="H260" s="124">
        <f>H259</f>
        <v>107152.20299827274</v>
      </c>
      <c r="I260" s="124">
        <f>I259*(1+I248)/(1+I247)</f>
        <v>109403.93798181759</v>
      </c>
      <c r="J260" s="124">
        <f>I260*(1+J$248)*(1+J$249)*(1-D227)</f>
        <v>112464.49148589095</v>
      </c>
      <c r="K260" s="50"/>
      <c r="L260" s="27"/>
    </row>
    <row r="261" spans="1:12">
      <c r="A261" s="50"/>
      <c r="B261" s="50"/>
      <c r="C261" s="119" t="s">
        <v>347</v>
      </c>
      <c r="D261" s="50"/>
      <c r="E261" s="50"/>
      <c r="F261" s="123"/>
      <c r="G261" s="50"/>
      <c r="H261" s="97"/>
      <c r="I261" s="124">
        <f>(I260+I253)/((1+H249)*(1+I249))-I253</f>
        <v>106671.17880593706</v>
      </c>
      <c r="J261" s="97"/>
      <c r="K261" s="50"/>
      <c r="L261" s="27"/>
    </row>
    <row r="262" spans="1:12">
      <c r="A262" s="50"/>
      <c r="B262" s="50"/>
      <c r="C262" s="50" t="s">
        <v>317</v>
      </c>
      <c r="D262" s="126">
        <f>E27</f>
        <v>0.2</v>
      </c>
      <c r="E262" s="50"/>
      <c r="F262" s="123"/>
      <c r="G262" s="50"/>
      <c r="H262" s="125"/>
      <c r="I262" s="125"/>
      <c r="J262" s="125"/>
      <c r="K262" s="50"/>
      <c r="L262" s="27"/>
    </row>
    <row r="263" spans="1:12" ht="18">
      <c r="A263" s="50"/>
      <c r="B263" s="50"/>
      <c r="C263" s="50" t="s">
        <v>339</v>
      </c>
      <c r="D263" s="127"/>
      <c r="E263" s="50"/>
      <c r="F263" s="123"/>
      <c r="G263" s="50"/>
      <c r="H263" s="124">
        <f>(D251+H253)*(1+G$249)*(1+H$249)-H253</f>
        <v>104300.76981192944</v>
      </c>
      <c r="I263" s="124">
        <f>H263*(1+$D262)*(1+I$247)*(1+I$249)</f>
        <v>129171.35093494337</v>
      </c>
      <c r="J263" s="124">
        <f>I264*(1+$D262)*(1+J247)*(1+J249)</f>
        <v>135280.22979568533</v>
      </c>
      <c r="K263" s="50"/>
      <c r="L263" s="27"/>
    </row>
    <row r="264" spans="1:12">
      <c r="A264" s="50"/>
      <c r="B264" s="50"/>
      <c r="C264" s="50" t="s">
        <v>367</v>
      </c>
      <c r="D264" s="127"/>
      <c r="E264" s="50"/>
      <c r="F264" s="123"/>
      <c r="G264" s="50"/>
      <c r="H264" s="124">
        <f>H260</f>
        <v>107152.20299827274</v>
      </c>
      <c r="I264" s="124">
        <f>MIN(I260,I263)</f>
        <v>109403.93798181759</v>
      </c>
      <c r="J264" s="124">
        <f>MIN(J260,J263)</f>
        <v>112464.49148589095</v>
      </c>
      <c r="K264" s="50"/>
      <c r="L264" s="27"/>
    </row>
    <row r="265" spans="1:12">
      <c r="A265" s="50"/>
      <c r="B265" s="50"/>
      <c r="C265" s="50" t="s">
        <v>373</v>
      </c>
      <c r="D265" s="31">
        <f>NPV(WACC,H255:J255)*D50</f>
        <v>290262.31064254319</v>
      </c>
      <c r="E265" s="50"/>
      <c r="F265" s="123"/>
      <c r="G265" s="50"/>
      <c r="H265" s="50"/>
      <c r="I265" s="50"/>
      <c r="J265" s="50"/>
      <c r="K265" s="50"/>
      <c r="L265" s="27"/>
    </row>
    <row r="266" spans="1:12">
      <c r="A266" s="50"/>
      <c r="B266" s="50"/>
      <c r="C266" s="50" t="s">
        <v>372</v>
      </c>
      <c r="D266" s="31">
        <f>NPV(WACC,H252:J252)*D50</f>
        <v>280368.69428605388</v>
      </c>
      <c r="E266" s="50"/>
      <c r="F266" s="123"/>
      <c r="G266" s="50"/>
      <c r="H266" s="50"/>
      <c r="I266" s="50"/>
      <c r="J266" s="50"/>
      <c r="K266" s="50"/>
      <c r="L266" s="27"/>
    </row>
    <row r="267" spans="1:12">
      <c r="A267" s="50"/>
      <c r="B267" s="50"/>
      <c r="C267" s="50" t="s">
        <v>340</v>
      </c>
      <c r="D267" s="31">
        <f>NPV(WACC,H259:J259)*D50</f>
        <v>290262.31064254319</v>
      </c>
      <c r="E267" s="50"/>
      <c r="F267" s="123"/>
      <c r="G267" s="50"/>
      <c r="H267" s="50"/>
      <c r="I267" s="50"/>
      <c r="J267" s="50"/>
      <c r="K267" s="50"/>
      <c r="L267" s="27"/>
    </row>
    <row r="268" spans="1:12">
      <c r="A268" s="50"/>
      <c r="B268" s="50"/>
      <c r="C268" s="50" t="s">
        <v>351</v>
      </c>
      <c r="D268" s="31">
        <f>NPV(WACC,H264:J264)*D50</f>
        <v>288033.57155149052</v>
      </c>
      <c r="E268" s="50"/>
      <c r="F268" s="123"/>
      <c r="G268" s="50"/>
      <c r="H268" s="50"/>
      <c r="I268" s="50"/>
      <c r="J268" s="50"/>
      <c r="K268" s="50"/>
      <c r="L268" s="27"/>
    </row>
    <row r="269" spans="1:12">
      <c r="A269" s="50"/>
      <c r="B269" s="50"/>
      <c r="C269" s="50" t="s">
        <v>348</v>
      </c>
      <c r="D269" s="31">
        <f>NPV(WACC,H257:J257)*D50</f>
        <v>288033.57155149052</v>
      </c>
      <c r="E269" s="50"/>
      <c r="F269" s="123"/>
      <c r="G269" s="50"/>
      <c r="H269" s="50"/>
      <c r="I269" s="50"/>
      <c r="J269" s="50"/>
      <c r="K269" s="50"/>
      <c r="L269" s="27"/>
    </row>
    <row r="270" spans="1:12">
      <c r="A270" s="50"/>
      <c r="B270" s="50"/>
      <c r="C270" s="50" t="s">
        <v>349</v>
      </c>
      <c r="D270" s="31">
        <f>NPV(WACC,H260:J260)*D50</f>
        <v>288033.57155149052</v>
      </c>
      <c r="E270" s="50"/>
      <c r="F270" s="123"/>
      <c r="G270" s="50"/>
      <c r="H270" s="50"/>
      <c r="I270" s="50"/>
      <c r="J270" s="50"/>
      <c r="K270" s="50"/>
      <c r="L270" s="27"/>
    </row>
    <row r="271" spans="1:12">
      <c r="A271" s="50"/>
      <c r="B271" s="50"/>
      <c r="C271" s="50" t="s">
        <v>368</v>
      </c>
      <c r="D271" s="31" t="b">
        <f>OR(I260&gt;I263,J260&gt;J263)</f>
        <v>0</v>
      </c>
      <c r="E271" s="50"/>
      <c r="F271" s="123"/>
      <c r="G271" s="50"/>
      <c r="H271" s="50"/>
      <c r="I271" s="50"/>
      <c r="J271" s="50"/>
      <c r="K271" s="50"/>
      <c r="L271" s="27"/>
    </row>
    <row r="272" spans="1:12">
      <c r="A272" s="50"/>
      <c r="B272" s="50"/>
      <c r="C272" s="50"/>
      <c r="D272" s="31"/>
      <c r="E272" s="50"/>
      <c r="F272" s="123"/>
      <c r="G272" s="50"/>
      <c r="H272" s="50"/>
      <c r="I272" s="50"/>
      <c r="J272" s="50"/>
      <c r="K272" s="50"/>
      <c r="L272" s="27"/>
    </row>
    <row r="273" spans="1:12" ht="21">
      <c r="A273" s="50"/>
      <c r="B273" s="50"/>
      <c r="C273" s="155" t="s">
        <v>343</v>
      </c>
      <c r="D273" s="127"/>
      <c r="E273" s="50"/>
      <c r="F273" s="123"/>
      <c r="G273" s="50"/>
      <c r="H273" s="50"/>
      <c r="I273" s="50"/>
      <c r="J273" s="50"/>
      <c r="K273" s="50"/>
      <c r="L273" s="27"/>
    </row>
    <row r="274" spans="1:12" ht="30">
      <c r="A274" s="50"/>
      <c r="B274" s="50"/>
      <c r="C274" s="123" t="s">
        <v>370</v>
      </c>
      <c r="D274" s="126">
        <f>I$261/(D$251*(1+I$249)*(1+I$248))-1</f>
        <v>2.7629176966408542E-2</v>
      </c>
      <c r="E274" s="50"/>
      <c r="F274" s="123"/>
      <c r="G274" s="50"/>
      <c r="H274" s="50"/>
      <c r="I274" s="50"/>
      <c r="J274" s="50"/>
      <c r="K274" s="50"/>
      <c r="L274" s="27"/>
    </row>
    <row r="275" spans="1:12" ht="30">
      <c r="A275" s="50"/>
      <c r="B275" s="50"/>
      <c r="C275" s="123" t="s">
        <v>350</v>
      </c>
      <c r="D275" s="31">
        <f>D265-D268</f>
        <v>2228.7390910526738</v>
      </c>
      <c r="E275" s="50"/>
      <c r="F275" s="123"/>
      <c r="G275" s="50"/>
      <c r="H275" s="50"/>
      <c r="I275" s="50"/>
      <c r="J275" s="50"/>
      <c r="K275" s="50"/>
      <c r="L275" s="27"/>
    </row>
    <row r="276" spans="1:12">
      <c r="A276" s="50"/>
      <c r="B276" s="50"/>
      <c r="C276" s="123" t="s">
        <v>366</v>
      </c>
      <c r="D276" s="31">
        <f>ROUNDUP(I264,0)</f>
        <v>109404</v>
      </c>
      <c r="E276" s="50"/>
      <c r="F276" s="123"/>
      <c r="G276" s="50"/>
      <c r="H276" s="50"/>
      <c r="I276" s="50"/>
      <c r="J276" s="50"/>
      <c r="K276" s="50"/>
      <c r="L276" s="27"/>
    </row>
    <row r="277" spans="1:12">
      <c r="A277" s="50"/>
      <c r="B277" s="50"/>
      <c r="C277" s="123" t="s">
        <v>378</v>
      </c>
      <c r="D277" s="31">
        <f>ROUNDUP(H233,0)</f>
        <v>107153</v>
      </c>
      <c r="E277" s="50"/>
      <c r="F277" s="123"/>
      <c r="G277" s="50"/>
      <c r="H277" s="50"/>
      <c r="I277" s="50"/>
      <c r="J277" s="50"/>
      <c r="K277" s="50"/>
      <c r="L277" s="27"/>
    </row>
    <row r="278" spans="1:12">
      <c r="A278" s="50"/>
      <c r="B278" s="50"/>
      <c r="C278" s="114" t="s">
        <v>382</v>
      </c>
      <c r="D278" s="31">
        <f>D269-D266</f>
        <v>7664.877265436633</v>
      </c>
      <c r="E278" s="50"/>
      <c r="F278" s="123"/>
      <c r="G278" s="50"/>
      <c r="H278" s="50"/>
      <c r="I278" s="50"/>
      <c r="J278" s="50"/>
      <c r="K278" s="50"/>
      <c r="L278" s="27"/>
    </row>
    <row r="279" spans="1:12">
      <c r="A279" s="15"/>
      <c r="B279" s="15"/>
      <c r="C279" s="15"/>
      <c r="D279" s="15"/>
      <c r="E279" s="120"/>
      <c r="F279" s="15"/>
      <c r="G279" s="15"/>
      <c r="H279" s="15"/>
      <c r="I279" s="15"/>
      <c r="J279" s="15"/>
      <c r="K279" s="15"/>
    </row>
    <row r="280" spans="1:12">
      <c r="A280" s="15"/>
      <c r="B280" s="15"/>
      <c r="C280" s="15"/>
      <c r="D280" s="15"/>
      <c r="E280" s="120"/>
      <c r="F280" s="15"/>
      <c r="G280" s="15"/>
      <c r="H280" s="15"/>
      <c r="I280" s="15"/>
      <c r="J280" s="15"/>
      <c r="K280" s="15"/>
    </row>
    <row r="281" spans="1:12">
      <c r="A281" s="15"/>
      <c r="B281" s="15"/>
      <c r="C281" s="15"/>
      <c r="D281" s="15"/>
      <c r="E281" s="120"/>
      <c r="F281" s="15"/>
      <c r="G281" s="15"/>
      <c r="H281" s="15"/>
      <c r="I281" s="15"/>
      <c r="J281" s="15"/>
      <c r="K281" s="15"/>
    </row>
    <row r="282" spans="1:12">
      <c r="A282" s="15"/>
      <c r="B282" s="15"/>
      <c r="C282" s="15"/>
      <c r="D282" s="15"/>
      <c r="E282" s="120"/>
      <c r="F282" s="15"/>
      <c r="G282" s="15"/>
      <c r="H282" s="15"/>
      <c r="I282" s="15"/>
      <c r="J282" s="15"/>
      <c r="K282" s="15"/>
    </row>
    <row r="283" spans="1:12">
      <c r="A283" s="15"/>
      <c r="B283" s="15"/>
      <c r="C283" s="15"/>
      <c r="D283" s="15"/>
      <c r="E283" s="120"/>
      <c r="F283" s="15"/>
      <c r="G283" s="15"/>
      <c r="H283" s="15"/>
      <c r="I283" s="15"/>
      <c r="J283" s="15"/>
      <c r="K283" s="15"/>
    </row>
    <row r="284" spans="1:12">
      <c r="A284" s="15"/>
      <c r="B284" s="15"/>
      <c r="C284" s="15"/>
      <c r="D284" s="15"/>
      <c r="E284" s="120"/>
      <c r="F284" s="15"/>
      <c r="G284" s="15"/>
      <c r="H284" s="15"/>
      <c r="I284" s="15"/>
      <c r="J284" s="15"/>
      <c r="K284" s="15"/>
    </row>
    <row r="285" spans="1:12">
      <c r="A285" s="15"/>
      <c r="B285" s="15"/>
      <c r="C285" s="15"/>
      <c r="D285" s="15"/>
      <c r="E285" s="120"/>
      <c r="F285" s="15"/>
      <c r="G285" s="15"/>
      <c r="H285" s="15"/>
      <c r="I285" s="15"/>
      <c r="J285" s="15"/>
      <c r="K285" s="15"/>
    </row>
    <row r="286" spans="1:12">
      <c r="A286" s="15"/>
      <c r="B286" s="15"/>
      <c r="C286" s="15"/>
      <c r="D286" s="15"/>
      <c r="E286" s="120"/>
      <c r="F286" s="15"/>
      <c r="G286" s="15"/>
      <c r="H286" s="15"/>
      <c r="I286" s="15"/>
      <c r="J286" s="15"/>
      <c r="K286" s="15"/>
    </row>
    <row r="287" spans="1:12">
      <c r="A287" s="15"/>
      <c r="B287" s="15"/>
      <c r="C287" s="15"/>
      <c r="D287" s="15"/>
      <c r="E287" s="120"/>
      <c r="F287" s="15"/>
      <c r="G287" s="15"/>
      <c r="H287" s="15"/>
      <c r="I287" s="15"/>
      <c r="J287" s="15"/>
      <c r="K287" s="15"/>
    </row>
    <row r="288" spans="1:12">
      <c r="A288" s="15"/>
      <c r="B288" s="15"/>
      <c r="C288" s="15"/>
      <c r="D288" s="15"/>
      <c r="E288" s="120"/>
      <c r="F288" s="15"/>
      <c r="G288" s="15"/>
      <c r="H288" s="15"/>
      <c r="I288" s="15"/>
      <c r="J288" s="15"/>
      <c r="K288" s="15"/>
    </row>
    <row r="289" spans="1:11">
      <c r="A289" s="15"/>
      <c r="B289" s="15"/>
      <c r="C289" s="15"/>
      <c r="D289" s="15"/>
      <c r="E289" s="120"/>
      <c r="F289" s="15"/>
      <c r="G289" s="15"/>
      <c r="H289" s="15"/>
      <c r="I289" s="15"/>
      <c r="J289" s="15"/>
      <c r="K289" s="15"/>
    </row>
    <row r="290" spans="1:11">
      <c r="A290" s="15"/>
      <c r="B290" s="15"/>
      <c r="C290" s="15"/>
      <c r="D290" s="15"/>
      <c r="E290" s="120"/>
      <c r="F290" s="15"/>
      <c r="G290" s="15"/>
      <c r="H290" s="15"/>
      <c r="I290" s="15"/>
      <c r="J290" s="15"/>
      <c r="K290" s="15"/>
    </row>
    <row r="291" spans="1:11">
      <c r="A291" s="15"/>
      <c r="B291" s="15"/>
      <c r="C291" s="15"/>
      <c r="D291" s="15"/>
      <c r="E291" s="120"/>
      <c r="F291" s="15"/>
      <c r="G291" s="15"/>
      <c r="H291" s="15"/>
      <c r="I291" s="15"/>
      <c r="J291" s="15"/>
      <c r="K291" s="15"/>
    </row>
    <row r="292" spans="1:11">
      <c r="A292" s="15"/>
      <c r="B292" s="15"/>
      <c r="C292" s="15"/>
      <c r="D292" s="15"/>
      <c r="E292" s="120"/>
      <c r="F292" s="15"/>
      <c r="G292" s="15"/>
      <c r="H292" s="15"/>
      <c r="I292" s="15"/>
      <c r="J292" s="15"/>
      <c r="K292" s="15"/>
    </row>
    <row r="293" spans="1:11">
      <c r="A293" s="15"/>
      <c r="B293" s="15"/>
      <c r="C293" s="15"/>
      <c r="D293" s="15"/>
      <c r="E293" s="120"/>
      <c r="F293" s="15"/>
      <c r="G293" s="15"/>
      <c r="H293" s="15"/>
      <c r="I293" s="15"/>
      <c r="J293" s="15"/>
      <c r="K293" s="15"/>
    </row>
    <row r="294" spans="1:11">
      <c r="A294" s="15"/>
      <c r="B294" s="15"/>
      <c r="C294" s="15"/>
      <c r="D294" s="15"/>
      <c r="E294" s="120"/>
      <c r="F294" s="15"/>
      <c r="G294" s="15"/>
      <c r="H294" s="15"/>
      <c r="I294" s="15"/>
      <c r="J294" s="15"/>
      <c r="K294" s="15"/>
    </row>
    <row r="295" spans="1:11">
      <c r="A295" s="15"/>
      <c r="B295" s="15"/>
      <c r="C295" s="15"/>
      <c r="D295" s="15"/>
      <c r="E295" s="120"/>
      <c r="F295" s="15"/>
      <c r="G295" s="15"/>
      <c r="H295" s="15"/>
      <c r="I295" s="15"/>
      <c r="J295" s="15"/>
      <c r="K295" s="15"/>
    </row>
    <row r="296" spans="1:11">
      <c r="A296" s="15"/>
      <c r="B296" s="15"/>
      <c r="C296" s="15"/>
      <c r="D296" s="15"/>
      <c r="E296" s="120"/>
      <c r="F296" s="15"/>
      <c r="G296" s="15"/>
      <c r="H296" s="15"/>
      <c r="I296" s="15"/>
      <c r="J296" s="15"/>
      <c r="K296" s="15"/>
    </row>
    <row r="297" spans="1:11">
      <c r="A297" s="15"/>
      <c r="B297" s="15"/>
      <c r="C297" s="15"/>
      <c r="D297" s="15"/>
      <c r="E297" s="120"/>
      <c r="F297" s="15"/>
      <c r="G297" s="15"/>
      <c r="H297" s="15"/>
      <c r="I297" s="15"/>
      <c r="J297" s="15"/>
      <c r="K297" s="15"/>
    </row>
    <row r="298" spans="1:11">
      <c r="A298" s="15"/>
      <c r="B298" s="15"/>
      <c r="C298" s="15"/>
      <c r="D298" s="15"/>
      <c r="E298" s="120"/>
      <c r="F298" s="15"/>
      <c r="G298" s="15"/>
      <c r="H298" s="15"/>
      <c r="I298" s="15"/>
      <c r="J298" s="15"/>
      <c r="K298" s="15"/>
    </row>
    <row r="299" spans="1:11">
      <c r="A299" s="15"/>
      <c r="B299" s="15"/>
      <c r="C299" s="15"/>
      <c r="D299" s="15"/>
      <c r="E299" s="120"/>
      <c r="F299" s="15"/>
      <c r="G299" s="15"/>
      <c r="H299" s="15"/>
      <c r="I299" s="15"/>
      <c r="J299" s="15"/>
    </row>
    <row r="300" spans="1:11">
      <c r="A300" s="15"/>
      <c r="B300" s="15"/>
      <c r="C300" s="15"/>
      <c r="D300" s="15"/>
      <c r="E300" s="120"/>
      <c r="F300" s="15"/>
      <c r="G300" s="15"/>
      <c r="H300" s="15"/>
      <c r="I300" s="15"/>
      <c r="J300" s="15"/>
    </row>
    <row r="301" spans="1:11">
      <c r="A301" s="15"/>
      <c r="B301" s="15"/>
      <c r="C301" s="15"/>
      <c r="D301" s="15"/>
      <c r="E301" s="120"/>
      <c r="F301" s="15"/>
      <c r="G301" s="15"/>
      <c r="H301" s="15"/>
      <c r="I301" s="15"/>
      <c r="J301" s="15"/>
    </row>
    <row r="302" spans="1:11">
      <c r="A302" s="15"/>
      <c r="B302" s="15"/>
      <c r="C302" s="15"/>
      <c r="D302" s="15"/>
      <c r="E302" s="120"/>
      <c r="F302" s="15"/>
      <c r="G302" s="15"/>
      <c r="H302" s="15"/>
      <c r="I302" s="15"/>
      <c r="J302" s="15"/>
    </row>
    <row r="303" spans="1:11">
      <c r="A303" s="15"/>
      <c r="B303" s="15"/>
      <c r="C303" s="15"/>
      <c r="D303" s="15"/>
      <c r="E303" s="120"/>
      <c r="F303" s="15"/>
      <c r="G303" s="15"/>
      <c r="H303" s="15"/>
      <c r="I303" s="15"/>
      <c r="J303" s="15"/>
    </row>
    <row r="304" spans="1:11">
      <c r="A304" s="15"/>
      <c r="B304" s="15"/>
      <c r="C304" s="15"/>
      <c r="D304" s="15"/>
      <c r="E304" s="120"/>
      <c r="F304" s="15"/>
      <c r="G304" s="15"/>
      <c r="H304" s="15"/>
      <c r="I304" s="15"/>
      <c r="J304" s="15"/>
    </row>
    <row r="305" spans="1:10">
      <c r="A305" s="15"/>
      <c r="B305" s="15"/>
      <c r="C305" s="15"/>
      <c r="D305" s="15"/>
      <c r="E305" s="120"/>
      <c r="F305" s="15"/>
      <c r="G305" s="15"/>
      <c r="H305" s="15"/>
      <c r="I305" s="15"/>
      <c r="J305" s="15"/>
    </row>
    <row r="306" spans="1:10">
      <c r="A306" s="15"/>
      <c r="B306" s="15"/>
      <c r="C306" s="15"/>
      <c r="D306" s="15"/>
      <c r="E306" s="120"/>
      <c r="F306" s="15"/>
      <c r="G306" s="15"/>
      <c r="H306" s="15"/>
      <c r="I306" s="15"/>
      <c r="J306" s="15"/>
    </row>
    <row r="307" spans="1:10">
      <c r="A307" s="15"/>
      <c r="B307" s="15"/>
      <c r="C307" s="15"/>
      <c r="D307" s="15"/>
      <c r="E307" s="120"/>
      <c r="F307" s="15"/>
      <c r="G307" s="15"/>
      <c r="H307" s="15"/>
      <c r="I307" s="15"/>
      <c r="J307" s="15"/>
    </row>
    <row r="308" spans="1:10">
      <c r="A308" s="15"/>
      <c r="B308" s="15"/>
      <c r="C308" s="15"/>
      <c r="D308" s="15"/>
      <c r="E308" s="120"/>
      <c r="F308" s="15"/>
      <c r="G308" s="15"/>
      <c r="H308" s="15"/>
      <c r="I308" s="15"/>
      <c r="J308" s="15"/>
    </row>
    <row r="309" spans="1:10">
      <c r="A309" s="15"/>
      <c r="B309" s="15"/>
      <c r="C309" s="15"/>
      <c r="D309" s="15"/>
      <c r="E309" s="120"/>
      <c r="F309" s="15"/>
      <c r="G309" s="15"/>
      <c r="H309" s="15"/>
      <c r="I309" s="15"/>
      <c r="J309" s="15"/>
    </row>
    <row r="310" spans="1:10">
      <c r="A310" s="15"/>
      <c r="B310" s="15"/>
      <c r="C310" s="15"/>
      <c r="D310" s="15"/>
      <c r="E310" s="120"/>
      <c r="F310" s="15"/>
      <c r="G310" s="15"/>
      <c r="H310" s="15"/>
      <c r="I310" s="15"/>
      <c r="J310" s="15"/>
    </row>
    <row r="311" spans="1:10">
      <c r="A311" s="15"/>
      <c r="B311" s="15"/>
      <c r="C311" s="15"/>
      <c r="D311" s="15"/>
      <c r="E311" s="120"/>
      <c r="F311" s="15"/>
      <c r="G311" s="15"/>
      <c r="H311" s="15"/>
      <c r="I311" s="15"/>
      <c r="J311" s="15"/>
    </row>
    <row r="312" spans="1:10">
      <c r="A312" s="15"/>
      <c r="B312" s="15"/>
      <c r="C312" s="15"/>
      <c r="D312" s="15"/>
      <c r="E312" s="120"/>
      <c r="F312" s="15"/>
      <c r="G312" s="15"/>
      <c r="H312" s="15"/>
      <c r="I312" s="15"/>
      <c r="J312" s="15"/>
    </row>
    <row r="313" spans="1:10">
      <c r="E313" s="19"/>
    </row>
    <row r="314" spans="1:10">
      <c r="E314" s="19"/>
    </row>
    <row r="315" spans="1:10">
      <c r="E315" s="19"/>
    </row>
    <row r="316" spans="1:10">
      <c r="E316" s="19"/>
    </row>
    <row r="317" spans="1:10">
      <c r="E317" s="19"/>
    </row>
    <row r="318" spans="1:10">
      <c r="E318" s="19"/>
    </row>
    <row r="319" spans="1:10">
      <c r="E319" s="19"/>
    </row>
    <row r="320" spans="1:10">
      <c r="E320" s="19"/>
    </row>
    <row r="321" spans="5:5">
      <c r="E321" s="19"/>
    </row>
    <row r="322" spans="5:5">
      <c r="E322" s="19"/>
    </row>
    <row r="323" spans="5:5">
      <c r="E323" s="19"/>
    </row>
    <row r="324" spans="5:5">
      <c r="E324" s="19"/>
    </row>
    <row r="325" spans="5:5">
      <c r="E325" s="19"/>
    </row>
    <row r="326" spans="5:5">
      <c r="E326" s="19"/>
    </row>
    <row r="327" spans="5:5">
      <c r="E327" s="19"/>
    </row>
    <row r="328" spans="5:5">
      <c r="E328" s="19"/>
    </row>
    <row r="329" spans="5:5">
      <c r="E329" s="19"/>
    </row>
    <row r="330" spans="5:5">
      <c r="E330" s="19"/>
    </row>
    <row r="331" spans="5:5">
      <c r="E331" s="19"/>
    </row>
    <row r="332" spans="5:5">
      <c r="E332" s="19"/>
    </row>
    <row r="333" spans="5:5">
      <c r="E333" s="19"/>
    </row>
    <row r="334" spans="5:5">
      <c r="E334" s="19"/>
    </row>
    <row r="335" spans="5:5">
      <c r="E335" s="19"/>
    </row>
    <row r="336" spans="5:5">
      <c r="E336" s="19"/>
    </row>
    <row r="337" spans="5:5">
      <c r="E337" s="19"/>
    </row>
    <row r="338" spans="5:5">
      <c r="E338" s="19"/>
    </row>
    <row r="339" spans="5:5">
      <c r="E339" s="19"/>
    </row>
    <row r="340" spans="5:5">
      <c r="E340" s="19"/>
    </row>
    <row r="341" spans="5:5">
      <c r="E341" s="19"/>
    </row>
    <row r="342" spans="5:5">
      <c r="E342" s="19"/>
    </row>
    <row r="343" spans="5:5">
      <c r="E343" s="19"/>
    </row>
    <row r="344" spans="5:5">
      <c r="E344" s="19"/>
    </row>
    <row r="345" spans="5:5">
      <c r="E345" s="19"/>
    </row>
    <row r="346" spans="5:5">
      <c r="E346" s="19"/>
    </row>
    <row r="347" spans="5:5">
      <c r="E347" s="19"/>
    </row>
    <row r="348" spans="5:5">
      <c r="E348" s="19"/>
    </row>
    <row r="349" spans="5:5">
      <c r="E349" s="19"/>
    </row>
    <row r="350" spans="5:5">
      <c r="E350" s="19"/>
    </row>
    <row r="351" spans="5:5">
      <c r="E351" s="19"/>
    </row>
    <row r="352" spans="5:5">
      <c r="E352" s="19"/>
    </row>
    <row r="353" spans="5:5">
      <c r="E353" s="19"/>
    </row>
    <row r="354" spans="5:5">
      <c r="E354" s="19"/>
    </row>
    <row r="355" spans="5:5">
      <c r="E355" s="19"/>
    </row>
    <row r="356" spans="5:5">
      <c r="E356" s="19"/>
    </row>
    <row r="357" spans="5:5">
      <c r="E357" s="19"/>
    </row>
    <row r="358" spans="5:5">
      <c r="E358" s="19"/>
    </row>
    <row r="359" spans="5:5">
      <c r="E359" s="19"/>
    </row>
    <row r="360" spans="5:5">
      <c r="E360" s="19"/>
    </row>
    <row r="361" spans="5:5">
      <c r="E361" s="19"/>
    </row>
    <row r="362" spans="5:5">
      <c r="E362" s="19"/>
    </row>
    <row r="363" spans="5:5">
      <c r="E363" s="19"/>
    </row>
    <row r="364" spans="5:5">
      <c r="E364" s="19"/>
    </row>
    <row r="365" spans="5:5">
      <c r="E365" s="19"/>
    </row>
    <row r="366" spans="5:5">
      <c r="E366" s="19"/>
    </row>
    <row r="367" spans="5:5">
      <c r="E367" s="19"/>
    </row>
    <row r="368" spans="5:5">
      <c r="E368" s="19"/>
    </row>
    <row r="369" spans="5:5">
      <c r="E369" s="19"/>
    </row>
    <row r="370" spans="5:5">
      <c r="E370" s="19"/>
    </row>
    <row r="371" spans="5:5">
      <c r="E371" s="19"/>
    </row>
    <row r="372" spans="5:5">
      <c r="E372" s="19"/>
    </row>
    <row r="373" spans="5:5">
      <c r="E373" s="19"/>
    </row>
    <row r="374" spans="5:5">
      <c r="E374" s="19"/>
    </row>
    <row r="375" spans="5:5">
      <c r="E375" s="19"/>
    </row>
    <row r="376" spans="5:5">
      <c r="E376" s="19"/>
    </row>
    <row r="377" spans="5:5">
      <c r="E377" s="19"/>
    </row>
    <row r="378" spans="5:5">
      <c r="E378" s="19"/>
    </row>
    <row r="379" spans="5:5">
      <c r="E379" s="19"/>
    </row>
    <row r="380" spans="5:5">
      <c r="E380" s="19"/>
    </row>
    <row r="381" spans="5:5">
      <c r="E381" s="19"/>
    </row>
    <row r="382" spans="5:5">
      <c r="E382" s="19"/>
    </row>
    <row r="383" spans="5:5">
      <c r="E383" s="19"/>
    </row>
    <row r="384" spans="5:5">
      <c r="E384" s="19"/>
    </row>
    <row r="385" spans="5:5">
      <c r="E385" s="19"/>
    </row>
    <row r="386" spans="5:5">
      <c r="E386" s="19"/>
    </row>
    <row r="387" spans="5:5">
      <c r="E387" s="19"/>
    </row>
    <row r="388" spans="5:5">
      <c r="E388" s="19"/>
    </row>
    <row r="389" spans="5:5">
      <c r="E389" s="19"/>
    </row>
    <row r="390" spans="5:5">
      <c r="E390" s="19"/>
    </row>
    <row r="391" spans="5:5">
      <c r="E391" s="19"/>
    </row>
    <row r="392" spans="5:5">
      <c r="E392" s="19"/>
    </row>
    <row r="393" spans="5:5">
      <c r="E393" s="19"/>
    </row>
    <row r="394" spans="5:5">
      <c r="E394" s="19"/>
    </row>
    <row r="395" spans="5:5">
      <c r="E395" s="19"/>
    </row>
    <row r="396" spans="5:5">
      <c r="E396" s="19"/>
    </row>
    <row r="397" spans="5:5">
      <c r="E397" s="19"/>
    </row>
    <row r="398" spans="5:5">
      <c r="E398" s="19"/>
    </row>
    <row r="399" spans="5:5">
      <c r="E399" s="19"/>
    </row>
    <row r="400" spans="5:5">
      <c r="E400" s="19"/>
    </row>
    <row r="401" spans="5:5">
      <c r="E401" s="19"/>
    </row>
    <row r="402" spans="5:5">
      <c r="E402" s="19"/>
    </row>
    <row r="403" spans="5:5">
      <c r="E403" s="19"/>
    </row>
    <row r="404" spans="5:5">
      <c r="E404" s="19"/>
    </row>
    <row r="405" spans="5:5">
      <c r="E405" s="19"/>
    </row>
    <row r="406" spans="5:5">
      <c r="E406" s="19"/>
    </row>
    <row r="407" spans="5:5">
      <c r="E407" s="19"/>
    </row>
    <row r="408" spans="5:5">
      <c r="E408" s="19"/>
    </row>
    <row r="409" spans="5:5">
      <c r="E409" s="19"/>
    </row>
    <row r="410" spans="5:5">
      <c r="E410" s="19"/>
    </row>
    <row r="411" spans="5:5">
      <c r="E411" s="19"/>
    </row>
    <row r="412" spans="5:5">
      <c r="E412" s="19"/>
    </row>
    <row r="413" spans="5:5">
      <c r="E413" s="19"/>
    </row>
    <row r="414" spans="5:5">
      <c r="E414" s="19"/>
    </row>
    <row r="415" spans="5:5">
      <c r="E415" s="19"/>
    </row>
    <row r="416" spans="5:5">
      <c r="E416" s="19"/>
    </row>
    <row r="417" spans="5:5">
      <c r="E417" s="19"/>
    </row>
    <row r="418" spans="5:5">
      <c r="E418" s="19"/>
    </row>
    <row r="419" spans="5:5">
      <c r="E419" s="19"/>
    </row>
    <row r="420" spans="5:5">
      <c r="E420" s="19"/>
    </row>
    <row r="421" spans="5:5">
      <c r="E421" s="19"/>
    </row>
    <row r="422" spans="5:5">
      <c r="E422" s="19"/>
    </row>
    <row r="423" spans="5:5">
      <c r="E423" s="19"/>
    </row>
    <row r="424" spans="5:5">
      <c r="E424" s="19"/>
    </row>
    <row r="425" spans="5:5">
      <c r="E425" s="19"/>
    </row>
    <row r="426" spans="5:5">
      <c r="E426" s="19"/>
    </row>
    <row r="427" spans="5:5">
      <c r="E427" s="19"/>
    </row>
    <row r="428" spans="5:5">
      <c r="E428" s="19"/>
    </row>
    <row r="429" spans="5:5">
      <c r="E429" s="19"/>
    </row>
    <row r="430" spans="5:5">
      <c r="E430" s="19"/>
    </row>
    <row r="431" spans="5:5">
      <c r="E431" s="19"/>
    </row>
    <row r="432" spans="5:5">
      <c r="E432" s="19"/>
    </row>
    <row r="433" spans="5:5">
      <c r="E433" s="19"/>
    </row>
    <row r="434" spans="5:5">
      <c r="E434" s="19"/>
    </row>
    <row r="435" spans="5:5">
      <c r="E435" s="19"/>
    </row>
    <row r="436" spans="5:5">
      <c r="E436" s="19"/>
    </row>
    <row r="437" spans="5:5">
      <c r="E437" s="19"/>
    </row>
    <row r="438" spans="5:5">
      <c r="E438" s="19"/>
    </row>
    <row r="439" spans="5:5">
      <c r="E439" s="19"/>
    </row>
    <row r="440" spans="5:5">
      <c r="E440" s="19"/>
    </row>
    <row r="441" spans="5:5">
      <c r="E441" s="19"/>
    </row>
    <row r="442" spans="5:5">
      <c r="E442" s="19"/>
    </row>
    <row r="443" spans="5:5">
      <c r="E443" s="19"/>
    </row>
    <row r="444" spans="5:5">
      <c r="E444" s="19"/>
    </row>
    <row r="445" spans="5:5">
      <c r="E445" s="19"/>
    </row>
    <row r="446" spans="5:5">
      <c r="E446" s="19"/>
    </row>
    <row r="447" spans="5:5">
      <c r="E447" s="19"/>
    </row>
    <row r="448" spans="5:5">
      <c r="E448" s="19"/>
    </row>
    <row r="449" spans="5:5">
      <c r="E449" s="19"/>
    </row>
    <row r="450" spans="5:5">
      <c r="E450" s="19"/>
    </row>
    <row r="451" spans="5:5">
      <c r="E451" s="19"/>
    </row>
    <row r="452" spans="5:5">
      <c r="E452" s="19"/>
    </row>
    <row r="453" spans="5:5">
      <c r="E453" s="19"/>
    </row>
    <row r="454" spans="5:5">
      <c r="E454" s="19"/>
    </row>
    <row r="455" spans="5:5">
      <c r="E455" s="19"/>
    </row>
    <row r="456" spans="5:5">
      <c r="E456" s="19"/>
    </row>
    <row r="457" spans="5:5">
      <c r="E457" s="19"/>
    </row>
    <row r="458" spans="5:5">
      <c r="E458" s="19"/>
    </row>
    <row r="459" spans="5:5">
      <c r="E459" s="19"/>
    </row>
    <row r="460" spans="5:5">
      <c r="E460" s="19"/>
    </row>
    <row r="461" spans="5:5">
      <c r="E461" s="19"/>
    </row>
    <row r="462" spans="5:5">
      <c r="E462" s="19"/>
    </row>
    <row r="463" spans="5:5">
      <c r="E463" s="19"/>
    </row>
    <row r="464" spans="5:5">
      <c r="E464" s="19"/>
    </row>
    <row r="465" spans="5:5">
      <c r="E465" s="19"/>
    </row>
    <row r="466" spans="5:5">
      <c r="E466" s="19"/>
    </row>
    <row r="467" spans="5:5">
      <c r="E467" s="19"/>
    </row>
    <row r="468" spans="5:5">
      <c r="E468" s="19"/>
    </row>
    <row r="469" spans="5:5">
      <c r="E469" s="19"/>
    </row>
    <row r="470" spans="5:5">
      <c r="E470" s="19"/>
    </row>
    <row r="471" spans="5:5">
      <c r="E471" s="19"/>
    </row>
    <row r="472" spans="5:5">
      <c r="E472" s="19"/>
    </row>
    <row r="473" spans="5:5">
      <c r="E473" s="19"/>
    </row>
    <row r="474" spans="5:5">
      <c r="E474" s="19"/>
    </row>
    <row r="475" spans="5:5">
      <c r="E475" s="19"/>
    </row>
    <row r="476" spans="5:5">
      <c r="E476" s="19"/>
    </row>
    <row r="477" spans="5:5">
      <c r="E477" s="19"/>
    </row>
    <row r="478" spans="5:5">
      <c r="E478" s="19"/>
    </row>
    <row r="479" spans="5:5">
      <c r="E479" s="19"/>
    </row>
    <row r="480" spans="5:5">
      <c r="E480" s="19"/>
    </row>
    <row r="481" spans="5:5">
      <c r="E481" s="19"/>
    </row>
    <row r="482" spans="5:5">
      <c r="E482" s="19"/>
    </row>
    <row r="483" spans="5:5">
      <c r="E483" s="19"/>
    </row>
    <row r="484" spans="5:5">
      <c r="E484" s="19"/>
    </row>
    <row r="485" spans="5:5">
      <c r="E485" s="19"/>
    </row>
    <row r="486" spans="5:5">
      <c r="E486" s="19"/>
    </row>
    <row r="487" spans="5:5">
      <c r="E487" s="19"/>
    </row>
    <row r="488" spans="5:5">
      <c r="E488" s="19"/>
    </row>
    <row r="489" spans="5:5">
      <c r="E489" s="19"/>
    </row>
    <row r="490" spans="5:5">
      <c r="E490" s="19"/>
    </row>
    <row r="491" spans="5:5">
      <c r="E491" s="19"/>
    </row>
    <row r="492" spans="5:5">
      <c r="E492" s="19"/>
    </row>
    <row r="493" spans="5:5">
      <c r="E493" s="19"/>
    </row>
    <row r="494" spans="5:5">
      <c r="E494" s="19"/>
    </row>
    <row r="495" spans="5:5">
      <c r="E495" s="19"/>
    </row>
    <row r="496" spans="5:5">
      <c r="E496" s="19"/>
    </row>
    <row r="497" spans="5:5">
      <c r="E497" s="19"/>
    </row>
    <row r="498" spans="5:5">
      <c r="E498" s="19"/>
    </row>
    <row r="499" spans="5:5">
      <c r="E499" s="19"/>
    </row>
    <row r="500" spans="5:5">
      <c r="E500" s="19"/>
    </row>
    <row r="501" spans="5:5">
      <c r="E501" s="19"/>
    </row>
    <row r="502" spans="5:5">
      <c r="E502" s="19"/>
    </row>
    <row r="503" spans="5:5">
      <c r="E503" s="19"/>
    </row>
    <row r="504" spans="5:5">
      <c r="E504" s="19"/>
    </row>
    <row r="505" spans="5:5">
      <c r="E505" s="19"/>
    </row>
    <row r="506" spans="5:5">
      <c r="E506" s="19"/>
    </row>
    <row r="507" spans="5:5">
      <c r="E507" s="19"/>
    </row>
    <row r="508" spans="5:5">
      <c r="E508" s="19"/>
    </row>
    <row r="509" spans="5:5">
      <c r="E509" s="19"/>
    </row>
    <row r="510" spans="5:5">
      <c r="E510" s="19"/>
    </row>
    <row r="511" spans="5:5">
      <c r="E511" s="19"/>
    </row>
    <row r="512" spans="5:5">
      <c r="E512" s="19"/>
    </row>
    <row r="513" spans="5:5">
      <c r="E513" s="19"/>
    </row>
    <row r="514" spans="5:5">
      <c r="E514" s="19"/>
    </row>
    <row r="515" spans="5:5">
      <c r="E515" s="19"/>
    </row>
    <row r="516" spans="5:5">
      <c r="E516" s="19"/>
    </row>
    <row r="517" spans="5:5">
      <c r="E517" s="19"/>
    </row>
    <row r="518" spans="5:5">
      <c r="E518" s="19"/>
    </row>
    <row r="519" spans="5:5">
      <c r="E519" s="19"/>
    </row>
    <row r="520" spans="5:5">
      <c r="E520" s="19"/>
    </row>
    <row r="521" spans="5:5">
      <c r="E521" s="19"/>
    </row>
    <row r="522" spans="5:5">
      <c r="E522" s="19"/>
    </row>
    <row r="523" spans="5:5">
      <c r="E523" s="19"/>
    </row>
    <row r="524" spans="5:5">
      <c r="E524" s="19"/>
    </row>
    <row r="525" spans="5:5">
      <c r="E525" s="19"/>
    </row>
    <row r="526" spans="5:5">
      <c r="E526" s="19"/>
    </row>
    <row r="527" spans="5:5">
      <c r="E527" s="19"/>
    </row>
    <row r="528" spans="5:5">
      <c r="E528" s="19"/>
    </row>
    <row r="529" spans="5:5">
      <c r="E529" s="19"/>
    </row>
    <row r="530" spans="5:5">
      <c r="E530" s="19"/>
    </row>
    <row r="531" spans="5:5">
      <c r="E531" s="19"/>
    </row>
    <row r="532" spans="5:5">
      <c r="E532" s="19"/>
    </row>
    <row r="533" spans="5:5">
      <c r="E533" s="19"/>
    </row>
    <row r="534" spans="5:5">
      <c r="E534" s="19"/>
    </row>
    <row r="535" spans="5:5">
      <c r="E535" s="19"/>
    </row>
    <row r="536" spans="5:5">
      <c r="E536" s="19"/>
    </row>
    <row r="537" spans="5:5">
      <c r="E537" s="19"/>
    </row>
    <row r="538" spans="5:5">
      <c r="E538" s="19"/>
    </row>
    <row r="539" spans="5:5">
      <c r="E539" s="19"/>
    </row>
    <row r="540" spans="5:5">
      <c r="E540" s="19"/>
    </row>
    <row r="541" spans="5:5">
      <c r="E541" s="19"/>
    </row>
    <row r="542" spans="5:5">
      <c r="E542" s="19"/>
    </row>
    <row r="543" spans="5:5">
      <c r="E543" s="19"/>
    </row>
    <row r="544" spans="5:5">
      <c r="E544" s="19"/>
    </row>
    <row r="545" spans="5:5">
      <c r="E545" s="19"/>
    </row>
    <row r="546" spans="5:5">
      <c r="E546" s="19"/>
    </row>
    <row r="547" spans="5:5">
      <c r="E547" s="19"/>
    </row>
    <row r="548" spans="5:5">
      <c r="E548" s="19"/>
    </row>
    <row r="549" spans="5:5">
      <c r="E549" s="19"/>
    </row>
    <row r="550" spans="5:5">
      <c r="E550" s="19"/>
    </row>
    <row r="551" spans="5:5">
      <c r="E551" s="19"/>
    </row>
    <row r="552" spans="5:5">
      <c r="E552" s="19"/>
    </row>
    <row r="553" spans="5:5">
      <c r="E553" s="19"/>
    </row>
    <row r="554" spans="5:5">
      <c r="E554" s="19"/>
    </row>
    <row r="555" spans="5:5">
      <c r="E555" s="19"/>
    </row>
    <row r="556" spans="5:5">
      <c r="E556" s="19"/>
    </row>
    <row r="557" spans="5:5">
      <c r="E557" s="19"/>
    </row>
    <row r="558" spans="5:5">
      <c r="E558" s="19"/>
    </row>
    <row r="559" spans="5:5">
      <c r="E559" s="19"/>
    </row>
    <row r="560" spans="5:5">
      <c r="E560" s="19"/>
    </row>
    <row r="561" spans="5:5">
      <c r="E561" s="19"/>
    </row>
    <row r="562" spans="5:5">
      <c r="E562" s="19"/>
    </row>
    <row r="563" spans="5:5">
      <c r="E563" s="19"/>
    </row>
    <row r="564" spans="5:5">
      <c r="E564" s="19"/>
    </row>
    <row r="565" spans="5:5">
      <c r="E565" s="19"/>
    </row>
    <row r="566" spans="5:5">
      <c r="E566" s="19"/>
    </row>
    <row r="567" spans="5:5">
      <c r="E567" s="19"/>
    </row>
    <row r="568" spans="5:5">
      <c r="E568" s="19"/>
    </row>
    <row r="569" spans="5:5">
      <c r="E569" s="19"/>
    </row>
    <row r="570" spans="5:5">
      <c r="E570" s="19"/>
    </row>
    <row r="571" spans="5:5">
      <c r="E571" s="19"/>
    </row>
    <row r="572" spans="5:5">
      <c r="E572" s="19"/>
    </row>
    <row r="573" spans="5:5">
      <c r="E573" s="19"/>
    </row>
    <row r="574" spans="5:5">
      <c r="E574" s="19"/>
    </row>
    <row r="575" spans="5:5">
      <c r="E575" s="19"/>
    </row>
    <row r="576" spans="5:5">
      <c r="E576" s="19"/>
    </row>
    <row r="577" spans="5:5">
      <c r="E577" s="19"/>
    </row>
    <row r="578" spans="5:5">
      <c r="E578" s="19"/>
    </row>
    <row r="579" spans="5:5">
      <c r="E579" s="19"/>
    </row>
    <row r="580" spans="5:5">
      <c r="E580" s="19"/>
    </row>
    <row r="581" spans="5:5">
      <c r="E581" s="19"/>
    </row>
    <row r="582" spans="5:5">
      <c r="E582" s="19"/>
    </row>
    <row r="583" spans="5:5">
      <c r="E583" s="19"/>
    </row>
    <row r="584" spans="5:5">
      <c r="E584" s="19"/>
    </row>
    <row r="585" spans="5:5">
      <c r="E585" s="19"/>
    </row>
    <row r="586" spans="5:5">
      <c r="E586" s="19"/>
    </row>
    <row r="587" spans="5:5">
      <c r="E587" s="19"/>
    </row>
    <row r="588" spans="5:5">
      <c r="E588" s="19"/>
    </row>
    <row r="589" spans="5:5">
      <c r="E589" s="19"/>
    </row>
    <row r="590" spans="5:5">
      <c r="E590" s="19"/>
    </row>
    <row r="591" spans="5:5">
      <c r="E591" s="19"/>
    </row>
    <row r="592" spans="5:5">
      <c r="E592" s="19"/>
    </row>
    <row r="593" spans="5:5">
      <c r="E593" s="19"/>
    </row>
    <row r="594" spans="5:5">
      <c r="E594" s="19"/>
    </row>
    <row r="595" spans="5:5">
      <c r="E595" s="19"/>
    </row>
    <row r="596" spans="5:5">
      <c r="E596" s="19"/>
    </row>
    <row r="597" spans="5:5">
      <c r="E597" s="19"/>
    </row>
    <row r="598" spans="5:5">
      <c r="E598" s="19"/>
    </row>
    <row r="599" spans="5:5">
      <c r="E599" s="19"/>
    </row>
    <row r="600" spans="5:5">
      <c r="E600" s="19"/>
    </row>
    <row r="601" spans="5:5">
      <c r="E601" s="19"/>
    </row>
    <row r="602" spans="5:5">
      <c r="E602" s="19"/>
    </row>
    <row r="603" spans="5:5">
      <c r="E603" s="19"/>
    </row>
    <row r="604" spans="5:5">
      <c r="E604" s="19"/>
    </row>
    <row r="605" spans="5:5">
      <c r="E605" s="19"/>
    </row>
    <row r="606" spans="5:5">
      <c r="E606" s="19"/>
    </row>
    <row r="607" spans="5:5">
      <c r="E607" s="19"/>
    </row>
    <row r="608" spans="5:5">
      <c r="E608" s="19"/>
    </row>
    <row r="609" spans="5:5">
      <c r="E609" s="19"/>
    </row>
    <row r="610" spans="5:5">
      <c r="E610" s="19"/>
    </row>
    <row r="611" spans="5:5">
      <c r="E611" s="19"/>
    </row>
    <row r="612" spans="5:5">
      <c r="E612" s="19"/>
    </row>
    <row r="613" spans="5:5">
      <c r="E613" s="19"/>
    </row>
    <row r="614" spans="5:5">
      <c r="E614" s="19"/>
    </row>
    <row r="615" spans="5:5">
      <c r="E615" s="19"/>
    </row>
    <row r="616" spans="5:5">
      <c r="E616" s="19"/>
    </row>
    <row r="617" spans="5:5">
      <c r="E617" s="19"/>
    </row>
    <row r="618" spans="5:5">
      <c r="E618" s="19"/>
    </row>
    <row r="619" spans="5:5">
      <c r="E619" s="19"/>
    </row>
    <row r="620" spans="5:5">
      <c r="E620" s="19"/>
    </row>
    <row r="621" spans="5:5">
      <c r="E621" s="19"/>
    </row>
    <row r="622" spans="5:5">
      <c r="E622" s="19"/>
    </row>
    <row r="623" spans="5:5">
      <c r="E623" s="19"/>
    </row>
    <row r="624" spans="5:5">
      <c r="E624" s="19"/>
    </row>
    <row r="625" spans="5:5">
      <c r="E625" s="19"/>
    </row>
    <row r="626" spans="5:5">
      <c r="E626" s="19"/>
    </row>
    <row r="627" spans="5:5">
      <c r="E627" s="19"/>
    </row>
    <row r="628" spans="5:5">
      <c r="E628" s="19"/>
    </row>
    <row r="629" spans="5:5">
      <c r="E629" s="19"/>
    </row>
    <row r="630" spans="5:5">
      <c r="E630" s="19"/>
    </row>
    <row r="631" spans="5:5">
      <c r="E631" s="19"/>
    </row>
    <row r="632" spans="5:5">
      <c r="E632" s="19"/>
    </row>
    <row r="633" spans="5:5">
      <c r="E633" s="19"/>
    </row>
    <row r="634" spans="5:5">
      <c r="E634" s="19"/>
    </row>
    <row r="635" spans="5:5">
      <c r="E635" s="19"/>
    </row>
    <row r="636" spans="5:5">
      <c r="E636" s="19"/>
    </row>
    <row r="637" spans="5:5">
      <c r="E637" s="19"/>
    </row>
    <row r="638" spans="5:5">
      <c r="E638" s="19"/>
    </row>
    <row r="639" spans="5:5">
      <c r="E639" s="19"/>
    </row>
    <row r="640" spans="5:5">
      <c r="E640" s="19"/>
    </row>
    <row r="641" spans="5:5">
      <c r="E641" s="19"/>
    </row>
    <row r="642" spans="5:5">
      <c r="E642" s="19"/>
    </row>
    <row r="643" spans="5:5">
      <c r="E643" s="19"/>
    </row>
    <row r="644" spans="5:5">
      <c r="E644" s="19"/>
    </row>
    <row r="645" spans="5:5">
      <c r="E645" s="19"/>
    </row>
    <row r="646" spans="5:5">
      <c r="E646" s="19"/>
    </row>
    <row r="647" spans="5:5">
      <c r="E647" s="19"/>
    </row>
    <row r="648" spans="5:5">
      <c r="E648" s="19"/>
    </row>
    <row r="649" spans="5:5">
      <c r="E649" s="19"/>
    </row>
    <row r="650" spans="5:5">
      <c r="E650" s="19"/>
    </row>
    <row r="651" spans="5:5">
      <c r="E651" s="19"/>
    </row>
    <row r="652" spans="5:5">
      <c r="E652" s="19"/>
    </row>
    <row r="653" spans="5:5">
      <c r="E653" s="19"/>
    </row>
    <row r="654" spans="5:5">
      <c r="E654" s="19"/>
    </row>
    <row r="655" spans="5:5">
      <c r="E655" s="19"/>
    </row>
    <row r="656" spans="5:5">
      <c r="E656" s="19"/>
    </row>
    <row r="657" spans="5:5">
      <c r="E657" s="19"/>
    </row>
    <row r="658" spans="5:5">
      <c r="E658" s="19"/>
    </row>
    <row r="659" spans="5:5">
      <c r="E659" s="19"/>
    </row>
    <row r="660" spans="5:5">
      <c r="E660" s="19"/>
    </row>
    <row r="661" spans="5:5">
      <c r="E661" s="19"/>
    </row>
    <row r="662" spans="5:5">
      <c r="E662" s="19"/>
    </row>
    <row r="663" spans="5:5">
      <c r="E663" s="19"/>
    </row>
    <row r="664" spans="5:5">
      <c r="E664" s="19"/>
    </row>
    <row r="665" spans="5:5">
      <c r="E665" s="19"/>
    </row>
    <row r="666" spans="5:5">
      <c r="E666" s="19"/>
    </row>
    <row r="667" spans="5:5">
      <c r="E667" s="19"/>
    </row>
    <row r="668" spans="5:5">
      <c r="E668" s="19"/>
    </row>
    <row r="669" spans="5:5">
      <c r="E669" s="19"/>
    </row>
    <row r="670" spans="5:5">
      <c r="E670" s="19"/>
    </row>
    <row r="671" spans="5:5">
      <c r="E671" s="19"/>
    </row>
    <row r="672" spans="5:5">
      <c r="E672" s="19"/>
    </row>
    <row r="673" spans="5:5">
      <c r="E673" s="19"/>
    </row>
    <row r="674" spans="5:5">
      <c r="E674" s="19"/>
    </row>
    <row r="675" spans="5:5">
      <c r="E675" s="19"/>
    </row>
    <row r="676" spans="5:5">
      <c r="E676" s="19"/>
    </row>
    <row r="677" spans="5:5">
      <c r="E677" s="19"/>
    </row>
    <row r="678" spans="5:5">
      <c r="E678" s="19"/>
    </row>
    <row r="679" spans="5:5">
      <c r="E679" s="19"/>
    </row>
    <row r="680" spans="5:5">
      <c r="E680" s="19"/>
    </row>
    <row r="681" spans="5:5">
      <c r="E681" s="19"/>
    </row>
    <row r="682" spans="5:5">
      <c r="E682" s="19"/>
    </row>
    <row r="683" spans="5:5">
      <c r="E683" s="19"/>
    </row>
    <row r="684" spans="5:5">
      <c r="E684" s="19"/>
    </row>
    <row r="685" spans="5:5">
      <c r="E685" s="19"/>
    </row>
    <row r="686" spans="5:5">
      <c r="E686" s="19"/>
    </row>
    <row r="687" spans="5:5">
      <c r="E687" s="19"/>
    </row>
    <row r="688" spans="5:5">
      <c r="E688" s="19"/>
    </row>
    <row r="689" spans="5:5">
      <c r="E689" s="19"/>
    </row>
    <row r="690" spans="5:5">
      <c r="E690" s="19"/>
    </row>
    <row r="691" spans="5:5">
      <c r="E691" s="19"/>
    </row>
    <row r="692" spans="5:5">
      <c r="E692" s="19"/>
    </row>
    <row r="693" spans="5:5">
      <c r="E693" s="19"/>
    </row>
    <row r="694" spans="5:5">
      <c r="E694" s="19"/>
    </row>
    <row r="695" spans="5:5">
      <c r="E695" s="19"/>
    </row>
    <row r="696" spans="5:5">
      <c r="E696" s="19"/>
    </row>
    <row r="697" spans="5:5">
      <c r="E697" s="19"/>
    </row>
    <row r="698" spans="5:5">
      <c r="E698" s="19"/>
    </row>
    <row r="699" spans="5:5">
      <c r="E699" s="19"/>
    </row>
    <row r="700" spans="5:5">
      <c r="E700" s="19"/>
    </row>
    <row r="701" spans="5:5">
      <c r="E701" s="19"/>
    </row>
    <row r="702" spans="5:5">
      <c r="E702" s="19"/>
    </row>
    <row r="703" spans="5:5">
      <c r="E703" s="19"/>
    </row>
    <row r="704" spans="5:5">
      <c r="E704" s="19"/>
    </row>
    <row r="705" spans="5:5">
      <c r="E705" s="19"/>
    </row>
    <row r="706" spans="5:5">
      <c r="E706" s="19"/>
    </row>
    <row r="707" spans="5:5">
      <c r="E707" s="19"/>
    </row>
    <row r="708" spans="5:5">
      <c r="E708" s="19"/>
    </row>
    <row r="709" spans="5:5">
      <c r="E709" s="19"/>
    </row>
    <row r="710" spans="5:5">
      <c r="E710" s="19"/>
    </row>
    <row r="711" spans="5:5">
      <c r="E711" s="19"/>
    </row>
    <row r="712" spans="5:5">
      <c r="E712" s="19"/>
    </row>
    <row r="713" spans="5:5">
      <c r="E713" s="19"/>
    </row>
    <row r="714" spans="5:5">
      <c r="E714" s="19"/>
    </row>
    <row r="715" spans="5:5">
      <c r="E715" s="19"/>
    </row>
    <row r="716" spans="5:5">
      <c r="E716" s="19"/>
    </row>
    <row r="717" spans="5:5">
      <c r="E717" s="19"/>
    </row>
    <row r="718" spans="5:5">
      <c r="E718" s="19"/>
    </row>
    <row r="719" spans="5:5">
      <c r="E719" s="19"/>
    </row>
    <row r="720" spans="5:5">
      <c r="E720" s="19"/>
    </row>
    <row r="721" spans="5:5">
      <c r="E721" s="19"/>
    </row>
    <row r="722" spans="5:5">
      <c r="E722" s="19"/>
    </row>
    <row r="723" spans="5:5">
      <c r="E723" s="19"/>
    </row>
    <row r="724" spans="5:5">
      <c r="E724" s="19"/>
    </row>
    <row r="725" spans="5:5">
      <c r="E725" s="19"/>
    </row>
    <row r="726" spans="5:5">
      <c r="E726" s="19"/>
    </row>
    <row r="727" spans="5:5">
      <c r="E727" s="19"/>
    </row>
    <row r="728" spans="5:5">
      <c r="E728" s="19"/>
    </row>
    <row r="729" spans="5:5">
      <c r="E729" s="19"/>
    </row>
    <row r="730" spans="5:5">
      <c r="E730" s="19"/>
    </row>
    <row r="731" spans="5:5">
      <c r="E731" s="19"/>
    </row>
    <row r="732" spans="5:5">
      <c r="E732" s="19"/>
    </row>
    <row r="733" spans="5:5">
      <c r="E733" s="19"/>
    </row>
    <row r="734" spans="5:5">
      <c r="E734" s="19"/>
    </row>
    <row r="735" spans="5:5">
      <c r="E735" s="19"/>
    </row>
    <row r="736" spans="5:5">
      <c r="E736" s="19"/>
    </row>
    <row r="737" spans="5:5">
      <c r="E737" s="19"/>
    </row>
    <row r="738" spans="5:5">
      <c r="E738" s="19"/>
    </row>
    <row r="739" spans="5:5">
      <c r="E739" s="19"/>
    </row>
    <row r="740" spans="5:5">
      <c r="E740" s="19"/>
    </row>
    <row r="741" spans="5:5">
      <c r="E741" s="19"/>
    </row>
    <row r="742" spans="5:5">
      <c r="E742" s="19"/>
    </row>
    <row r="743" spans="5:5">
      <c r="E743" s="19"/>
    </row>
    <row r="744" spans="5:5">
      <c r="E744" s="19"/>
    </row>
    <row r="745" spans="5:5">
      <c r="E745" s="19"/>
    </row>
    <row r="746" spans="5:5">
      <c r="E746" s="19"/>
    </row>
    <row r="747" spans="5:5">
      <c r="E747" s="19"/>
    </row>
    <row r="748" spans="5:5">
      <c r="E748" s="19"/>
    </row>
    <row r="749" spans="5:5">
      <c r="E749" s="19"/>
    </row>
    <row r="750" spans="5:5">
      <c r="E750" s="19"/>
    </row>
    <row r="751" spans="5:5">
      <c r="E751" s="19"/>
    </row>
    <row r="752" spans="5:5">
      <c r="E752" s="19"/>
    </row>
    <row r="753" spans="5:5">
      <c r="E753" s="19"/>
    </row>
    <row r="754" spans="5:5">
      <c r="E754" s="19"/>
    </row>
    <row r="755" spans="5:5">
      <c r="E755" s="19"/>
    </row>
    <row r="756" spans="5:5">
      <c r="E756" s="19"/>
    </row>
    <row r="757" spans="5:5">
      <c r="E757" s="19"/>
    </row>
    <row r="758" spans="5:5">
      <c r="E758" s="19"/>
    </row>
    <row r="759" spans="5:5">
      <c r="E759" s="19"/>
    </row>
    <row r="760" spans="5:5">
      <c r="E760" s="19"/>
    </row>
    <row r="761" spans="5:5">
      <c r="E761" s="19"/>
    </row>
    <row r="762" spans="5:5">
      <c r="E762" s="19"/>
    </row>
    <row r="763" spans="5:5">
      <c r="E763" s="19"/>
    </row>
    <row r="764" spans="5:5">
      <c r="E764" s="19"/>
    </row>
    <row r="765" spans="5:5">
      <c r="E765" s="19"/>
    </row>
    <row r="766" spans="5:5">
      <c r="E766" s="19"/>
    </row>
    <row r="767" spans="5:5">
      <c r="E767" s="19"/>
    </row>
    <row r="768" spans="5:5">
      <c r="E768" s="19"/>
    </row>
    <row r="769" spans="5:5">
      <c r="E769" s="19"/>
    </row>
    <row r="770" spans="5:5">
      <c r="E770" s="19"/>
    </row>
    <row r="771" spans="5:5">
      <c r="E771" s="19"/>
    </row>
    <row r="772" spans="5:5">
      <c r="E772" s="19"/>
    </row>
    <row r="773" spans="5:5">
      <c r="E773" s="19"/>
    </row>
    <row r="774" spans="5:5">
      <c r="E774" s="19"/>
    </row>
    <row r="775" spans="5:5">
      <c r="E775" s="19"/>
    </row>
    <row r="776" spans="5:5">
      <c r="E776" s="19"/>
    </row>
    <row r="777" spans="5:5">
      <c r="E777" s="19"/>
    </row>
    <row r="778" spans="5:5">
      <c r="E778" s="19"/>
    </row>
    <row r="779" spans="5:5">
      <c r="E779" s="19"/>
    </row>
    <row r="780" spans="5:5">
      <c r="E780" s="19"/>
    </row>
    <row r="781" spans="5:5">
      <c r="E781" s="19"/>
    </row>
    <row r="782" spans="5:5">
      <c r="E782" s="19"/>
    </row>
    <row r="783" spans="5:5">
      <c r="E783" s="19"/>
    </row>
    <row r="784" spans="5:5">
      <c r="E784" s="19"/>
    </row>
    <row r="785" spans="5:5">
      <c r="E785" s="19"/>
    </row>
    <row r="786" spans="5:5">
      <c r="E786" s="19"/>
    </row>
    <row r="787" spans="5:5">
      <c r="E787" s="19"/>
    </row>
    <row r="788" spans="5:5">
      <c r="E788" s="19"/>
    </row>
    <row r="789" spans="5:5">
      <c r="E789" s="19"/>
    </row>
    <row r="790" spans="5:5">
      <c r="E790" s="19"/>
    </row>
    <row r="791" spans="5:5">
      <c r="E791" s="19"/>
    </row>
    <row r="792" spans="5:5">
      <c r="E792" s="19"/>
    </row>
    <row r="793" spans="5:5">
      <c r="E793" s="19"/>
    </row>
    <row r="794" spans="5:5">
      <c r="E794" s="19"/>
    </row>
    <row r="795" spans="5:5">
      <c r="E795" s="19"/>
    </row>
    <row r="796" spans="5:5">
      <c r="E796" s="19"/>
    </row>
    <row r="797" spans="5:5">
      <c r="E797" s="19"/>
    </row>
    <row r="798" spans="5:5">
      <c r="E798" s="19"/>
    </row>
    <row r="799" spans="5:5">
      <c r="E799" s="19"/>
    </row>
    <row r="800" spans="5:5">
      <c r="E800" s="19"/>
    </row>
    <row r="801" spans="5:5">
      <c r="E801" s="19"/>
    </row>
    <row r="802" spans="5:5">
      <c r="E802" s="19"/>
    </row>
    <row r="803" spans="5:5">
      <c r="E803" s="19"/>
    </row>
    <row r="804" spans="5:5">
      <c r="E804" s="19"/>
    </row>
    <row r="805" spans="5:5">
      <c r="E805" s="19"/>
    </row>
    <row r="806" spans="5:5">
      <c r="E806" s="19"/>
    </row>
    <row r="807" spans="5:5">
      <c r="E807" s="19"/>
    </row>
    <row r="808" spans="5:5">
      <c r="E808" s="19"/>
    </row>
    <row r="809" spans="5:5">
      <c r="E809" s="19"/>
    </row>
    <row r="810" spans="5:5">
      <c r="E810" s="19"/>
    </row>
    <row r="811" spans="5:5">
      <c r="E811" s="19"/>
    </row>
    <row r="812" spans="5:5">
      <c r="E812" s="19"/>
    </row>
    <row r="813" spans="5:5">
      <c r="E813" s="19"/>
    </row>
    <row r="814" spans="5:5">
      <c r="E814" s="19"/>
    </row>
    <row r="815" spans="5:5">
      <c r="E815" s="19"/>
    </row>
    <row r="816" spans="5:5">
      <c r="E816" s="19"/>
    </row>
    <row r="817" spans="5:5">
      <c r="E817" s="19"/>
    </row>
    <row r="818" spans="5:5">
      <c r="E818" s="19"/>
    </row>
    <row r="819" spans="5:5">
      <c r="E819" s="19"/>
    </row>
    <row r="820" spans="5:5">
      <c r="E820" s="19"/>
    </row>
    <row r="821" spans="5:5">
      <c r="E821" s="19"/>
    </row>
    <row r="822" spans="5:5">
      <c r="E822" s="19"/>
    </row>
    <row r="823" spans="5:5">
      <c r="E823" s="19"/>
    </row>
    <row r="824" spans="5:5">
      <c r="E824" s="19"/>
    </row>
    <row r="825" spans="5:5">
      <c r="E825" s="19"/>
    </row>
    <row r="826" spans="5:5">
      <c r="E826" s="19"/>
    </row>
    <row r="827" spans="5:5">
      <c r="E827" s="19"/>
    </row>
    <row r="828" spans="5:5">
      <c r="E828" s="19"/>
    </row>
    <row r="829" spans="5:5">
      <c r="E829" s="19"/>
    </row>
    <row r="830" spans="5:5">
      <c r="E830" s="19"/>
    </row>
    <row r="831" spans="5:5">
      <c r="E831" s="19"/>
    </row>
    <row r="832" spans="5:5">
      <c r="E832" s="19"/>
    </row>
    <row r="833" spans="5:5">
      <c r="E833" s="19"/>
    </row>
    <row r="834" spans="5:5">
      <c r="E834" s="19"/>
    </row>
    <row r="835" spans="5:5">
      <c r="E835" s="19"/>
    </row>
    <row r="836" spans="5:5">
      <c r="E836" s="19"/>
    </row>
    <row r="837" spans="5:5">
      <c r="E837" s="19"/>
    </row>
    <row r="838" spans="5:5">
      <c r="E838" s="19"/>
    </row>
    <row r="839" spans="5:5">
      <c r="E839" s="19"/>
    </row>
    <row r="840" spans="5:5">
      <c r="E840" s="19"/>
    </row>
    <row r="841" spans="5:5">
      <c r="E841" s="19"/>
    </row>
    <row r="842" spans="5:5">
      <c r="E842" s="19"/>
    </row>
    <row r="843" spans="5:5">
      <c r="E843" s="19"/>
    </row>
    <row r="844" spans="5:5">
      <c r="E844" s="19"/>
    </row>
    <row r="845" spans="5:5">
      <c r="E845" s="19"/>
    </row>
    <row r="846" spans="5:5">
      <c r="E846" s="19"/>
    </row>
    <row r="847" spans="5:5">
      <c r="E847" s="19"/>
    </row>
    <row r="848" spans="5:5">
      <c r="E848" s="19"/>
    </row>
    <row r="849" spans="5:5">
      <c r="E849" s="19"/>
    </row>
    <row r="850" spans="5:5">
      <c r="E850" s="19"/>
    </row>
    <row r="851" spans="5:5">
      <c r="E851" s="19"/>
    </row>
    <row r="852" spans="5:5">
      <c r="E852" s="19"/>
    </row>
    <row r="853" spans="5:5">
      <c r="E853" s="19"/>
    </row>
    <row r="854" spans="5:5">
      <c r="E854" s="19"/>
    </row>
    <row r="855" spans="5:5">
      <c r="E855" s="19"/>
    </row>
    <row r="856" spans="5:5">
      <c r="E856" s="19"/>
    </row>
    <row r="857" spans="5:5">
      <c r="E857" s="19"/>
    </row>
    <row r="858" spans="5:5">
      <c r="E858" s="19"/>
    </row>
  </sheetData>
  <conditionalFormatting sqref="G229:G237 F229:F234 F236:F237 F227:J227 H237:K237 H229:H231 E238:J238 H233:H236 I229:J236 F212:J220">
    <cfRule type="expression" dxfId="0" priority="1">
      <formula>#REF!=0</formula>
    </cfRule>
  </conditionalFormatting>
  <printOptions headings="1"/>
  <pageMargins left="0.23622047244094491" right="0.27559055118110237" top="0.74803149606299213" bottom="0.74803149606299213" header="0.31496062992125984" footer="0.31496062992125984"/>
  <pageSetup paperSize="8" scale="53" fitToHeight="0" orientation="portrait" r:id="rId1"/>
  <drawing r:id="rId2"/>
  <legacyDrawing r:id="rId3"/>
</worksheet>
</file>

<file path=xl/worksheets/sheet21.xml><?xml version="1.0" encoding="utf-8"?>
<worksheet xmlns="http://schemas.openxmlformats.org/spreadsheetml/2006/main" xmlns:r="http://schemas.openxmlformats.org/officeDocument/2006/relationships">
  <sheetPr codeName="Sheet4">
    <tabColor theme="9" tint="0.79998168889431442"/>
    <pageSetUpPr fitToPage="1"/>
  </sheetPr>
  <dimension ref="A1:AH55"/>
  <sheetViews>
    <sheetView workbookViewId="0"/>
  </sheetViews>
  <sheetFormatPr defaultRowHeight="15"/>
  <cols>
    <col min="1" max="1" width="9.140625" style="22"/>
    <col min="2" max="2" width="5" style="22" bestFit="1" customWidth="1"/>
    <col min="3" max="10" width="9.140625" style="22"/>
    <col min="11" max="11" width="10.140625" style="22" customWidth="1"/>
    <col min="12" max="13" width="9.140625" style="22" customWidth="1"/>
    <col min="14" max="14" width="2.28515625" style="22" customWidth="1"/>
    <col min="15" max="17" width="9.140625" style="22"/>
    <col min="18" max="18" width="9.140625" style="22" customWidth="1"/>
    <col min="19" max="16384" width="9.140625" style="22"/>
  </cols>
  <sheetData>
    <row r="1" spans="1:19" ht="26.25">
      <c r="A1" s="59" t="s">
        <v>323</v>
      </c>
    </row>
    <row r="2" spans="1:19" ht="15.75">
      <c r="B2" s="28" t="s">
        <v>352</v>
      </c>
      <c r="H2" s="69"/>
      <c r="P2" s="57"/>
      <c r="Q2" s="57" t="s">
        <v>324</v>
      </c>
      <c r="R2" s="102">
        <v>1.02</v>
      </c>
      <c r="S2" s="22" t="s">
        <v>364</v>
      </c>
    </row>
    <row r="3" spans="1:19">
      <c r="B3" s="22">
        <v>1</v>
      </c>
      <c r="C3" s="102" t="s">
        <v>355</v>
      </c>
      <c r="D3" s="102"/>
      <c r="E3" s="102"/>
      <c r="F3" s="102"/>
      <c r="G3" s="102"/>
      <c r="P3" s="57"/>
      <c r="Q3" s="57" t="s">
        <v>325</v>
      </c>
      <c r="R3" s="109">
        <v>0.02</v>
      </c>
    </row>
    <row r="4" spans="1:19">
      <c r="B4" s="22">
        <v>2</v>
      </c>
      <c r="C4" s="22" t="s">
        <v>354</v>
      </c>
      <c r="H4" s="70"/>
      <c r="P4" s="57"/>
      <c r="Q4" s="57" t="s">
        <v>326</v>
      </c>
      <c r="R4" s="71">
        <f>(I25-R3*100)/3</f>
        <v>0.14466268766567225</v>
      </c>
    </row>
    <row r="5" spans="1:19">
      <c r="B5" s="22">
        <v>3</v>
      </c>
      <c r="C5" s="22" t="s">
        <v>353</v>
      </c>
    </row>
    <row r="6" spans="1:19">
      <c r="H6" s="72"/>
      <c r="I6" s="72"/>
      <c r="J6" s="72"/>
    </row>
    <row r="7" spans="1:19" ht="132.75" customHeight="1">
      <c r="D7" s="73" t="s">
        <v>363</v>
      </c>
      <c r="I7" s="73" t="s">
        <v>327</v>
      </c>
      <c r="J7" s="73" t="s">
        <v>328</v>
      </c>
      <c r="K7" s="73" t="s">
        <v>358</v>
      </c>
      <c r="L7" s="73" t="s">
        <v>359</v>
      </c>
      <c r="M7" s="73" t="s">
        <v>360</v>
      </c>
      <c r="N7" s="74"/>
      <c r="O7" s="73" t="s">
        <v>329</v>
      </c>
      <c r="P7" s="73" t="s">
        <v>357</v>
      </c>
      <c r="Q7" s="73" t="s">
        <v>362</v>
      </c>
      <c r="R7" s="73" t="s">
        <v>361</v>
      </c>
      <c r="S7" s="73" t="s">
        <v>356</v>
      </c>
    </row>
    <row r="8" spans="1:19">
      <c r="B8" s="22">
        <v>2007</v>
      </c>
      <c r="C8" s="22" t="s">
        <v>93</v>
      </c>
      <c r="D8" s="103">
        <v>1037</v>
      </c>
      <c r="H8" s="75">
        <v>39447</v>
      </c>
      <c r="I8" s="76"/>
      <c r="J8" s="76"/>
      <c r="K8" s="77">
        <f t="shared" ref="K8:K15" si="0">D8</f>
        <v>1037</v>
      </c>
      <c r="L8" s="71">
        <f>D8</f>
        <v>1037</v>
      </c>
      <c r="M8" s="71">
        <f>L8*$R$2</f>
        <v>1057.74</v>
      </c>
      <c r="N8" s="15"/>
      <c r="O8" s="76"/>
      <c r="P8" s="76"/>
      <c r="Q8" s="76"/>
      <c r="R8" s="76"/>
      <c r="S8" s="76"/>
    </row>
    <row r="9" spans="1:19" ht="15" customHeight="1">
      <c r="B9" s="78">
        <v>2008</v>
      </c>
      <c r="C9" s="79" t="s">
        <v>94</v>
      </c>
      <c r="D9" s="103">
        <v>1044</v>
      </c>
      <c r="E9" s="80"/>
      <c r="F9" s="81"/>
      <c r="H9" s="75">
        <v>39538</v>
      </c>
      <c r="I9" s="82"/>
      <c r="J9" s="82"/>
      <c r="K9" s="77">
        <f t="shared" si="0"/>
        <v>1044</v>
      </c>
      <c r="L9" s="71">
        <f>D9</f>
        <v>1044</v>
      </c>
      <c r="M9" s="71">
        <f>L9*$R$2</f>
        <v>1064.8800000000001</v>
      </c>
      <c r="O9" s="83"/>
      <c r="P9" s="83"/>
      <c r="Q9" s="83"/>
      <c r="R9" s="83"/>
    </row>
    <row r="10" spans="1:19" ht="15" customHeight="1">
      <c r="B10" s="78">
        <v>2008</v>
      </c>
      <c r="C10" s="79" t="s">
        <v>95</v>
      </c>
      <c r="D10" s="103">
        <v>1061</v>
      </c>
      <c r="E10" s="80"/>
      <c r="F10" s="81"/>
      <c r="H10" s="75">
        <v>39629</v>
      </c>
      <c r="I10" s="82"/>
      <c r="J10" s="82"/>
      <c r="K10" s="77">
        <f t="shared" si="0"/>
        <v>1061</v>
      </c>
      <c r="L10" s="71">
        <f t="shared" ref="L10:L27" si="1">D10</f>
        <v>1061</v>
      </c>
      <c r="M10" s="71">
        <f t="shared" ref="M10:M19" si="2">L10*$R$2</f>
        <v>1082.22</v>
      </c>
      <c r="O10" s="83"/>
      <c r="P10" s="83"/>
      <c r="Q10" s="83"/>
      <c r="R10" s="83"/>
    </row>
    <row r="11" spans="1:19" ht="15" customHeight="1">
      <c r="B11" s="78">
        <v>2008</v>
      </c>
      <c r="C11" s="79" t="s">
        <v>96</v>
      </c>
      <c r="D11" s="103">
        <v>1077</v>
      </c>
      <c r="E11" s="80"/>
      <c r="F11" s="81"/>
      <c r="H11" s="75">
        <v>39721</v>
      </c>
      <c r="I11" s="82"/>
      <c r="J11" s="82"/>
      <c r="K11" s="77">
        <f t="shared" si="0"/>
        <v>1077</v>
      </c>
      <c r="L11" s="71">
        <f t="shared" si="1"/>
        <v>1077</v>
      </c>
      <c r="M11" s="71">
        <f t="shared" si="2"/>
        <v>1098.54</v>
      </c>
      <c r="O11" s="83"/>
      <c r="P11" s="83"/>
      <c r="Q11" s="83"/>
      <c r="R11" s="83"/>
    </row>
    <row r="12" spans="1:19" ht="15" customHeight="1">
      <c r="B12" s="78">
        <v>2008</v>
      </c>
      <c r="C12" s="79" t="s">
        <v>93</v>
      </c>
      <c r="D12" s="103">
        <v>1072</v>
      </c>
      <c r="E12" s="80"/>
      <c r="F12" s="81"/>
      <c r="H12" s="75">
        <v>39813</v>
      </c>
      <c r="I12" s="82"/>
      <c r="J12" s="82"/>
      <c r="K12" s="77">
        <f t="shared" si="0"/>
        <v>1072</v>
      </c>
      <c r="L12" s="71">
        <f t="shared" si="1"/>
        <v>1072</v>
      </c>
      <c r="M12" s="71">
        <f t="shared" si="2"/>
        <v>1093.44</v>
      </c>
      <c r="O12" s="83"/>
      <c r="P12" s="83"/>
      <c r="Q12" s="83"/>
      <c r="R12" s="83"/>
    </row>
    <row r="13" spans="1:19">
      <c r="B13" s="78">
        <v>2009</v>
      </c>
      <c r="C13" s="79" t="s">
        <v>94</v>
      </c>
      <c r="D13" s="103">
        <v>1075</v>
      </c>
      <c r="E13" s="80"/>
      <c r="F13" s="81"/>
      <c r="H13" s="75">
        <v>39903</v>
      </c>
      <c r="I13" s="82"/>
      <c r="J13" s="82"/>
      <c r="K13" s="77">
        <f t="shared" si="0"/>
        <v>1075</v>
      </c>
      <c r="L13" s="71">
        <f t="shared" si="1"/>
        <v>1075</v>
      </c>
      <c r="M13" s="71">
        <f t="shared" si="2"/>
        <v>1096.5</v>
      </c>
    </row>
    <row r="14" spans="1:19">
      <c r="B14" s="78">
        <v>2009</v>
      </c>
      <c r="C14" s="79" t="s">
        <v>95</v>
      </c>
      <c r="D14" s="103">
        <v>1081</v>
      </c>
      <c r="E14" s="80"/>
      <c r="F14" s="81"/>
      <c r="H14" s="75">
        <v>39994</v>
      </c>
      <c r="I14" s="82"/>
      <c r="J14" s="82"/>
      <c r="K14" s="77">
        <f t="shared" si="0"/>
        <v>1081</v>
      </c>
      <c r="L14" s="71">
        <f t="shared" si="1"/>
        <v>1081</v>
      </c>
      <c r="M14" s="71">
        <f t="shared" si="2"/>
        <v>1102.6200000000001</v>
      </c>
    </row>
    <row r="15" spans="1:19" ht="15.75" thickBot="1">
      <c r="B15" s="78">
        <v>2009</v>
      </c>
      <c r="C15" s="79" t="s">
        <v>96</v>
      </c>
      <c r="D15" s="103">
        <v>1095</v>
      </c>
      <c r="E15" s="80"/>
      <c r="F15" s="81"/>
      <c r="H15" s="75">
        <v>40086</v>
      </c>
      <c r="I15" s="82"/>
      <c r="J15" s="82"/>
      <c r="K15" s="84">
        <f t="shared" si="0"/>
        <v>1095</v>
      </c>
      <c r="L15" s="71">
        <f t="shared" si="1"/>
        <v>1095</v>
      </c>
      <c r="M15" s="71">
        <f t="shared" si="2"/>
        <v>1116.9000000000001</v>
      </c>
    </row>
    <row r="16" spans="1:19">
      <c r="B16" s="78">
        <v>2009</v>
      </c>
      <c r="C16" s="79" t="s">
        <v>93</v>
      </c>
      <c r="D16" s="103">
        <v>1093</v>
      </c>
      <c r="E16" s="80"/>
      <c r="F16" s="105"/>
      <c r="G16" s="8"/>
      <c r="H16" s="75">
        <v>40178</v>
      </c>
      <c r="I16" s="107">
        <v>1.9539396945181808</v>
      </c>
      <c r="J16" s="82"/>
      <c r="K16" s="77">
        <f>K12*(1+I16/100)</f>
        <v>1092.9462335252349</v>
      </c>
      <c r="L16" s="71">
        <f t="shared" si="1"/>
        <v>1093</v>
      </c>
      <c r="M16" s="71">
        <f t="shared" si="2"/>
        <v>1114.8600000000001</v>
      </c>
    </row>
    <row r="17" spans="2:19">
      <c r="B17" s="78">
        <f>B13+1</f>
        <v>2010</v>
      </c>
      <c r="C17" s="79" t="s">
        <v>94</v>
      </c>
      <c r="D17" s="103">
        <v>1097</v>
      </c>
      <c r="E17" s="80"/>
      <c r="F17" s="105"/>
      <c r="G17" s="8"/>
      <c r="H17" s="75">
        <v>40268</v>
      </c>
      <c r="I17" s="107">
        <v>1.7233850022212005</v>
      </c>
      <c r="J17" s="82"/>
      <c r="K17" s="77">
        <f t="shared" ref="K17:L32" si="3">K13*(1+I17/100)</f>
        <v>1093.5263887738779</v>
      </c>
      <c r="L17" s="71">
        <f t="shared" si="1"/>
        <v>1097</v>
      </c>
      <c r="M17" s="71">
        <f t="shared" si="2"/>
        <v>1118.94</v>
      </c>
      <c r="O17" s="25">
        <f>K17/K13-1</f>
        <v>1.7233850022212005E-2</v>
      </c>
      <c r="P17" s="25">
        <f>L17/L13-1</f>
        <v>2.0465116279069662E-2</v>
      </c>
      <c r="Q17" s="25"/>
    </row>
    <row r="18" spans="2:19">
      <c r="B18" s="78">
        <f t="shared" ref="B18:B27" si="4">B14+1</f>
        <v>2010</v>
      </c>
      <c r="C18" s="79" t="s">
        <v>95</v>
      </c>
      <c r="D18" s="103">
        <v>1099</v>
      </c>
      <c r="E18" s="80"/>
      <c r="F18" s="105"/>
      <c r="G18" s="8"/>
      <c r="H18" s="75">
        <v>40359</v>
      </c>
      <c r="I18" s="107">
        <v>1.7390770699066138</v>
      </c>
      <c r="J18" s="82"/>
      <c r="K18" s="77">
        <f t="shared" si="3"/>
        <v>1099.7994231256905</v>
      </c>
      <c r="L18" s="71">
        <f t="shared" si="1"/>
        <v>1099</v>
      </c>
      <c r="M18" s="71">
        <f t="shared" si="2"/>
        <v>1120.98</v>
      </c>
      <c r="O18" s="25">
        <f t="shared" ref="O18:P37" si="5">K18/K14-1</f>
        <v>1.7390770699066138E-2</v>
      </c>
      <c r="P18" s="25">
        <f t="shared" si="5"/>
        <v>1.6651248843663202E-2</v>
      </c>
      <c r="Q18" s="25"/>
    </row>
    <row r="19" spans="2:19" ht="15.75" thickBot="1">
      <c r="B19" s="78">
        <f t="shared" si="4"/>
        <v>2010</v>
      </c>
      <c r="C19" s="79" t="s">
        <v>96</v>
      </c>
      <c r="D19" s="103">
        <v>1111</v>
      </c>
      <c r="E19" s="80"/>
      <c r="F19" s="105"/>
      <c r="G19" s="8"/>
      <c r="H19" s="75">
        <v>40451</v>
      </c>
      <c r="I19" s="107">
        <v>1.3866342525788111</v>
      </c>
      <c r="J19" s="82"/>
      <c r="K19" s="77">
        <f t="shared" si="3"/>
        <v>1110.1836450657379</v>
      </c>
      <c r="L19" s="71">
        <f t="shared" si="1"/>
        <v>1111</v>
      </c>
      <c r="M19" s="86">
        <f t="shared" si="2"/>
        <v>1133.22</v>
      </c>
      <c r="O19" s="25">
        <f t="shared" si="5"/>
        <v>1.3866342525788111E-2</v>
      </c>
      <c r="P19" s="25">
        <f t="shared" si="5"/>
        <v>1.4611872146118809E-2</v>
      </c>
      <c r="Q19" s="25"/>
    </row>
    <row r="20" spans="2:19">
      <c r="B20" s="78">
        <f t="shared" si="4"/>
        <v>2010</v>
      </c>
      <c r="C20" s="79" t="s">
        <v>93</v>
      </c>
      <c r="D20" s="103">
        <v>1137</v>
      </c>
      <c r="E20" s="80"/>
      <c r="F20" s="105"/>
      <c r="G20" s="8"/>
      <c r="H20" s="75">
        <v>40543</v>
      </c>
      <c r="I20" s="107">
        <v>1.5296852874783884</v>
      </c>
      <c r="J20" s="82"/>
      <c r="K20" s="77">
        <f t="shared" si="3"/>
        <v>1109.6648712595197</v>
      </c>
      <c r="L20" s="71">
        <f t="shared" si="1"/>
        <v>1137</v>
      </c>
      <c r="M20" s="71">
        <f t="shared" ref="M20:M37" si="6">L20</f>
        <v>1137</v>
      </c>
      <c r="O20" s="25">
        <f t="shared" si="5"/>
        <v>1.5296852874783884E-2</v>
      </c>
      <c r="P20" s="25">
        <f t="shared" si="5"/>
        <v>4.0256175663311966E-2</v>
      </c>
      <c r="Q20" s="25"/>
    </row>
    <row r="21" spans="2:19">
      <c r="B21" s="78">
        <f t="shared" si="4"/>
        <v>2011</v>
      </c>
      <c r="C21" s="79" t="s">
        <v>94</v>
      </c>
      <c r="D21" s="103">
        <v>1146</v>
      </c>
      <c r="E21" s="80"/>
      <c r="F21" s="105"/>
      <c r="G21" s="8"/>
      <c r="H21" s="75">
        <v>40633</v>
      </c>
      <c r="I21" s="107">
        <v>1.9812209526758329</v>
      </c>
      <c r="J21" s="82"/>
      <c r="K21" s="77">
        <f t="shared" si="3"/>
        <v>1115.1915627113053</v>
      </c>
      <c r="L21" s="71">
        <f t="shared" si="1"/>
        <v>1146</v>
      </c>
      <c r="M21" s="71">
        <f t="shared" si="6"/>
        <v>1146</v>
      </c>
      <c r="O21" s="25">
        <f t="shared" si="5"/>
        <v>1.9812209526758329E-2</v>
      </c>
      <c r="P21" s="25">
        <f t="shared" si="5"/>
        <v>4.4667274384685429E-2</v>
      </c>
      <c r="Q21" s="25">
        <f>SUM(K12:K15)/SUM(K8:K11)-1</f>
        <v>2.465039108793543E-2</v>
      </c>
      <c r="R21" s="25">
        <f t="shared" ref="R21:S36" si="7">SUM(L12:L15)/SUM(L8:L11)-1</f>
        <v>2.465039108793543E-2</v>
      </c>
      <c r="S21" s="25">
        <f t="shared" si="7"/>
        <v>2.4650391087935652E-2</v>
      </c>
    </row>
    <row r="22" spans="2:19">
      <c r="B22" s="78">
        <f t="shared" si="4"/>
        <v>2011</v>
      </c>
      <c r="C22" s="79" t="s">
        <v>95</v>
      </c>
      <c r="D22" s="103">
        <v>1157</v>
      </c>
      <c r="E22" s="80"/>
      <c r="F22" s="105"/>
      <c r="G22" s="8"/>
      <c r="H22" s="75">
        <v>40724</v>
      </c>
      <c r="I22" s="107">
        <v>2.2963498118220071</v>
      </c>
      <c r="J22" s="82"/>
      <c r="K22" s="77">
        <f t="shared" si="3"/>
        <v>1125.0546651090567</v>
      </c>
      <c r="L22" s="71">
        <f t="shared" si="1"/>
        <v>1157</v>
      </c>
      <c r="M22" s="71">
        <f t="shared" si="6"/>
        <v>1157</v>
      </c>
      <c r="O22" s="25">
        <f t="shared" si="5"/>
        <v>2.2963498118220071E-2</v>
      </c>
      <c r="P22" s="25">
        <f t="shared" si="5"/>
        <v>5.277525022747942E-2</v>
      </c>
      <c r="Q22" s="25">
        <f t="shared" ref="Q22:Q37" si="8">SUM(K13:K16)/SUM(K9:K12)-1</f>
        <v>2.1143919493473051E-2</v>
      </c>
      <c r="R22" s="25">
        <f t="shared" si="7"/>
        <v>2.1156558533145242E-2</v>
      </c>
      <c r="S22" s="25">
        <f t="shared" si="7"/>
        <v>2.1156558533145242E-2</v>
      </c>
    </row>
    <row r="23" spans="2:19">
      <c r="B23" s="78">
        <f t="shared" si="4"/>
        <v>2011</v>
      </c>
      <c r="C23" s="79" t="s">
        <v>96</v>
      </c>
      <c r="D23" s="103">
        <v>1162</v>
      </c>
      <c r="E23" s="80"/>
      <c r="F23" s="105"/>
      <c r="G23" s="8"/>
      <c r="H23" s="75">
        <v>40816</v>
      </c>
      <c r="I23" s="107">
        <v>2.4815799138702799</v>
      </c>
      <c r="J23" s="82"/>
      <c r="K23" s="77">
        <f t="shared" si="3"/>
        <v>1137.7337394087622</v>
      </c>
      <c r="L23" s="71">
        <f t="shared" si="1"/>
        <v>1162</v>
      </c>
      <c r="M23" s="71">
        <f t="shared" si="6"/>
        <v>1162</v>
      </c>
      <c r="O23" s="25">
        <f t="shared" si="5"/>
        <v>2.4815799138702799E-2</v>
      </c>
      <c r="P23" s="25">
        <f t="shared" si="5"/>
        <v>4.5904590459045824E-2</v>
      </c>
      <c r="Q23" s="25">
        <f t="shared" si="8"/>
        <v>1.8079958529547691E-2</v>
      </c>
      <c r="R23" s="25">
        <f t="shared" si="7"/>
        <v>1.890315052508762E-2</v>
      </c>
      <c r="S23" s="25">
        <f t="shared" si="7"/>
        <v>1.8903150525087398E-2</v>
      </c>
    </row>
    <row r="24" spans="2:19">
      <c r="B24" s="78">
        <f t="shared" si="4"/>
        <v>2011</v>
      </c>
      <c r="C24" s="79" t="s">
        <v>93</v>
      </c>
      <c r="D24" s="103">
        <v>1158</v>
      </c>
      <c r="E24" s="80"/>
      <c r="F24" s="105"/>
      <c r="G24" s="8"/>
      <c r="H24" s="75">
        <v>40908</v>
      </c>
      <c r="I24" s="107">
        <v>2.4943936068159145</v>
      </c>
      <c r="J24" s="85"/>
      <c r="K24" s="77">
        <f t="shared" si="3"/>
        <v>1137.3442808652992</v>
      </c>
      <c r="L24" s="71">
        <f t="shared" si="1"/>
        <v>1158</v>
      </c>
      <c r="M24" s="71">
        <f t="shared" si="6"/>
        <v>1158</v>
      </c>
      <c r="O24" s="25">
        <f t="shared" si="5"/>
        <v>2.4943936068159145E-2</v>
      </c>
      <c r="P24" s="25">
        <f t="shared" si="5"/>
        <v>1.846965699208436E-2</v>
      </c>
      <c r="Q24" s="25">
        <f t="shared" si="8"/>
        <v>1.7717083722369908E-2</v>
      </c>
      <c r="R24" s="25">
        <f t="shared" si="7"/>
        <v>1.8350754936120817E-2</v>
      </c>
      <c r="S24" s="25">
        <f t="shared" si="7"/>
        <v>1.8350754936120817E-2</v>
      </c>
    </row>
    <row r="25" spans="2:19" ht="15.75" thickBot="1">
      <c r="B25" s="78">
        <f t="shared" si="4"/>
        <v>2012</v>
      </c>
      <c r="C25" s="79" t="s">
        <v>94</v>
      </c>
      <c r="D25" s="103">
        <v>1164</v>
      </c>
      <c r="E25" s="80"/>
      <c r="F25" s="105"/>
      <c r="G25" s="8"/>
      <c r="H25" s="75">
        <v>40999</v>
      </c>
      <c r="I25" s="108">
        <v>2.4339880629970168</v>
      </c>
      <c r="J25" s="85"/>
      <c r="K25" s="77">
        <f t="shared" si="3"/>
        <v>1142.3351922272484</v>
      </c>
      <c r="L25" s="71">
        <f t="shared" si="1"/>
        <v>1164</v>
      </c>
      <c r="M25" s="71">
        <f t="shared" si="6"/>
        <v>1164</v>
      </c>
      <c r="O25" s="25">
        <f t="shared" si="5"/>
        <v>2.4339880629970168E-2</v>
      </c>
      <c r="P25" s="25">
        <f t="shared" si="5"/>
        <v>1.5706806282722585E-2</v>
      </c>
      <c r="Q25" s="25">
        <f t="shared" si="8"/>
        <v>1.6991832174541255E-2</v>
      </c>
      <c r="R25" s="25">
        <f t="shared" si="7"/>
        <v>1.7811704834605591E-2</v>
      </c>
      <c r="S25" s="25">
        <f t="shared" si="7"/>
        <v>1.7811704834605369E-2</v>
      </c>
    </row>
    <row r="26" spans="2:19">
      <c r="B26" s="78">
        <f t="shared" si="4"/>
        <v>2012</v>
      </c>
      <c r="C26" s="87" t="s">
        <v>95</v>
      </c>
      <c r="D26" s="103">
        <v>1168</v>
      </c>
      <c r="E26" s="80"/>
      <c r="F26" s="81"/>
      <c r="H26" s="75">
        <v>41090</v>
      </c>
      <c r="I26" s="88">
        <f>$I$25-$R$4</f>
        <v>2.2893253753313445</v>
      </c>
      <c r="J26" s="85"/>
      <c r="K26" s="77">
        <f t="shared" si="3"/>
        <v>1150.8108270437476</v>
      </c>
      <c r="L26" s="71">
        <f t="shared" si="1"/>
        <v>1168</v>
      </c>
      <c r="M26" s="71">
        <f t="shared" si="6"/>
        <v>1168</v>
      </c>
      <c r="O26" s="25">
        <f t="shared" si="5"/>
        <v>2.2893253753313525E-2</v>
      </c>
      <c r="P26" s="25">
        <f t="shared" si="5"/>
        <v>9.5073465859982775E-3</v>
      </c>
      <c r="Q26" s="25">
        <f t="shared" si="8"/>
        <v>1.5936683139701424E-2</v>
      </c>
      <c r="R26" s="25">
        <f t="shared" si="7"/>
        <v>2.3020257826887658E-2</v>
      </c>
      <c r="S26" s="25">
        <f t="shared" si="7"/>
        <v>1.7888094464305171E-2</v>
      </c>
    </row>
    <row r="27" spans="2:19" ht="15.75" thickBot="1">
      <c r="B27" s="78">
        <f t="shared" si="4"/>
        <v>2012</v>
      </c>
      <c r="C27" s="79" t="s">
        <v>96</v>
      </c>
      <c r="D27" s="103">
        <v>1171</v>
      </c>
      <c r="H27" s="75">
        <v>41182</v>
      </c>
      <c r="I27" s="88">
        <f t="shared" ref="I27:I29" si="9">$I$25-$R$4</f>
        <v>2.2893253753313445</v>
      </c>
      <c r="J27" s="85"/>
      <c r="K27" s="77">
        <f t="shared" si="3"/>
        <v>1163.7801666087532</v>
      </c>
      <c r="L27" s="86">
        <f t="shared" si="1"/>
        <v>1171</v>
      </c>
      <c r="M27" s="71">
        <f t="shared" si="6"/>
        <v>1171</v>
      </c>
      <c r="O27" s="25">
        <f t="shared" si="5"/>
        <v>2.2893253753313525E-2</v>
      </c>
      <c r="P27" s="25">
        <f t="shared" si="5"/>
        <v>7.7452667814112974E-3</v>
      </c>
      <c r="Q27" s="25">
        <f t="shared" si="8"/>
        <v>1.6588500634532766E-2</v>
      </c>
      <c r="R27" s="25">
        <f t="shared" si="7"/>
        <v>2.9088410444342738E-2</v>
      </c>
      <c r="S27" s="25">
        <f t="shared" si="7"/>
        <v>1.8835385734687682E-2</v>
      </c>
    </row>
    <row r="28" spans="2:19">
      <c r="B28" s="89"/>
      <c r="C28" s="90"/>
      <c r="H28" s="75">
        <v>41274</v>
      </c>
      <c r="I28" s="88">
        <f t="shared" si="9"/>
        <v>2.2893253753313445</v>
      </c>
      <c r="J28" s="106">
        <v>1.899827288428324</v>
      </c>
      <c r="K28" s="77">
        <f t="shared" si="3"/>
        <v>1163.3817920920285</v>
      </c>
      <c r="L28" s="80">
        <f>L24*(1+J28/100)</f>
        <v>1180</v>
      </c>
      <c r="M28" s="71">
        <f t="shared" si="6"/>
        <v>1180</v>
      </c>
      <c r="O28" s="25">
        <f t="shared" si="5"/>
        <v>2.2893253753313525E-2</v>
      </c>
      <c r="P28" s="25">
        <f t="shared" si="5"/>
        <v>1.899827288428324E-2</v>
      </c>
      <c r="Q28" s="25">
        <f t="shared" si="8"/>
        <v>1.7990825016932721E-2</v>
      </c>
      <c r="R28" s="25">
        <f t="shared" si="7"/>
        <v>3.8093065693430628E-2</v>
      </c>
      <c r="S28" s="25">
        <f t="shared" si="7"/>
        <v>2.2707349363102924E-2</v>
      </c>
    </row>
    <row r="29" spans="2:19" ht="15.75" thickBot="1">
      <c r="B29" s="89"/>
      <c r="C29" s="90"/>
      <c r="H29" s="75">
        <v>41364</v>
      </c>
      <c r="I29" s="131">
        <f t="shared" si="9"/>
        <v>2.2893253753313445</v>
      </c>
      <c r="J29" s="106">
        <v>1.8041237113401998</v>
      </c>
      <c r="K29" s="77">
        <f t="shared" si="3"/>
        <v>1168.4869616542469</v>
      </c>
      <c r="L29" s="80">
        <f t="shared" si="3"/>
        <v>1185</v>
      </c>
      <c r="M29" s="71">
        <f t="shared" si="6"/>
        <v>1185</v>
      </c>
      <c r="O29" s="25">
        <f t="shared" si="5"/>
        <v>2.2893253753313525E-2</v>
      </c>
      <c r="P29" s="25">
        <f t="shared" si="5"/>
        <v>1.8041237113401998E-2</v>
      </c>
      <c r="Q29" s="25">
        <f t="shared" si="8"/>
        <v>2.0741514169093644E-2</v>
      </c>
      <c r="R29" s="25">
        <f t="shared" si="7"/>
        <v>4.5909090909090899E-2</v>
      </c>
      <c r="S29" s="25">
        <f t="shared" si="7"/>
        <v>2.5401069518716568E-2</v>
      </c>
    </row>
    <row r="30" spans="2:19">
      <c r="B30" s="89"/>
      <c r="C30" s="90"/>
      <c r="H30" s="75">
        <v>41455</v>
      </c>
      <c r="I30" s="91">
        <f>$I$26-$R$4</f>
        <v>2.1446626876656723</v>
      </c>
      <c r="J30" s="106">
        <v>2.1404109589041154</v>
      </c>
      <c r="K30" s="77">
        <f t="shared" si="3"/>
        <v>1175.4918374569716</v>
      </c>
      <c r="L30" s="80">
        <f t="shared" si="3"/>
        <v>1193</v>
      </c>
      <c r="M30" s="71">
        <f t="shared" si="6"/>
        <v>1193</v>
      </c>
      <c r="O30" s="25">
        <f t="shared" si="5"/>
        <v>2.144662687665666E-2</v>
      </c>
      <c r="P30" s="25">
        <f t="shared" si="5"/>
        <v>2.1404109589041154E-2</v>
      </c>
      <c r="Q30" s="25">
        <f t="shared" si="8"/>
        <v>2.3146586169571659E-2</v>
      </c>
      <c r="R30" s="25">
        <f t="shared" si="7"/>
        <v>4.0279027902790254E-2</v>
      </c>
      <c r="S30" s="25">
        <f t="shared" si="7"/>
        <v>2.5023613457675342E-2</v>
      </c>
    </row>
    <row r="31" spans="2:19">
      <c r="B31" s="89"/>
      <c r="C31" s="90"/>
      <c r="H31" s="75">
        <v>41547</v>
      </c>
      <c r="I31" s="91">
        <f t="shared" ref="I31:I33" si="10">$I$26-$R$4</f>
        <v>2.1446626876656723</v>
      </c>
      <c r="J31" s="106">
        <v>2.0442930153321992</v>
      </c>
      <c r="K31" s="77">
        <f t="shared" si="3"/>
        <v>1188.7393256084645</v>
      </c>
      <c r="L31" s="80">
        <f t="shared" si="3"/>
        <v>1194.93867120954</v>
      </c>
      <c r="M31" s="71">
        <f t="shared" si="6"/>
        <v>1194.93867120954</v>
      </c>
      <c r="O31" s="25">
        <f t="shared" si="5"/>
        <v>2.144662687665666E-2</v>
      </c>
      <c r="P31" s="25">
        <f t="shared" si="5"/>
        <v>2.0442930153321992E-2</v>
      </c>
      <c r="Q31" s="25">
        <f t="shared" si="8"/>
        <v>2.4268832140518004E-2</v>
      </c>
      <c r="R31" s="25">
        <f t="shared" si="7"/>
        <v>3.2940129089695125E-2</v>
      </c>
      <c r="S31" s="25">
        <f t="shared" si="7"/>
        <v>2.2877545622851159E-2</v>
      </c>
    </row>
    <row r="32" spans="2:19">
      <c r="B32" s="89"/>
      <c r="C32" s="90"/>
      <c r="H32" s="75">
        <v>41639</v>
      </c>
      <c r="I32" s="91">
        <f t="shared" si="10"/>
        <v>2.1446626876656723</v>
      </c>
      <c r="J32" s="106">
        <v>1.6949152542372836</v>
      </c>
      <c r="K32" s="77">
        <f t="shared" si="3"/>
        <v>1188.3324073021224</v>
      </c>
      <c r="L32" s="80">
        <f t="shared" si="3"/>
        <v>1200</v>
      </c>
      <c r="M32" s="71">
        <f t="shared" si="6"/>
        <v>1200</v>
      </c>
      <c r="O32" s="25">
        <f t="shared" si="5"/>
        <v>2.144662687665666E-2</v>
      </c>
      <c r="P32" s="25">
        <f t="shared" si="5"/>
        <v>1.6949152542372836E-2</v>
      </c>
      <c r="Q32" s="25">
        <f t="shared" si="8"/>
        <v>2.4243721625279546E-2</v>
      </c>
      <c r="R32" s="25">
        <f t="shared" si="7"/>
        <v>2.2192924631948996E-2</v>
      </c>
      <c r="S32" s="25">
        <f t="shared" si="7"/>
        <v>1.7226374414526235E-2</v>
      </c>
    </row>
    <row r="33" spans="2:34" ht="15.75" thickBot="1">
      <c r="B33" s="89"/>
      <c r="C33" s="90"/>
      <c r="H33" s="75">
        <v>41729</v>
      </c>
      <c r="I33" s="132">
        <f t="shared" si="10"/>
        <v>2.1446626876656723</v>
      </c>
      <c r="J33" s="106">
        <v>1.7721518987341867</v>
      </c>
      <c r="K33" s="77">
        <f t="shared" ref="K33:L37" si="11">K29*(1+I33/100)</f>
        <v>1193.5470655310837</v>
      </c>
      <c r="L33" s="80">
        <f t="shared" si="11"/>
        <v>1206</v>
      </c>
      <c r="M33" s="71">
        <f t="shared" si="6"/>
        <v>1206</v>
      </c>
      <c r="O33" s="25">
        <f t="shared" si="5"/>
        <v>2.144662687665666E-2</v>
      </c>
      <c r="P33" s="25">
        <f t="shared" si="5"/>
        <v>1.7721518987341867E-2</v>
      </c>
      <c r="Q33" s="25">
        <f t="shared" si="8"/>
        <v>2.3759818812291389E-2</v>
      </c>
      <c r="R33" s="25">
        <f t="shared" si="7"/>
        <v>1.2820512820512775E-2</v>
      </c>
      <c r="S33" s="25">
        <f t="shared" si="7"/>
        <v>1.2820512820512775E-2</v>
      </c>
    </row>
    <row r="34" spans="2:34">
      <c r="B34" s="89"/>
      <c r="C34" s="90"/>
      <c r="H34" s="75">
        <v>41820</v>
      </c>
      <c r="I34" s="104">
        <f>$I$30-$R$4</f>
        <v>2</v>
      </c>
      <c r="J34" s="106">
        <v>2.0117351215423351</v>
      </c>
      <c r="K34" s="77">
        <f t="shared" si="11"/>
        <v>1199.0016742061109</v>
      </c>
      <c r="L34" s="80">
        <f t="shared" si="11"/>
        <v>1217</v>
      </c>
      <c r="M34" s="71">
        <f t="shared" si="6"/>
        <v>1217</v>
      </c>
      <c r="O34" s="25">
        <f t="shared" si="5"/>
        <v>2.0000000000000018E-2</v>
      </c>
      <c r="P34" s="25">
        <f t="shared" si="5"/>
        <v>2.0117351215423351E-2</v>
      </c>
      <c r="Q34" s="25">
        <f t="shared" si="8"/>
        <v>2.3250540627654637E-2</v>
      </c>
      <c r="R34" s="25">
        <f t="shared" si="7"/>
        <v>1.29785853341986E-2</v>
      </c>
      <c r="S34" s="25">
        <f t="shared" si="7"/>
        <v>1.29785853341986E-2</v>
      </c>
    </row>
    <row r="35" spans="2:34">
      <c r="B35" s="89"/>
      <c r="C35" s="90"/>
      <c r="H35" s="75">
        <v>41912</v>
      </c>
      <c r="I35" s="104">
        <f t="shared" ref="I35:I37" si="12">$I$30-$R$4</f>
        <v>2</v>
      </c>
      <c r="J35" s="106">
        <v>2.1702838063438978</v>
      </c>
      <c r="K35" s="77">
        <f t="shared" si="11"/>
        <v>1212.5141121206339</v>
      </c>
      <c r="L35" s="80">
        <f t="shared" si="11"/>
        <v>1220.8722316865415</v>
      </c>
      <c r="M35" s="71">
        <f t="shared" si="6"/>
        <v>1220.8722316865415</v>
      </c>
      <c r="O35" s="25">
        <f t="shared" si="5"/>
        <v>2.0000000000000018E-2</v>
      </c>
      <c r="P35" s="25">
        <f t="shared" si="5"/>
        <v>2.1702838063438978E-2</v>
      </c>
      <c r="Q35" s="25">
        <f t="shared" si="8"/>
        <v>2.2893253753313525E-2</v>
      </c>
      <c r="R35" s="25">
        <f t="shared" si="7"/>
        <v>1.3574660633484115E-2</v>
      </c>
      <c r="S35" s="25">
        <f t="shared" si="7"/>
        <v>1.3574660633484115E-2</v>
      </c>
    </row>
    <row r="36" spans="2:34">
      <c r="B36" s="89"/>
      <c r="C36" s="90"/>
      <c r="H36" s="75">
        <v>42004</v>
      </c>
      <c r="I36" s="104">
        <f t="shared" si="12"/>
        <v>2</v>
      </c>
      <c r="J36" s="106">
        <v>2.1666666666666723</v>
      </c>
      <c r="K36" s="77">
        <f t="shared" si="11"/>
        <v>1212.0990554481648</v>
      </c>
      <c r="L36" s="80">
        <f t="shared" si="11"/>
        <v>1226</v>
      </c>
      <c r="M36" s="71">
        <f t="shared" si="6"/>
        <v>1226</v>
      </c>
      <c r="O36" s="25">
        <f t="shared" si="5"/>
        <v>2.0000000000000018E-2</v>
      </c>
      <c r="P36" s="25">
        <f t="shared" si="5"/>
        <v>2.1666666666666723E-2</v>
      </c>
      <c r="Q36" s="25">
        <f t="shared" si="8"/>
        <v>2.2528824632075395E-2</v>
      </c>
      <c r="R36" s="25">
        <f t="shared" si="7"/>
        <v>1.6552020636285469E-2</v>
      </c>
      <c r="S36" s="25">
        <f t="shared" si="7"/>
        <v>1.6552020636285469E-2</v>
      </c>
    </row>
    <row r="37" spans="2:34">
      <c r="B37" s="89"/>
      <c r="C37" s="90"/>
      <c r="H37" s="75">
        <v>42094</v>
      </c>
      <c r="I37" s="104">
        <f t="shared" si="12"/>
        <v>2</v>
      </c>
      <c r="J37" s="106">
        <v>2.3217247097844007</v>
      </c>
      <c r="K37" s="77">
        <f t="shared" si="11"/>
        <v>1217.4180068417054</v>
      </c>
      <c r="L37" s="80">
        <f t="shared" si="11"/>
        <v>1233.9999999999998</v>
      </c>
      <c r="M37" s="71">
        <f t="shared" si="6"/>
        <v>1233.9999999999998</v>
      </c>
      <c r="O37" s="25">
        <f t="shared" si="5"/>
        <v>2.0000000000000018E-2</v>
      </c>
      <c r="P37" s="25">
        <f t="shared" si="5"/>
        <v>2.3217247097844007E-2</v>
      </c>
      <c r="Q37" s="25">
        <f t="shared" si="8"/>
        <v>2.2164443909808984E-2</v>
      </c>
      <c r="R37" s="25">
        <f t="shared" ref="R37:S37" si="13">SUM(L28:L31)/SUM(L24:L27)-1</f>
        <v>1.9725095732576747E-2</v>
      </c>
      <c r="S37" s="25">
        <f t="shared" si="13"/>
        <v>1.9725095732576747E-2</v>
      </c>
    </row>
    <row r="38" spans="2:34">
      <c r="B38" s="89"/>
      <c r="C38" s="92"/>
    </row>
    <row r="39" spans="2:34">
      <c r="B39" s="89"/>
      <c r="C39" s="92"/>
    </row>
    <row r="40" spans="2:34">
      <c r="B40" s="89"/>
      <c r="C40" s="90"/>
      <c r="Q40" s="22" t="s">
        <v>183</v>
      </c>
      <c r="R40" s="22" t="s">
        <v>184</v>
      </c>
      <c r="S40" s="22" t="s">
        <v>185</v>
      </c>
      <c r="T40" s="22" t="s">
        <v>186</v>
      </c>
      <c r="U40" s="22" t="s">
        <v>187</v>
      </c>
      <c r="V40" s="22" t="s">
        <v>188</v>
      </c>
    </row>
    <row r="41" spans="2:34">
      <c r="B41" s="89"/>
      <c r="C41" s="90"/>
    </row>
    <row r="42" spans="2:34">
      <c r="B42" s="89"/>
      <c r="C42" s="90"/>
      <c r="O42" s="93" t="s">
        <v>330</v>
      </c>
      <c r="Q42" s="23">
        <f>O17</f>
        <v>1.7233850022212005E-2</v>
      </c>
      <c r="R42" s="23">
        <f>O21</f>
        <v>1.9812209526758329E-2</v>
      </c>
      <c r="S42" s="23">
        <f>O25</f>
        <v>2.4339880629970168E-2</v>
      </c>
      <c r="T42" s="23">
        <f>O29</f>
        <v>2.2893253753313525E-2</v>
      </c>
      <c r="U42" s="23">
        <f>O33</f>
        <v>2.144662687665666E-2</v>
      </c>
      <c r="V42" s="23">
        <f>O37</f>
        <v>2.0000000000000018E-2</v>
      </c>
      <c r="X42"/>
      <c r="Y42"/>
      <c r="Z42"/>
      <c r="AA42"/>
      <c r="AB42"/>
      <c r="AC42"/>
      <c r="AD42" s="23"/>
      <c r="AE42" s="23"/>
      <c r="AF42" s="23"/>
      <c r="AG42" s="23"/>
      <c r="AH42" s="23"/>
    </row>
    <row r="43" spans="2:34">
      <c r="B43" s="89"/>
      <c r="C43" s="90"/>
      <c r="O43" s="93" t="s">
        <v>331</v>
      </c>
      <c r="P43" s="23"/>
      <c r="Q43" s="23"/>
      <c r="R43" s="23">
        <f>P21</f>
        <v>4.4667274384685429E-2</v>
      </c>
      <c r="S43" s="23">
        <f>P25</f>
        <v>1.5706806282722585E-2</v>
      </c>
      <c r="T43" s="23">
        <f>P29</f>
        <v>1.8041237113401998E-2</v>
      </c>
      <c r="U43" s="23">
        <f>P33</f>
        <v>1.7721518987341867E-2</v>
      </c>
      <c r="V43" s="23">
        <f>P37</f>
        <v>2.3217247097844007E-2</v>
      </c>
      <c r="W43" s="23"/>
      <c r="X43"/>
      <c r="Y43"/>
      <c r="Z43"/>
      <c r="AA43"/>
      <c r="AB43"/>
      <c r="AC43"/>
      <c r="AD43" s="23"/>
      <c r="AE43" s="23"/>
      <c r="AF43" s="23"/>
      <c r="AG43" s="23"/>
      <c r="AH43" s="23"/>
    </row>
    <row r="44" spans="2:34">
      <c r="B44" s="89"/>
      <c r="C44" s="90"/>
      <c r="O44" s="57" t="s">
        <v>332</v>
      </c>
      <c r="R44" s="23">
        <f>Q21</f>
        <v>2.465039108793543E-2</v>
      </c>
      <c r="S44" s="23">
        <f>Q25</f>
        <v>1.6991832174541255E-2</v>
      </c>
      <c r="T44" s="23">
        <f>Q29</f>
        <v>2.0741514169093644E-2</v>
      </c>
      <c r="U44" s="23">
        <f>Q33</f>
        <v>2.3759818812291389E-2</v>
      </c>
      <c r="V44" s="23">
        <f>Q37</f>
        <v>2.2164443909808984E-2</v>
      </c>
      <c r="W44" s="23"/>
      <c r="X44"/>
      <c r="Y44"/>
      <c r="Z44"/>
      <c r="AA44"/>
      <c r="AB44"/>
      <c r="AC44"/>
      <c r="AD44" s="23"/>
      <c r="AE44" s="23"/>
      <c r="AF44" s="23"/>
      <c r="AG44" s="23"/>
      <c r="AH44" s="23"/>
    </row>
    <row r="45" spans="2:34">
      <c r="B45" s="89"/>
      <c r="C45" s="90"/>
      <c r="O45" s="93" t="s">
        <v>333</v>
      </c>
      <c r="R45" s="23">
        <f>R21</f>
        <v>2.465039108793543E-2</v>
      </c>
      <c r="S45" s="23">
        <f>R25</f>
        <v>1.7811704834605591E-2</v>
      </c>
      <c r="T45" s="23">
        <f>R29</f>
        <v>4.5909090909090899E-2</v>
      </c>
      <c r="U45" s="23">
        <f>R33</f>
        <v>1.2820512820512775E-2</v>
      </c>
      <c r="V45" s="23">
        <f>R37</f>
        <v>1.9725095732576747E-2</v>
      </c>
      <c r="W45" s="23"/>
      <c r="X45"/>
      <c r="Y45"/>
      <c r="Z45"/>
      <c r="AA45"/>
      <c r="AB45"/>
      <c r="AC45"/>
      <c r="AD45" s="23"/>
      <c r="AE45" s="23"/>
      <c r="AF45" s="23"/>
      <c r="AG45" s="23"/>
      <c r="AH45" s="23"/>
    </row>
    <row r="46" spans="2:34">
      <c r="B46" s="89"/>
      <c r="C46" s="90"/>
      <c r="O46" s="93" t="s">
        <v>334</v>
      </c>
      <c r="R46" s="23">
        <f>S21</f>
        <v>2.4650391087935652E-2</v>
      </c>
      <c r="S46" s="23">
        <f>S25</f>
        <v>1.7811704834605369E-2</v>
      </c>
      <c r="T46" s="23">
        <f>S29</f>
        <v>2.5401069518716568E-2</v>
      </c>
      <c r="U46" s="23">
        <f>S33</f>
        <v>1.2820512820512775E-2</v>
      </c>
      <c r="V46" s="23">
        <f>S37</f>
        <v>1.9725095732576747E-2</v>
      </c>
      <c r="X46"/>
      <c r="Y46"/>
      <c r="Z46"/>
      <c r="AA46"/>
      <c r="AB46"/>
      <c r="AC46"/>
      <c r="AD46" s="23"/>
      <c r="AE46" s="23"/>
      <c r="AF46" s="23"/>
      <c r="AG46" s="23"/>
      <c r="AH46" s="23"/>
    </row>
    <row r="47" spans="2:34">
      <c r="B47" s="89"/>
      <c r="C47" s="90"/>
    </row>
    <row r="48" spans="2:34">
      <c r="B48" s="89"/>
      <c r="C48" s="90"/>
      <c r="R48" s="94"/>
      <c r="S48" s="94"/>
      <c r="T48" s="94"/>
      <c r="U48" s="94"/>
      <c r="V48" s="94"/>
      <c r="W48" s="94"/>
      <c r="X48" s="94"/>
      <c r="Y48" s="94"/>
    </row>
    <row r="49" spans="2:3">
      <c r="B49" s="89"/>
      <c r="C49" s="90"/>
    </row>
    <row r="50" spans="2:3">
      <c r="B50" s="89"/>
      <c r="C50" s="90"/>
    </row>
    <row r="51" spans="2:3">
      <c r="B51" s="89"/>
      <c r="C51" s="90"/>
    </row>
    <row r="52" spans="2:3">
      <c r="B52" s="89"/>
      <c r="C52" s="90"/>
    </row>
    <row r="53" spans="2:3">
      <c r="B53" s="89"/>
      <c r="C53" s="90"/>
    </row>
    <row r="54" spans="2:3">
      <c r="B54" s="89"/>
      <c r="C54" s="90"/>
    </row>
    <row r="55" spans="2:3">
      <c r="B55" s="89"/>
      <c r="C55" s="92"/>
    </row>
  </sheetData>
  <pageMargins left="0.70866141732283472" right="0.70866141732283472" top="0.74803149606299213" bottom="0.74803149606299213" header="0.31496062992125984" footer="0.31496062992125984"/>
  <pageSetup paperSize="9" scale="31" orientation="portrait" r:id="rId1"/>
  <legacyDrawing r:id="rId2"/>
</worksheet>
</file>

<file path=xl/worksheets/sheet3.xml><?xml version="1.0" encoding="utf-8"?>
<worksheet xmlns="http://schemas.openxmlformats.org/spreadsheetml/2006/main" xmlns:r="http://schemas.openxmlformats.org/officeDocument/2006/relationships">
  <sheetPr codeName="Sheet6">
    <pageSetUpPr fitToPage="1"/>
  </sheetPr>
  <dimension ref="A2:AB67"/>
  <sheetViews>
    <sheetView zoomScale="85" zoomScaleNormal="85" workbookViewId="0"/>
  </sheetViews>
  <sheetFormatPr defaultRowHeight="15"/>
  <cols>
    <col min="1" max="1" width="3.28515625" style="36" customWidth="1"/>
    <col min="2" max="2" width="3.42578125" style="36" customWidth="1"/>
    <col min="3" max="3" width="42.140625" style="36" customWidth="1"/>
    <col min="4" max="4" width="12" style="36" customWidth="1"/>
    <col min="5" max="10" width="10.85546875" style="36" customWidth="1"/>
    <col min="11" max="14" width="8.85546875" style="36" customWidth="1"/>
    <col min="15" max="15" width="11.5703125" style="36" customWidth="1"/>
    <col min="16" max="18" width="8.85546875" style="36" customWidth="1"/>
    <col min="19" max="19" width="10.7109375" style="36" customWidth="1"/>
    <col min="20" max="20" width="10.85546875" style="36" customWidth="1"/>
    <col min="21" max="21" width="3.140625" style="36" customWidth="1"/>
    <col min="22" max="22" width="12.5703125" style="36" bestFit="1" customWidth="1"/>
    <col min="23" max="23" width="40.85546875" style="36" customWidth="1"/>
    <col min="24" max="26" width="9.140625" style="36"/>
    <col min="27" max="27" width="13.7109375" style="36" customWidth="1"/>
    <col min="28" max="16384" width="9.140625" style="36"/>
  </cols>
  <sheetData>
    <row r="2" spans="1:28" ht="50.25" customHeight="1">
      <c r="C2" s="213" t="s">
        <v>287</v>
      </c>
    </row>
    <row r="3" spans="1:28">
      <c r="E3" s="55"/>
    </row>
    <row r="4" spans="1:28" ht="21.75" customHeight="1">
      <c r="C4" s="56"/>
      <c r="E4" s="36" t="s">
        <v>291</v>
      </c>
      <c r="F4" s="36" t="s">
        <v>292</v>
      </c>
      <c r="G4" s="36" t="s">
        <v>293</v>
      </c>
      <c r="H4" s="36" t="s">
        <v>294</v>
      </c>
      <c r="I4" s="36" t="s">
        <v>295</v>
      </c>
      <c r="J4" s="36" t="s">
        <v>296</v>
      </c>
      <c r="K4" s="36" t="s">
        <v>297</v>
      </c>
      <c r="L4" s="36" t="s">
        <v>298</v>
      </c>
      <c r="M4" s="36" t="s">
        <v>299</v>
      </c>
      <c r="N4" s="36" t="s">
        <v>300</v>
      </c>
      <c r="O4" s="36" t="s">
        <v>301</v>
      </c>
      <c r="P4" s="36" t="s">
        <v>302</v>
      </c>
      <c r="Q4" s="36" t="s">
        <v>303</v>
      </c>
      <c r="R4" s="36" t="s">
        <v>304</v>
      </c>
      <c r="S4" s="36" t="s">
        <v>305</v>
      </c>
      <c r="T4" s="36" t="s">
        <v>306</v>
      </c>
    </row>
    <row r="5" spans="1:28" ht="69" customHeight="1">
      <c r="C5" s="37"/>
      <c r="D5" s="38"/>
      <c r="E5" s="39" t="str">
        <f ca="1">Alp!C1</f>
        <v xml:space="preserve">Alpine Energy </v>
      </c>
      <c r="F5" s="39" t="str">
        <f ca="1">Aur!C1</f>
        <v>Aurora Energy</v>
      </c>
      <c r="G5" s="39" t="str">
        <f ca="1">Ctl!C1</f>
        <v xml:space="preserve">Centralines </v>
      </c>
      <c r="H5" s="39" t="str">
        <f ca="1">Est!C1</f>
        <v xml:space="preserve">Eastland </v>
      </c>
      <c r="I5" s="39" t="str">
        <f ca="1">Ash!C1</f>
        <v>Electricity Ashburton</v>
      </c>
      <c r="J5" s="39" t="str">
        <f ca="1">Inv!C1</f>
        <v>Electricity Invercargill</v>
      </c>
      <c r="K5" s="39" t="str">
        <f ca="1">Hoz!C1</f>
        <v xml:space="preserve">Horizon Energy </v>
      </c>
      <c r="L5" s="39" t="str">
        <f ca="1">Nel!C1</f>
        <v xml:space="preserve">Nelson Electricity </v>
      </c>
      <c r="M5" s="39" t="str">
        <f ca="1">Tas!C1</f>
        <v xml:space="preserve">Network Tasman </v>
      </c>
      <c r="N5" s="39" t="str">
        <f ca="1">Ota!C1</f>
        <v xml:space="preserve">OtagoNet </v>
      </c>
      <c r="O5" s="39" t="str">
        <f ca="1">Pco!C1</f>
        <v xml:space="preserve">Powerco </v>
      </c>
      <c r="P5" s="39" t="str">
        <f ca="1">TLC!C1</f>
        <v>The Lines Company</v>
      </c>
      <c r="Q5" s="39" t="str">
        <f ca="1">Top!C1</f>
        <v xml:space="preserve">Top Energy </v>
      </c>
      <c r="R5" s="39" t="str">
        <f ca="1">Uni!C1</f>
        <v xml:space="preserve">Unison </v>
      </c>
      <c r="S5" s="39" t="str">
        <f ca="1">Vct!C1</f>
        <v xml:space="preserve">Vector </v>
      </c>
      <c r="T5" s="39" t="str">
        <f ca="1">Wel!C1</f>
        <v xml:space="preserve">Wellington Electricity </v>
      </c>
      <c r="V5" s="39"/>
    </row>
    <row r="6" spans="1:28">
      <c r="C6" s="37" t="s">
        <v>210</v>
      </c>
      <c r="D6" s="38"/>
      <c r="E6" s="36" t="str">
        <f ca="1">Alp!C1</f>
        <v xml:space="preserve">Alpine Energy </v>
      </c>
      <c r="F6" s="36" t="str">
        <f ca="1">Aur!C1</f>
        <v>Aurora Energy</v>
      </c>
      <c r="G6" s="36" t="str">
        <f ca="1">Ctl!C1</f>
        <v xml:space="preserve">Centralines </v>
      </c>
      <c r="H6" s="36" t="str">
        <f ca="1">Est!C1</f>
        <v xml:space="preserve">Eastland </v>
      </c>
      <c r="I6" s="36" t="str">
        <f ca="1">Ash!C1</f>
        <v>Electricity Ashburton</v>
      </c>
      <c r="J6" s="36" t="str">
        <f ca="1">Inv!C1</f>
        <v>Electricity Invercargill</v>
      </c>
      <c r="K6" s="36" t="str">
        <f ca="1">Hoz!C1</f>
        <v xml:space="preserve">Horizon Energy </v>
      </c>
      <c r="L6" s="36" t="str">
        <f ca="1">Nel!C1</f>
        <v xml:space="preserve">Nelson Electricity </v>
      </c>
      <c r="M6" s="36" t="str">
        <f ca="1">Tas!C1</f>
        <v xml:space="preserve">Network Tasman </v>
      </c>
      <c r="N6" s="36" t="str">
        <f ca="1">Ota!C1</f>
        <v xml:space="preserve">OtagoNet </v>
      </c>
      <c r="O6" s="36" t="str">
        <f ca="1">Pco!C1</f>
        <v xml:space="preserve">Powerco </v>
      </c>
      <c r="P6" s="36" t="str">
        <f ca="1">TLC!C1</f>
        <v>The Lines Company</v>
      </c>
      <c r="Q6" s="36" t="str">
        <f ca="1">Top!C1</f>
        <v xml:space="preserve">Top Energy </v>
      </c>
      <c r="R6" s="36" t="str">
        <f ca="1">Uni!C1</f>
        <v xml:space="preserve">Unison </v>
      </c>
      <c r="S6" s="36" t="str">
        <f ca="1">Vct!C1</f>
        <v xml:space="preserve">Vector </v>
      </c>
      <c r="T6" s="36" t="str">
        <f ca="1">Wel!C1</f>
        <v xml:space="preserve">Wellington Electricity </v>
      </c>
    </row>
    <row r="7" spans="1:28">
      <c r="A7" s="41"/>
      <c r="C7" s="36" t="s">
        <v>369</v>
      </c>
      <c r="D7" s="38"/>
      <c r="E7" s="41">
        <f>Alp!D227</f>
        <v>-0.1</v>
      </c>
      <c r="F7" s="41">
        <f>Aur!D227</f>
        <v>0</v>
      </c>
      <c r="G7" s="41">
        <f>Ctl!D227</f>
        <v>-0.1</v>
      </c>
      <c r="H7" s="41">
        <f>Est!D227</f>
        <v>0</v>
      </c>
      <c r="I7" s="41">
        <f>Ash!D227</f>
        <v>0</v>
      </c>
      <c r="J7" s="41">
        <f>Inv!D227</f>
        <v>0</v>
      </c>
      <c r="K7" s="41">
        <f>Hoz!D227</f>
        <v>0</v>
      </c>
      <c r="L7" s="41">
        <f>Nel!D227</f>
        <v>0</v>
      </c>
      <c r="M7" s="41">
        <f>Tas!D227</f>
        <v>0</v>
      </c>
      <c r="N7" s="41">
        <f>Ota!D227</f>
        <v>0</v>
      </c>
      <c r="O7" s="41">
        <f>Pco!D227</f>
        <v>0</v>
      </c>
      <c r="P7" s="41">
        <f>TLC!D227</f>
        <v>-0.1</v>
      </c>
      <c r="Q7" s="41">
        <f>Top!D227</f>
        <v>-0.1</v>
      </c>
      <c r="R7" s="41">
        <f>Uni!D227</f>
        <v>-0.08</v>
      </c>
      <c r="S7" s="41">
        <f>Vct!D227</f>
        <v>0</v>
      </c>
      <c r="T7" s="41">
        <f>Wel!D227</f>
        <v>0</v>
      </c>
      <c r="U7" s="41"/>
      <c r="V7" s="40"/>
      <c r="AA7" s="45"/>
      <c r="AB7" s="44"/>
    </row>
    <row r="8" spans="1:28">
      <c r="A8" s="41"/>
      <c r="C8" s="36" t="s">
        <v>211</v>
      </c>
      <c r="D8" s="38"/>
      <c r="E8" s="215">
        <f>Alp!E243</f>
        <v>1.0109906814431548</v>
      </c>
      <c r="F8" s="215">
        <f>Aur!E243</f>
        <v>1.0129871749054993</v>
      </c>
      <c r="G8" s="215">
        <f>Ctl!E243</f>
        <v>0.99490638504528062</v>
      </c>
      <c r="H8" s="215">
        <f>Est!E243</f>
        <v>0.99550604678278964</v>
      </c>
      <c r="I8" s="215">
        <f>Ash!E243</f>
        <v>1.0322344490538664</v>
      </c>
      <c r="J8" s="215">
        <f>Inv!E243</f>
        <v>0.99770992731656649</v>
      </c>
      <c r="K8" s="215">
        <f>Hoz!E243</f>
        <v>0.9987219717373943</v>
      </c>
      <c r="L8" s="215">
        <f>Nel!E243</f>
        <v>1.0105935218357434</v>
      </c>
      <c r="M8" s="215">
        <f>Tas!E243</f>
        <v>1.0119824965114665</v>
      </c>
      <c r="N8" s="215">
        <f>Ota!E243</f>
        <v>1.0060175359142933</v>
      </c>
      <c r="O8" s="215">
        <f>Pco!E243</f>
        <v>1.0102030527148624</v>
      </c>
      <c r="P8" s="215">
        <f>TLC!E243</f>
        <v>0.9990451107247823</v>
      </c>
      <c r="Q8" s="215">
        <f>Top!E243</f>
        <v>1.0061637692564938</v>
      </c>
      <c r="R8" s="215">
        <f>Uni!E243</f>
        <v>1.0009919759033561</v>
      </c>
      <c r="S8" s="215">
        <f>Vct!E243</f>
        <v>1.0337183875281188</v>
      </c>
      <c r="T8" s="215">
        <f>Wel!E243</f>
        <v>1.0162457056320418</v>
      </c>
      <c r="U8" s="41"/>
      <c r="V8" s="40"/>
      <c r="AA8" s="45"/>
      <c r="AB8" s="44"/>
    </row>
    <row r="9" spans="1:28">
      <c r="A9" s="41"/>
      <c r="B9" s="41"/>
      <c r="C9" s="41" t="s">
        <v>370</v>
      </c>
      <c r="D9" s="210"/>
      <c r="E9" s="41">
        <f>Alp!D274</f>
        <v>0.30478956278791403</v>
      </c>
      <c r="F9" s="41">
        <f>Aur!D274</f>
        <v>4.8529225374052132E-3</v>
      </c>
      <c r="G9" s="41">
        <f>Ctl!D274</f>
        <v>0.16153095692471409</v>
      </c>
      <c r="H9" s="41">
        <f>Est!D274</f>
        <v>9.4005344599141782E-3</v>
      </c>
      <c r="I9" s="41">
        <f>Ash!D274</f>
        <v>6.828804289726409E-2</v>
      </c>
      <c r="J9" s="41">
        <f>Inv!D274</f>
        <v>3.5343543418646428E-2</v>
      </c>
      <c r="K9" s="41">
        <f>Hoz!D274</f>
        <v>-2.9341727847120191E-2</v>
      </c>
      <c r="L9" s="41">
        <f>Nel!D274</f>
        <v>3.5506735294974501E-3</v>
      </c>
      <c r="M9" s="41">
        <f>Tas!D274</f>
        <v>9.166831365070327E-2</v>
      </c>
      <c r="N9" s="41">
        <f>Ota!D274</f>
        <v>2.1489927063532477E-2</v>
      </c>
      <c r="O9" s="41">
        <f>Pco!D274</f>
        <v>-9.2563343800200482E-4</v>
      </c>
      <c r="P9" s="41">
        <f>TLC!D274</f>
        <v>0.14633989939634695</v>
      </c>
      <c r="Q9" s="41">
        <f>Top!D274</f>
        <v>0.14325227012765152</v>
      </c>
      <c r="R9" s="41">
        <f>Uni!D274</f>
        <v>8.2337647591046448E-2</v>
      </c>
      <c r="S9" s="41">
        <f>Vct!D274</f>
        <v>-0.10103631500299037</v>
      </c>
      <c r="T9" s="41">
        <f>Wel!D274</f>
        <v>2.7629176966408542E-2</v>
      </c>
      <c r="V9" s="40"/>
      <c r="AA9" s="45"/>
      <c r="AB9" s="44"/>
    </row>
    <row r="10" spans="1:28">
      <c r="A10" s="43"/>
      <c r="C10" s="37" t="s">
        <v>368</v>
      </c>
      <c r="E10" s="41" t="b">
        <f>Alp!D271</f>
        <v>1</v>
      </c>
      <c r="F10" s="41" t="b">
        <f>Aur!D271</f>
        <v>0</v>
      </c>
      <c r="G10" s="41" t="b">
        <f>Ctl!D271</f>
        <v>1</v>
      </c>
      <c r="H10" s="41" t="b">
        <f>Est!D271</f>
        <v>0</v>
      </c>
      <c r="I10" s="41" t="b">
        <f>Ash!D271</f>
        <v>0</v>
      </c>
      <c r="J10" s="41" t="b">
        <f>Inv!D271</f>
        <v>0</v>
      </c>
      <c r="K10" s="41" t="b">
        <f>Hoz!D271</f>
        <v>0</v>
      </c>
      <c r="L10" s="41" t="b">
        <f>Nel!D271</f>
        <v>0</v>
      </c>
      <c r="M10" s="41" t="b">
        <f>Tas!D271</f>
        <v>0</v>
      </c>
      <c r="N10" s="41" t="b">
        <f>Ota!D271</f>
        <v>0</v>
      </c>
      <c r="O10" s="41" t="b">
        <f>Pco!D271</f>
        <v>0</v>
      </c>
      <c r="P10" s="41" t="b">
        <f>TLC!D271</f>
        <v>1</v>
      </c>
      <c r="Q10" s="41" t="b">
        <f>Top!D271</f>
        <v>1</v>
      </c>
      <c r="R10" s="41" t="b">
        <f>Uni!D271</f>
        <v>0</v>
      </c>
      <c r="S10" s="41" t="b">
        <f>Vct!D271</f>
        <v>0</v>
      </c>
      <c r="T10" s="41" t="b">
        <f>Wel!D271</f>
        <v>0</v>
      </c>
      <c r="V10" s="39"/>
      <c r="AA10" s="46"/>
    </row>
    <row r="11" spans="1:28">
      <c r="A11" s="40"/>
      <c r="B11" s="40"/>
      <c r="C11" s="40" t="s">
        <v>408</v>
      </c>
      <c r="E11" s="40">
        <f>Alp!D276</f>
        <v>30054</v>
      </c>
      <c r="F11" s="40">
        <f>Aur!D276</f>
        <v>57536</v>
      </c>
      <c r="G11" s="40">
        <f>Ctl!D276</f>
        <v>8882</v>
      </c>
      <c r="H11" s="40">
        <f>Est!D276</f>
        <v>21200</v>
      </c>
      <c r="I11" s="40">
        <f>Ash!D276</f>
        <v>29789</v>
      </c>
      <c r="J11" s="40">
        <f>Inv!D276</f>
        <v>13320</v>
      </c>
      <c r="K11" s="40">
        <f>Hoz!D276</f>
        <v>20901</v>
      </c>
      <c r="L11" s="40">
        <f>Nel!D276</f>
        <v>7196</v>
      </c>
      <c r="M11" s="40">
        <f>Tas!D276</f>
        <v>28939</v>
      </c>
      <c r="N11" s="40">
        <f>Ota!D276</f>
        <v>24759</v>
      </c>
      <c r="O11" s="40">
        <f>Pco!D276</f>
        <v>246378</v>
      </c>
      <c r="P11" s="40">
        <f>TLC!D276</f>
        <v>30348</v>
      </c>
      <c r="Q11" s="40">
        <f>Top!D276</f>
        <v>31940</v>
      </c>
      <c r="R11" s="40">
        <f>Uni!D276</f>
        <v>91594</v>
      </c>
      <c r="S11" s="40">
        <f>Vct!D276</f>
        <v>416760</v>
      </c>
      <c r="T11" s="40">
        <f>Wel!D276</f>
        <v>109404</v>
      </c>
      <c r="AA11" s="46"/>
    </row>
    <row r="12" spans="1:28">
      <c r="A12" s="40"/>
      <c r="B12" s="40"/>
      <c r="C12" s="40" t="s">
        <v>378</v>
      </c>
      <c r="E12" s="40">
        <f>Alp!D277</f>
        <v>36271</v>
      </c>
      <c r="F12" s="40">
        <f>Aur!D277</f>
        <v>56442</v>
      </c>
      <c r="G12" s="40">
        <f>Ctl!D277</f>
        <v>9631</v>
      </c>
      <c r="H12" s="40">
        <f>Est!D277</f>
        <v>20978</v>
      </c>
      <c r="I12" s="40">
        <f>Ash!D277</f>
        <v>28949</v>
      </c>
      <c r="J12" s="40">
        <f>Inv!D277</f>
        <v>13166</v>
      </c>
      <c r="K12" s="40">
        <f>Hoz!D277</f>
        <v>20650</v>
      </c>
      <c r="L12" s="40">
        <f>Nel!D277</f>
        <v>7067</v>
      </c>
      <c r="M12" s="40">
        <f>Tas!D277</f>
        <v>28403</v>
      </c>
      <c r="N12" s="40">
        <f>Ota!D277</f>
        <v>24373</v>
      </c>
      <c r="O12" s="40">
        <f>Pco!D277</f>
        <v>242028</v>
      </c>
      <c r="P12" s="40">
        <f>TLC!D277</f>
        <v>32405</v>
      </c>
      <c r="Q12" s="40">
        <f>Top!D277</f>
        <v>33886</v>
      </c>
      <c r="R12" s="40">
        <f>Uni!D277</f>
        <v>93894</v>
      </c>
      <c r="S12" s="40">
        <f>Vct!D277</f>
        <v>404718</v>
      </c>
      <c r="T12" s="40">
        <f>Wel!D277</f>
        <v>107153</v>
      </c>
      <c r="AA12" s="46"/>
    </row>
    <row r="13" spans="1:28">
      <c r="A13" s="40"/>
      <c r="B13" s="40"/>
      <c r="C13" s="40" t="s">
        <v>379</v>
      </c>
      <c r="E13" s="40">
        <f>Alp!F240</f>
        <v>34560.155413691413</v>
      </c>
      <c r="F13" s="40">
        <f>Aur!F240</f>
        <v>53674.003368541256</v>
      </c>
      <c r="G13" s="40">
        <f>Ctl!F240</f>
        <v>9324.6569473540258</v>
      </c>
      <c r="H13" s="40">
        <f>Est!F240</f>
        <v>20299.570702480865</v>
      </c>
      <c r="I13" s="40">
        <f>Ash!F240</f>
        <v>27015.601466925658</v>
      </c>
      <c r="J13" s="40">
        <f>Inv!F240</f>
        <v>12711.666445630992</v>
      </c>
      <c r="K13" s="40">
        <f>Hoz!F240</f>
        <v>19916.921437872861</v>
      </c>
      <c r="L13" s="40">
        <f>Nel!F240</f>
        <v>6736.0612084967033</v>
      </c>
      <c r="M13" s="40">
        <f>Tas!F240</f>
        <v>27036.104182590068</v>
      </c>
      <c r="N13" s="40">
        <f>Ota!F240</f>
        <v>23337.49882497856</v>
      </c>
      <c r="O13" s="40">
        <f>Pco!F240</f>
        <v>230793.2778334427</v>
      </c>
      <c r="P13" s="40">
        <f>TLC!F240</f>
        <v>31245.145533829796</v>
      </c>
      <c r="Q13" s="40">
        <f>Top!F240</f>
        <v>32442.79950933484</v>
      </c>
      <c r="R13" s="40">
        <f>Uni!F240</f>
        <v>90358.929227922723</v>
      </c>
      <c r="S13" s="40">
        <f>Vct!F240</f>
        <v>377152.05852431292</v>
      </c>
      <c r="T13" s="40">
        <f>Wel!F240</f>
        <v>101570.86192041777</v>
      </c>
      <c r="AA13" s="46"/>
    </row>
    <row r="14" spans="1:28">
      <c r="A14" s="40"/>
      <c r="B14" s="40"/>
      <c r="C14" s="211" t="s">
        <v>382</v>
      </c>
      <c r="E14" s="216">
        <f>Alp!D278</f>
        <v>26086.258542150288</v>
      </c>
      <c r="F14" s="216">
        <f>Aur!D278</f>
        <v>725.10973580382415</v>
      </c>
      <c r="G14" s="216">
        <f>Ctl!D278</f>
        <v>4586.7736072604093</v>
      </c>
      <c r="H14" s="216">
        <f>Est!D278</f>
        <v>520.2773728708853</v>
      </c>
      <c r="I14" s="216">
        <f>Ash!D278</f>
        <v>4969.0589392306574</v>
      </c>
      <c r="J14" s="216">
        <f>Inv!D278</f>
        <v>1198.3459484766572</v>
      </c>
      <c r="K14" s="216">
        <f>Hoz!D278</f>
        <v>-1665.018686163181</v>
      </c>
      <c r="L14" s="216">
        <f>Nel!D278</f>
        <v>66.717368116773287</v>
      </c>
      <c r="M14" s="216">
        <f>Tas!D278</f>
        <v>6359.4178930933413</v>
      </c>
      <c r="N14" s="216">
        <f>Ota!D278</f>
        <v>1369.6217049009647</v>
      </c>
      <c r="O14" s="216">
        <f>Pco!D278</f>
        <v>-599.28506769181695</v>
      </c>
      <c r="P14" s="216">
        <f>TLC!D278</f>
        <v>14512.840737665116</v>
      </c>
      <c r="Q14" s="216">
        <f>Top!D278</f>
        <v>15011.244654667549</v>
      </c>
      <c r="R14" s="216">
        <f>Uni!D278</f>
        <v>27695.670165632473</v>
      </c>
      <c r="S14" s="216">
        <f>Vct!D278</f>
        <v>-121595.90053732111</v>
      </c>
      <c r="T14" s="216">
        <f>Wel!D278</f>
        <v>7664.877265436633</v>
      </c>
      <c r="AA14" s="46"/>
    </row>
    <row r="15" spans="1:28">
      <c r="A15" s="40"/>
      <c r="C15" s="114"/>
      <c r="E15" s="40"/>
      <c r="F15" s="40"/>
      <c r="G15" s="40"/>
      <c r="H15" s="40"/>
      <c r="I15" s="40"/>
      <c r="J15" s="40"/>
      <c r="K15" s="40"/>
      <c r="L15" s="40"/>
      <c r="M15" s="40"/>
      <c r="N15" s="40"/>
      <c r="O15" s="40"/>
      <c r="P15" s="40"/>
      <c r="Q15" s="40"/>
      <c r="R15" s="40"/>
      <c r="S15" s="40"/>
      <c r="T15" s="40"/>
      <c r="AA15" s="46"/>
    </row>
    <row r="16" spans="1:28" ht="18.75">
      <c r="A16" s="40"/>
      <c r="B16" s="40"/>
      <c r="C16" s="212" t="s">
        <v>407</v>
      </c>
      <c r="D16" s="40"/>
      <c r="E16" s="40"/>
      <c r="F16" s="40"/>
      <c r="G16" s="40"/>
      <c r="H16" s="40"/>
      <c r="I16" s="40"/>
      <c r="J16" s="40"/>
      <c r="K16" s="40"/>
      <c r="L16" s="40"/>
      <c r="M16" s="40"/>
      <c r="N16" s="40"/>
      <c r="O16" s="40"/>
      <c r="P16" s="40"/>
      <c r="Q16" s="40"/>
      <c r="R16" s="40"/>
      <c r="S16" s="40"/>
      <c r="T16" s="40"/>
      <c r="U16" s="40"/>
      <c r="V16" s="40"/>
      <c r="AA16" s="46"/>
    </row>
    <row r="17" spans="1:27">
      <c r="A17" s="40"/>
      <c r="B17" s="40"/>
      <c r="C17" s="40" t="s">
        <v>403</v>
      </c>
      <c r="D17" s="40"/>
      <c r="E17" s="133">
        <f>IF(Inputs!D39=20%,"",Inputs!D39)</f>
        <v>0.1</v>
      </c>
      <c r="F17" s="133" t="str">
        <f>IF(Inputs!E39=20%,"",Inputs!E39)</f>
        <v/>
      </c>
      <c r="G17" s="133">
        <f>IF(Inputs!F39=20%,"",Inputs!F39)</f>
        <v>0.1</v>
      </c>
      <c r="H17" s="133" t="str">
        <f>IF(Inputs!G39=20%,"",Inputs!G39)</f>
        <v/>
      </c>
      <c r="I17" s="133" t="str">
        <f>IF(Inputs!H39=20%,"",Inputs!H39)</f>
        <v/>
      </c>
      <c r="J17" s="133" t="str">
        <f>IF(Inputs!I39=20%,"",Inputs!I39)</f>
        <v/>
      </c>
      <c r="K17" s="133" t="str">
        <f>IF(Inputs!J39=20%,"",Inputs!J39)</f>
        <v/>
      </c>
      <c r="L17" s="133" t="str">
        <f>IF(Inputs!K39=20%,"",Inputs!K39)</f>
        <v/>
      </c>
      <c r="M17" s="133" t="str">
        <f>IF(Inputs!L39=20%,"",Inputs!L39)</f>
        <v/>
      </c>
      <c r="N17" s="133" t="str">
        <f>IF(Inputs!M39=20%,"",Inputs!M39)</f>
        <v/>
      </c>
      <c r="O17" s="133" t="str">
        <f>IF(Inputs!N39=20%,"",Inputs!N39)</f>
        <v/>
      </c>
      <c r="P17" s="133">
        <f>IF(Inputs!O39=20%,"",Inputs!O39)</f>
        <v>0.1</v>
      </c>
      <c r="Q17" s="133">
        <f>IF(Inputs!P39=20%,"",Inputs!P39)</f>
        <v>0.1</v>
      </c>
      <c r="R17" s="133" t="str">
        <f>IF(Inputs!Q39=20%,"",Inputs!Q39)</f>
        <v/>
      </c>
      <c r="S17" s="133" t="str">
        <f>IF(Inputs!R39=20%,"",Inputs!R39)</f>
        <v/>
      </c>
      <c r="T17" s="133" t="str">
        <f>IF(Inputs!S39=20%,"",Inputs!S39)</f>
        <v/>
      </c>
      <c r="U17" s="40"/>
      <c r="V17" s="40"/>
      <c r="AA17" s="46"/>
    </row>
    <row r="18" spans="1:27">
      <c r="A18" s="40"/>
      <c r="B18" s="40"/>
      <c r="C18" s="40" t="s">
        <v>400</v>
      </c>
      <c r="D18" s="40"/>
      <c r="E18" s="208">
        <f>-E7</f>
        <v>0.1</v>
      </c>
      <c r="F18" s="208">
        <f t="shared" ref="F18:T18" si="0">-F7</f>
        <v>0</v>
      </c>
      <c r="G18" s="208">
        <f t="shared" si="0"/>
        <v>0.1</v>
      </c>
      <c r="H18" s="208">
        <f t="shared" si="0"/>
        <v>0</v>
      </c>
      <c r="I18" s="208">
        <f t="shared" si="0"/>
        <v>0</v>
      </c>
      <c r="J18" s="208">
        <f t="shared" si="0"/>
        <v>0</v>
      </c>
      <c r="K18" s="208">
        <f t="shared" si="0"/>
        <v>0</v>
      </c>
      <c r="L18" s="208">
        <f t="shared" si="0"/>
        <v>0</v>
      </c>
      <c r="M18" s="208">
        <f t="shared" si="0"/>
        <v>0</v>
      </c>
      <c r="N18" s="208">
        <f t="shared" si="0"/>
        <v>0</v>
      </c>
      <c r="O18" s="208">
        <f t="shared" si="0"/>
        <v>0</v>
      </c>
      <c r="P18" s="208">
        <f t="shared" si="0"/>
        <v>0.1</v>
      </c>
      <c r="Q18" s="208">
        <f t="shared" si="0"/>
        <v>0.1</v>
      </c>
      <c r="R18" s="208">
        <f t="shared" si="0"/>
        <v>0.08</v>
      </c>
      <c r="S18" s="208">
        <f t="shared" si="0"/>
        <v>0</v>
      </c>
      <c r="T18" s="208">
        <f t="shared" si="0"/>
        <v>0</v>
      </c>
      <c r="U18" s="40"/>
      <c r="V18" s="40" t="s">
        <v>392</v>
      </c>
      <c r="AA18" s="46"/>
    </row>
    <row r="19" spans="1:27">
      <c r="A19" s="40"/>
      <c r="B19" s="40"/>
      <c r="C19" s="40" t="s">
        <v>396</v>
      </c>
      <c r="D19" s="40"/>
      <c r="E19" s="41">
        <f>IF(E10,Inputs!D39,Results!E9)</f>
        <v>0.1</v>
      </c>
      <c r="F19" s="41">
        <f>IF(F10,Inputs!E39,Results!F9)</f>
        <v>4.8529225374052132E-3</v>
      </c>
      <c r="G19" s="41">
        <f>IF(G10,Inputs!F39,Results!G9)</f>
        <v>0.1</v>
      </c>
      <c r="H19" s="41">
        <f>IF(H10,Inputs!G39,Results!H9)</f>
        <v>9.4005344599141782E-3</v>
      </c>
      <c r="I19" s="41">
        <f>IF(I10,Inputs!H39,Results!I9)</f>
        <v>6.828804289726409E-2</v>
      </c>
      <c r="J19" s="41">
        <f>IF(J10,Inputs!I39,Results!J9)</f>
        <v>3.5343543418646428E-2</v>
      </c>
      <c r="K19" s="41">
        <f>IF(K10,Inputs!J39,Results!K9)</f>
        <v>-2.9341727847120191E-2</v>
      </c>
      <c r="L19" s="41">
        <f>IF(L10,Inputs!K39,Results!L9)</f>
        <v>3.5506735294974501E-3</v>
      </c>
      <c r="M19" s="41">
        <f>IF(M10,Inputs!L39,Results!M9)</f>
        <v>9.166831365070327E-2</v>
      </c>
      <c r="N19" s="41">
        <f>IF(N10,Inputs!M39,Results!N9)</f>
        <v>2.1489927063532477E-2</v>
      </c>
      <c r="O19" s="41">
        <f>IF(O10,Inputs!N39,Results!O9)</f>
        <v>-9.2563343800200482E-4</v>
      </c>
      <c r="P19" s="41">
        <f>IF(P10,Inputs!O39,Results!P9)</f>
        <v>0.1</v>
      </c>
      <c r="Q19" s="41">
        <f>IF(Q10,Inputs!P39,Results!Q9)</f>
        <v>0.1</v>
      </c>
      <c r="R19" s="41">
        <f>IF(R10,Inputs!Q39,Results!R9)</f>
        <v>8.2337647591046448E-2</v>
      </c>
      <c r="S19" s="41">
        <f>IF(S10,Inputs!R39,Results!S9)</f>
        <v>-0.10103631500299037</v>
      </c>
      <c r="T19" s="41">
        <f>IF(T10,Inputs!S39,Results!T9)</f>
        <v>2.7629176966408542E-2</v>
      </c>
      <c r="U19" s="40"/>
      <c r="V19" s="40" t="s">
        <v>395</v>
      </c>
      <c r="AA19" s="46"/>
    </row>
    <row r="20" spans="1:27">
      <c r="A20" s="40"/>
      <c r="B20" s="40"/>
      <c r="C20" s="40" t="s">
        <v>397</v>
      </c>
      <c r="D20" s="40"/>
      <c r="E20" s="207">
        <f>-E14/1000</f>
        <v>-26.086258542150286</v>
      </c>
      <c r="F20" s="207">
        <f t="shared" ref="F20:T20" si="1">-F14/1000</f>
        <v>-0.7251097358038241</v>
      </c>
      <c r="G20" s="207">
        <f t="shared" si="1"/>
        <v>-4.5867736072604091</v>
      </c>
      <c r="H20" s="207">
        <f t="shared" si="1"/>
        <v>-0.52027737287088527</v>
      </c>
      <c r="I20" s="207">
        <f t="shared" si="1"/>
        <v>-4.9690589392306572</v>
      </c>
      <c r="J20" s="207">
        <f t="shared" si="1"/>
        <v>-1.1983459484766572</v>
      </c>
      <c r="K20" s="207">
        <f t="shared" si="1"/>
        <v>1.665018686163181</v>
      </c>
      <c r="L20" s="207">
        <f t="shared" si="1"/>
        <v>-6.6717368116773285E-2</v>
      </c>
      <c r="M20" s="207">
        <f t="shared" si="1"/>
        <v>-6.3594178930933412</v>
      </c>
      <c r="N20" s="207">
        <f t="shared" si="1"/>
        <v>-1.3696217049009647</v>
      </c>
      <c r="O20" s="207">
        <f t="shared" si="1"/>
        <v>0.599285067691817</v>
      </c>
      <c r="P20" s="207">
        <f t="shared" si="1"/>
        <v>-14.512840737665115</v>
      </c>
      <c r="Q20" s="207">
        <f t="shared" si="1"/>
        <v>-15.01124465466755</v>
      </c>
      <c r="R20" s="207">
        <f t="shared" si="1"/>
        <v>-27.695670165632475</v>
      </c>
      <c r="S20" s="207">
        <f t="shared" si="1"/>
        <v>121.59590053732111</v>
      </c>
      <c r="T20" s="207">
        <f t="shared" si="1"/>
        <v>-7.6648772654366333</v>
      </c>
      <c r="U20" s="40"/>
      <c r="V20" s="40" t="s">
        <v>398</v>
      </c>
      <c r="AA20" s="46"/>
    </row>
    <row r="21" spans="1:27">
      <c r="A21" s="40"/>
      <c r="B21" s="40"/>
      <c r="C21" s="36" t="s">
        <v>399</v>
      </c>
      <c r="E21" s="209">
        <f>E11/1000</f>
        <v>30.053999999999998</v>
      </c>
      <c r="F21" s="209">
        <f t="shared" ref="F21:T21" si="2">F11/1000</f>
        <v>57.536000000000001</v>
      </c>
      <c r="G21" s="209">
        <f t="shared" si="2"/>
        <v>8.8819999999999997</v>
      </c>
      <c r="H21" s="209">
        <f t="shared" si="2"/>
        <v>21.2</v>
      </c>
      <c r="I21" s="209">
        <f t="shared" si="2"/>
        <v>29.789000000000001</v>
      </c>
      <c r="J21" s="209">
        <f t="shared" si="2"/>
        <v>13.32</v>
      </c>
      <c r="K21" s="209">
        <f t="shared" si="2"/>
        <v>20.901</v>
      </c>
      <c r="L21" s="209">
        <f t="shared" si="2"/>
        <v>7.1959999999999997</v>
      </c>
      <c r="M21" s="209">
        <f t="shared" si="2"/>
        <v>28.939</v>
      </c>
      <c r="N21" s="209">
        <f t="shared" si="2"/>
        <v>24.759</v>
      </c>
      <c r="O21" s="209">
        <f t="shared" si="2"/>
        <v>246.37799999999999</v>
      </c>
      <c r="P21" s="209">
        <f t="shared" si="2"/>
        <v>30.347999999999999</v>
      </c>
      <c r="Q21" s="209">
        <f t="shared" si="2"/>
        <v>31.94</v>
      </c>
      <c r="R21" s="209">
        <f t="shared" si="2"/>
        <v>91.593999999999994</v>
      </c>
      <c r="S21" s="209">
        <f t="shared" si="2"/>
        <v>416.76</v>
      </c>
      <c r="T21" s="209">
        <f t="shared" si="2"/>
        <v>109.404</v>
      </c>
      <c r="U21" s="40"/>
      <c r="V21" s="217" t="s">
        <v>393</v>
      </c>
      <c r="AA21" s="46"/>
    </row>
    <row r="22" spans="1:27">
      <c r="A22" s="40"/>
      <c r="B22" s="40"/>
      <c r="C22" s="40" t="s">
        <v>401</v>
      </c>
      <c r="D22" s="40"/>
      <c r="E22" s="208">
        <f>E9</f>
        <v>0.30478956278791403</v>
      </c>
      <c r="F22" s="208">
        <f t="shared" ref="F22:T22" si="3">F9</f>
        <v>4.8529225374052132E-3</v>
      </c>
      <c r="G22" s="208">
        <f t="shared" si="3"/>
        <v>0.16153095692471409</v>
      </c>
      <c r="H22" s="208">
        <f t="shared" si="3"/>
        <v>9.4005344599141782E-3</v>
      </c>
      <c r="I22" s="208">
        <f t="shared" si="3"/>
        <v>6.828804289726409E-2</v>
      </c>
      <c r="J22" s="208">
        <f t="shared" si="3"/>
        <v>3.5343543418646428E-2</v>
      </c>
      <c r="K22" s="208">
        <f t="shared" si="3"/>
        <v>-2.9341727847120191E-2</v>
      </c>
      <c r="L22" s="208">
        <f t="shared" si="3"/>
        <v>3.5506735294974501E-3</v>
      </c>
      <c r="M22" s="208">
        <f t="shared" si="3"/>
        <v>9.166831365070327E-2</v>
      </c>
      <c r="N22" s="208">
        <f t="shared" si="3"/>
        <v>2.1489927063532477E-2</v>
      </c>
      <c r="O22" s="208">
        <f t="shared" si="3"/>
        <v>-9.2563343800200482E-4</v>
      </c>
      <c r="P22" s="208">
        <f t="shared" si="3"/>
        <v>0.14633989939634695</v>
      </c>
      <c r="Q22" s="208">
        <f t="shared" si="3"/>
        <v>0.14325227012765152</v>
      </c>
      <c r="R22" s="208">
        <f t="shared" si="3"/>
        <v>8.2337647591046448E-2</v>
      </c>
      <c r="S22" s="208">
        <f t="shared" si="3"/>
        <v>-0.10103631500299037</v>
      </c>
      <c r="T22" s="208">
        <f t="shared" si="3"/>
        <v>2.7629176966408542E-2</v>
      </c>
      <c r="U22" s="40"/>
      <c r="V22" s="40" t="s">
        <v>402</v>
      </c>
      <c r="AA22" s="46"/>
    </row>
    <row r="23" spans="1:27">
      <c r="A23" s="40"/>
      <c r="B23" s="40"/>
      <c r="C23" s="40" t="s">
        <v>404</v>
      </c>
      <c r="D23" s="40"/>
      <c r="E23" s="209">
        <f>E12/1000</f>
        <v>36.271000000000001</v>
      </c>
      <c r="F23" s="209">
        <f t="shared" ref="F23:T23" si="4">F12/1000</f>
        <v>56.442</v>
      </c>
      <c r="G23" s="209">
        <f t="shared" si="4"/>
        <v>9.6310000000000002</v>
      </c>
      <c r="H23" s="209">
        <f t="shared" si="4"/>
        <v>20.978000000000002</v>
      </c>
      <c r="I23" s="209">
        <f t="shared" si="4"/>
        <v>28.949000000000002</v>
      </c>
      <c r="J23" s="209">
        <f t="shared" si="4"/>
        <v>13.166</v>
      </c>
      <c r="K23" s="209">
        <f t="shared" si="4"/>
        <v>20.65</v>
      </c>
      <c r="L23" s="209">
        <f t="shared" si="4"/>
        <v>7.0670000000000002</v>
      </c>
      <c r="M23" s="209">
        <f t="shared" si="4"/>
        <v>28.402999999999999</v>
      </c>
      <c r="N23" s="209">
        <f t="shared" si="4"/>
        <v>24.373000000000001</v>
      </c>
      <c r="O23" s="209">
        <f t="shared" si="4"/>
        <v>242.02799999999999</v>
      </c>
      <c r="P23" s="209">
        <f t="shared" si="4"/>
        <v>32.405000000000001</v>
      </c>
      <c r="Q23" s="209">
        <f t="shared" si="4"/>
        <v>33.886000000000003</v>
      </c>
      <c r="R23" s="209">
        <f t="shared" si="4"/>
        <v>93.894000000000005</v>
      </c>
      <c r="S23" s="209">
        <f t="shared" si="4"/>
        <v>404.71800000000002</v>
      </c>
      <c r="T23" s="209">
        <f t="shared" si="4"/>
        <v>107.15300000000001</v>
      </c>
      <c r="U23" s="40"/>
      <c r="V23" s="40" t="s">
        <v>405</v>
      </c>
      <c r="AA23" s="46"/>
    </row>
    <row r="24" spans="1:27">
      <c r="A24" s="40"/>
      <c r="B24" s="40"/>
      <c r="C24" s="40"/>
      <c r="D24" s="40"/>
      <c r="E24" s="40"/>
      <c r="F24" s="40"/>
      <c r="G24" s="40"/>
      <c r="H24" s="40"/>
      <c r="I24" s="40"/>
      <c r="J24" s="40"/>
      <c r="K24" s="40"/>
      <c r="L24" s="40"/>
      <c r="M24" s="40"/>
      <c r="N24" s="40"/>
      <c r="O24" s="40"/>
      <c r="P24" s="40"/>
      <c r="Q24" s="40"/>
      <c r="R24" s="40"/>
      <c r="S24" s="40"/>
      <c r="T24" s="40"/>
      <c r="U24" s="40"/>
      <c r="V24" s="40"/>
      <c r="AA24" s="46"/>
    </row>
    <row r="25" spans="1:27">
      <c r="A25" s="40"/>
      <c r="B25" s="40"/>
      <c r="C25" s="40"/>
      <c r="D25" s="40"/>
      <c r="E25" s="40"/>
      <c r="F25" s="40"/>
      <c r="G25" s="40"/>
      <c r="H25" s="40"/>
      <c r="I25" s="40"/>
      <c r="J25" s="40"/>
      <c r="K25" s="40"/>
      <c r="L25" s="40"/>
      <c r="M25" s="40"/>
      <c r="N25" s="40"/>
      <c r="O25" s="40"/>
      <c r="P25" s="40"/>
      <c r="Q25" s="40"/>
      <c r="R25" s="40"/>
      <c r="S25" s="40"/>
      <c r="T25" s="40"/>
      <c r="U25" s="40"/>
      <c r="V25" s="40"/>
      <c r="AA25" s="46"/>
    </row>
    <row r="26" spans="1:27">
      <c r="A26" s="40"/>
      <c r="C26" s="117"/>
      <c r="E26" s="41"/>
      <c r="F26" s="41"/>
      <c r="G26" s="41"/>
      <c r="H26" s="41"/>
      <c r="I26" s="41"/>
      <c r="J26" s="41"/>
      <c r="K26" s="41"/>
      <c r="L26" s="41"/>
      <c r="M26" s="41"/>
      <c r="N26" s="41"/>
      <c r="O26" s="41"/>
      <c r="P26" s="41"/>
      <c r="Q26" s="41"/>
      <c r="R26" s="41"/>
      <c r="S26" s="41"/>
      <c r="T26" s="41"/>
      <c r="AA26" s="46"/>
    </row>
    <row r="27" spans="1:27">
      <c r="A27" s="40"/>
      <c r="C27" s="206" t="s">
        <v>394</v>
      </c>
      <c r="E27" s="41"/>
      <c r="F27" s="41"/>
      <c r="G27" s="41"/>
      <c r="H27" s="41"/>
      <c r="I27" s="41"/>
      <c r="J27" s="41"/>
      <c r="K27" s="41"/>
      <c r="L27" s="41"/>
      <c r="M27" s="41"/>
      <c r="N27" s="41"/>
      <c r="O27" s="41"/>
      <c r="P27" s="41"/>
      <c r="Q27" s="41"/>
      <c r="R27" s="41"/>
      <c r="S27" s="41"/>
      <c r="T27" s="41"/>
      <c r="AA27" s="46"/>
    </row>
    <row r="28" spans="1:27" ht="61.5" customHeight="1">
      <c r="A28" s="40"/>
      <c r="C28" s="182"/>
      <c r="D28" s="199"/>
      <c r="E28" s="200" t="str">
        <f ca="1">E5</f>
        <v xml:space="preserve">Alpine Energy </v>
      </c>
      <c r="F28" s="200" t="str">
        <f t="shared" ref="F28:T28" ca="1" si="5">F5</f>
        <v>Aurora Energy</v>
      </c>
      <c r="G28" s="200" t="str">
        <f t="shared" ca="1" si="5"/>
        <v xml:space="preserve">Centralines </v>
      </c>
      <c r="H28" s="200" t="str">
        <f t="shared" ca="1" si="5"/>
        <v xml:space="preserve">Eastland </v>
      </c>
      <c r="I28" s="200" t="str">
        <f t="shared" ca="1" si="5"/>
        <v>Electricity Ashburton</v>
      </c>
      <c r="J28" s="200" t="str">
        <f t="shared" ca="1" si="5"/>
        <v>Electricity Invercargill</v>
      </c>
      <c r="K28" s="200" t="str">
        <f t="shared" ca="1" si="5"/>
        <v xml:space="preserve">Horizon Energy </v>
      </c>
      <c r="L28" s="200" t="str">
        <f t="shared" ca="1" si="5"/>
        <v xml:space="preserve">Nelson Electricity </v>
      </c>
      <c r="M28" s="200" t="str">
        <f t="shared" ca="1" si="5"/>
        <v xml:space="preserve">Network Tasman </v>
      </c>
      <c r="N28" s="200" t="str">
        <f t="shared" ca="1" si="5"/>
        <v xml:space="preserve">OtagoNet </v>
      </c>
      <c r="O28" s="200" t="str">
        <f t="shared" ca="1" si="5"/>
        <v xml:space="preserve">Powerco </v>
      </c>
      <c r="P28" s="200" t="str">
        <f t="shared" ca="1" si="5"/>
        <v>The Lines Company</v>
      </c>
      <c r="Q28" s="200" t="str">
        <f t="shared" ca="1" si="5"/>
        <v xml:space="preserve">Top Energy </v>
      </c>
      <c r="R28" s="200" t="str">
        <f t="shared" ca="1" si="5"/>
        <v xml:space="preserve">Unison </v>
      </c>
      <c r="S28" s="200" t="str">
        <f t="shared" ca="1" si="5"/>
        <v xml:space="preserve">Vector </v>
      </c>
      <c r="T28" s="201" t="str">
        <f t="shared" ca="1" si="5"/>
        <v xml:space="preserve">Wellington Electricity </v>
      </c>
      <c r="AA28" s="46"/>
    </row>
    <row r="29" spans="1:27" ht="9" customHeight="1">
      <c r="A29" s="40"/>
      <c r="C29" s="140"/>
      <c r="D29" s="37"/>
      <c r="E29" s="202"/>
      <c r="F29" s="202"/>
      <c r="G29" s="202"/>
      <c r="H29" s="202"/>
      <c r="I29" s="202"/>
      <c r="J29" s="202"/>
      <c r="K29" s="202"/>
      <c r="L29" s="202"/>
      <c r="M29" s="202"/>
      <c r="N29" s="202"/>
      <c r="O29" s="202"/>
      <c r="P29" s="202"/>
      <c r="Q29" s="202"/>
      <c r="R29" s="202"/>
      <c r="S29" s="202"/>
      <c r="T29" s="203"/>
      <c r="AA29" s="46"/>
    </row>
    <row r="30" spans="1:27">
      <c r="A30" s="40"/>
      <c r="C30" s="140" t="s">
        <v>374</v>
      </c>
      <c r="D30" s="37"/>
      <c r="E30" s="142"/>
      <c r="F30" s="142">
        <f t="shared" ref="F30:T30" si="6">F12</f>
        <v>56442</v>
      </c>
      <c r="G30" s="142"/>
      <c r="H30" s="142">
        <f t="shared" si="6"/>
        <v>20978</v>
      </c>
      <c r="I30" s="142">
        <f t="shared" si="6"/>
        <v>28949</v>
      </c>
      <c r="J30" s="142">
        <f t="shared" si="6"/>
        <v>13166</v>
      </c>
      <c r="K30" s="142">
        <f t="shared" si="6"/>
        <v>20650</v>
      </c>
      <c r="L30" s="142">
        <f t="shared" si="6"/>
        <v>7067</v>
      </c>
      <c r="M30" s="142">
        <f t="shared" si="6"/>
        <v>28403</v>
      </c>
      <c r="N30" s="142">
        <f t="shared" si="6"/>
        <v>24373</v>
      </c>
      <c r="O30" s="142">
        <f t="shared" si="6"/>
        <v>242028</v>
      </c>
      <c r="P30" s="142"/>
      <c r="Q30" s="142"/>
      <c r="R30" s="142"/>
      <c r="S30" s="142">
        <f t="shared" si="6"/>
        <v>404718</v>
      </c>
      <c r="T30" s="143">
        <f t="shared" si="6"/>
        <v>107153</v>
      </c>
      <c r="AA30" s="46"/>
    </row>
    <row r="31" spans="1:27">
      <c r="A31" s="40"/>
      <c r="C31" s="140" t="s">
        <v>375</v>
      </c>
      <c r="D31" s="37"/>
      <c r="E31" s="142"/>
      <c r="F31" s="142">
        <f>F11</f>
        <v>57536</v>
      </c>
      <c r="G31" s="142"/>
      <c r="H31" s="142">
        <f t="shared" ref="H31:O31" si="7">H11</f>
        <v>21200</v>
      </c>
      <c r="I31" s="142">
        <f t="shared" si="7"/>
        <v>29789</v>
      </c>
      <c r="J31" s="142">
        <f t="shared" si="7"/>
        <v>13320</v>
      </c>
      <c r="K31" s="142">
        <f t="shared" si="7"/>
        <v>20901</v>
      </c>
      <c r="L31" s="142">
        <f t="shared" si="7"/>
        <v>7196</v>
      </c>
      <c r="M31" s="142">
        <f t="shared" si="7"/>
        <v>28939</v>
      </c>
      <c r="N31" s="142">
        <f t="shared" si="7"/>
        <v>24759</v>
      </c>
      <c r="O31" s="142">
        <f t="shared" si="7"/>
        <v>246378</v>
      </c>
      <c r="P31" s="142"/>
      <c r="Q31" s="142"/>
      <c r="R31" s="142">
        <f>R11</f>
        <v>91594</v>
      </c>
      <c r="S31" s="142">
        <f>S11</f>
        <v>416760</v>
      </c>
      <c r="T31" s="143">
        <f>T11</f>
        <v>109404</v>
      </c>
      <c r="AA31" s="46"/>
    </row>
    <row r="32" spans="1:27">
      <c r="A32" s="40"/>
      <c r="C32" s="140" t="s">
        <v>211</v>
      </c>
      <c r="D32" s="37"/>
      <c r="E32" s="185"/>
      <c r="F32" s="185">
        <f t="shared" ref="F32:T32" si="8">F8</f>
        <v>1.0129871749054993</v>
      </c>
      <c r="G32" s="185"/>
      <c r="H32" s="185">
        <f t="shared" si="8"/>
        <v>0.99550604678278964</v>
      </c>
      <c r="I32" s="185">
        <f t="shared" si="8"/>
        <v>1.0322344490538664</v>
      </c>
      <c r="J32" s="185">
        <f t="shared" si="8"/>
        <v>0.99770992731656649</v>
      </c>
      <c r="K32" s="185">
        <f t="shared" si="8"/>
        <v>0.9987219717373943</v>
      </c>
      <c r="L32" s="185">
        <f t="shared" si="8"/>
        <v>1.0105935218357434</v>
      </c>
      <c r="M32" s="185">
        <f t="shared" si="8"/>
        <v>1.0119824965114665</v>
      </c>
      <c r="N32" s="185">
        <f t="shared" si="8"/>
        <v>1.0060175359142933</v>
      </c>
      <c r="O32" s="185">
        <f t="shared" si="8"/>
        <v>1.0102030527148624</v>
      </c>
      <c r="P32" s="185"/>
      <c r="Q32" s="185"/>
      <c r="R32" s="185">
        <f t="shared" si="8"/>
        <v>1.0009919759033561</v>
      </c>
      <c r="S32" s="185">
        <f t="shared" si="8"/>
        <v>1.0337183875281188</v>
      </c>
      <c r="T32" s="204">
        <f t="shared" si="8"/>
        <v>1.0162457056320418</v>
      </c>
      <c r="AA32" s="46"/>
    </row>
    <row r="33" spans="1:27">
      <c r="A33" s="40"/>
      <c r="C33" s="140" t="s">
        <v>376</v>
      </c>
      <c r="D33" s="37"/>
      <c r="E33" s="141">
        <f>E7</f>
        <v>-0.1</v>
      </c>
      <c r="F33" s="141"/>
      <c r="G33" s="141">
        <f>G7</f>
        <v>-0.1</v>
      </c>
      <c r="H33" s="141"/>
      <c r="I33" s="141"/>
      <c r="J33" s="141"/>
      <c r="K33" s="141"/>
      <c r="L33" s="141"/>
      <c r="M33" s="141"/>
      <c r="N33" s="141"/>
      <c r="O33" s="141"/>
      <c r="P33" s="141">
        <f>P7</f>
        <v>-0.1</v>
      </c>
      <c r="Q33" s="141">
        <f>Q7</f>
        <v>-0.1</v>
      </c>
      <c r="R33" s="141">
        <f>R7</f>
        <v>-0.08</v>
      </c>
      <c r="S33" s="141"/>
      <c r="T33" s="205"/>
      <c r="AA33" s="46"/>
    </row>
    <row r="34" spans="1:27">
      <c r="A34" s="40"/>
      <c r="C34" s="140" t="s">
        <v>377</v>
      </c>
      <c r="D34" s="37"/>
      <c r="E34" s="141">
        <f>Inputs!D39</f>
        <v>0.1</v>
      </c>
      <c r="F34" s="141"/>
      <c r="G34" s="141">
        <f>Inputs!F39</f>
        <v>0.1</v>
      </c>
      <c r="H34" s="141"/>
      <c r="I34" s="141"/>
      <c r="J34" s="141"/>
      <c r="K34" s="141"/>
      <c r="L34" s="141"/>
      <c r="M34" s="141"/>
      <c r="N34" s="141"/>
      <c r="O34" s="141"/>
      <c r="P34" s="141">
        <f>Inputs!O39</f>
        <v>0.1</v>
      </c>
      <c r="Q34" s="141">
        <f>Inputs!P39</f>
        <v>0.1</v>
      </c>
      <c r="R34" s="141"/>
      <c r="S34" s="141"/>
      <c r="T34" s="205"/>
      <c r="AA34" s="46"/>
    </row>
    <row r="35" spans="1:27">
      <c r="A35" s="40"/>
      <c r="C35" s="144" t="s">
        <v>380</v>
      </c>
      <c r="D35" s="116"/>
      <c r="E35" s="145">
        <f>E13</f>
        <v>34560.155413691413</v>
      </c>
      <c r="F35" s="145">
        <f t="shared" ref="F35:T35" si="9">F13</f>
        <v>53674.003368541256</v>
      </c>
      <c r="G35" s="145">
        <f t="shared" si="9"/>
        <v>9324.6569473540258</v>
      </c>
      <c r="H35" s="145">
        <f t="shared" si="9"/>
        <v>20299.570702480865</v>
      </c>
      <c r="I35" s="145">
        <f t="shared" si="9"/>
        <v>27015.601466925658</v>
      </c>
      <c r="J35" s="145">
        <f t="shared" si="9"/>
        <v>12711.666445630992</v>
      </c>
      <c r="K35" s="145">
        <f t="shared" si="9"/>
        <v>19916.921437872861</v>
      </c>
      <c r="L35" s="145">
        <f t="shared" si="9"/>
        <v>6736.0612084967033</v>
      </c>
      <c r="M35" s="145">
        <f t="shared" si="9"/>
        <v>27036.104182590068</v>
      </c>
      <c r="N35" s="145">
        <f t="shared" si="9"/>
        <v>23337.49882497856</v>
      </c>
      <c r="O35" s="145">
        <f t="shared" si="9"/>
        <v>230793.2778334427</v>
      </c>
      <c r="P35" s="145">
        <f t="shared" si="9"/>
        <v>31245.145533829796</v>
      </c>
      <c r="Q35" s="145">
        <f t="shared" si="9"/>
        <v>32442.79950933484</v>
      </c>
      <c r="R35" s="145">
        <f t="shared" si="9"/>
        <v>90358.929227922723</v>
      </c>
      <c r="S35" s="145">
        <f t="shared" si="9"/>
        <v>377152.05852431292</v>
      </c>
      <c r="T35" s="146">
        <f t="shared" si="9"/>
        <v>101570.86192041777</v>
      </c>
      <c r="AA35" s="46"/>
    </row>
    <row r="36" spans="1:27">
      <c r="A36" s="40"/>
      <c r="C36" s="117"/>
      <c r="D36" s="37"/>
      <c r="E36" s="142"/>
      <c r="F36" s="142"/>
      <c r="G36" s="142"/>
      <c r="H36" s="142"/>
      <c r="I36" s="142"/>
      <c r="J36" s="142"/>
      <c r="K36" s="142"/>
      <c r="L36" s="142"/>
      <c r="M36" s="142"/>
      <c r="N36" s="142"/>
      <c r="O36" s="142"/>
      <c r="P36" s="142"/>
      <c r="Q36" s="142"/>
      <c r="R36" s="142"/>
      <c r="S36" s="142"/>
      <c r="T36" s="142"/>
      <c r="AA36" s="46"/>
    </row>
    <row r="37" spans="1:27">
      <c r="A37" s="40"/>
      <c r="C37" s="214" t="s">
        <v>406</v>
      </c>
      <c r="E37" s="41"/>
      <c r="F37" s="41"/>
      <c r="G37" s="41"/>
      <c r="H37" s="41"/>
      <c r="I37" s="41"/>
      <c r="J37" s="41"/>
      <c r="K37" s="41"/>
      <c r="L37" s="41"/>
      <c r="M37" s="41"/>
      <c r="N37" s="41"/>
      <c r="O37" s="41"/>
      <c r="P37" s="41"/>
      <c r="Q37" s="41"/>
      <c r="R37" s="41"/>
      <c r="S37" s="41"/>
      <c r="T37" s="41"/>
      <c r="AA37" s="46"/>
    </row>
    <row r="38" spans="1:27" ht="45">
      <c r="A38" s="40"/>
      <c r="C38" s="182"/>
      <c r="D38" s="183"/>
      <c r="E38" s="187" t="s">
        <v>374</v>
      </c>
      <c r="F38" s="187" t="s">
        <v>375</v>
      </c>
      <c r="G38" s="187" t="s">
        <v>211</v>
      </c>
      <c r="H38" s="187" t="s">
        <v>376</v>
      </c>
      <c r="I38" s="187" t="s">
        <v>377</v>
      </c>
      <c r="J38" s="188" t="s">
        <v>380</v>
      </c>
      <c r="K38" s="41"/>
      <c r="L38" s="41"/>
      <c r="M38" s="41"/>
      <c r="N38" s="41"/>
      <c r="O38" s="41"/>
      <c r="P38" s="41"/>
      <c r="Q38" s="41"/>
      <c r="R38" s="41"/>
      <c r="S38" s="41"/>
      <c r="T38" s="41"/>
      <c r="AA38" s="46"/>
    </row>
    <row r="39" spans="1:27">
      <c r="A39" s="40"/>
      <c r="C39" s="140"/>
      <c r="D39" s="117"/>
      <c r="E39" s="142"/>
      <c r="F39" s="142"/>
      <c r="G39" s="184"/>
      <c r="H39" s="141"/>
      <c r="I39" s="141"/>
      <c r="J39" s="190"/>
      <c r="K39" s="117"/>
      <c r="L39" s="117"/>
      <c r="M39" s="117"/>
      <c r="N39" s="117"/>
      <c r="O39" s="117"/>
      <c r="P39" s="117"/>
      <c r="Q39" s="41"/>
      <c r="R39" s="41"/>
      <c r="S39" s="41"/>
      <c r="T39" s="41"/>
      <c r="AA39" s="46"/>
    </row>
    <row r="40" spans="1:27">
      <c r="A40" s="40"/>
      <c r="C40" s="140" t="s">
        <v>11</v>
      </c>
      <c r="D40" s="37"/>
      <c r="E40" s="142"/>
      <c r="F40" s="142"/>
      <c r="G40" s="185"/>
      <c r="H40" s="141">
        <v>-0.1</v>
      </c>
      <c r="I40" s="141">
        <v>0.1</v>
      </c>
      <c r="J40" s="143">
        <v>34560.155413691413</v>
      </c>
      <c r="K40" s="41"/>
      <c r="L40" s="41"/>
      <c r="M40" s="41"/>
      <c r="N40" s="41"/>
      <c r="O40" s="41"/>
      <c r="P40" s="41"/>
      <c r="Q40" s="41"/>
      <c r="R40" s="41"/>
      <c r="S40" s="41"/>
      <c r="T40" s="41"/>
      <c r="AA40" s="46"/>
    </row>
    <row r="41" spans="1:27">
      <c r="A41" s="40"/>
      <c r="C41" s="140" t="s">
        <v>12</v>
      </c>
      <c r="D41" s="37"/>
      <c r="E41" s="142">
        <v>56442</v>
      </c>
      <c r="F41" s="142">
        <v>57536</v>
      </c>
      <c r="G41" s="185">
        <v>1.0129871749054993</v>
      </c>
      <c r="H41" s="141"/>
      <c r="I41" s="141"/>
      <c r="J41" s="143">
        <v>53674.003368541256</v>
      </c>
      <c r="K41" s="41"/>
      <c r="L41" s="41"/>
      <c r="M41" s="41"/>
      <c r="N41" s="41"/>
      <c r="O41" s="41"/>
      <c r="P41" s="41"/>
      <c r="Q41" s="41"/>
      <c r="R41" s="41"/>
      <c r="S41" s="41"/>
      <c r="T41" s="41"/>
      <c r="AA41" s="46"/>
    </row>
    <row r="42" spans="1:27">
      <c r="A42" s="40"/>
      <c r="C42" s="140" t="s">
        <v>13</v>
      </c>
      <c r="D42" s="37"/>
      <c r="E42" s="142"/>
      <c r="F42" s="142"/>
      <c r="G42" s="185"/>
      <c r="H42" s="141">
        <v>-0.1</v>
      </c>
      <c r="I42" s="141">
        <v>0.1</v>
      </c>
      <c r="J42" s="143">
        <v>9324.6569473540258</v>
      </c>
      <c r="K42" s="41"/>
      <c r="L42" s="41"/>
      <c r="M42" s="41"/>
      <c r="N42" s="41"/>
      <c r="O42" s="41"/>
      <c r="P42" s="41"/>
      <c r="Q42" s="41"/>
      <c r="R42" s="41"/>
      <c r="S42" s="41"/>
      <c r="T42" s="41"/>
      <c r="AA42" s="46"/>
    </row>
    <row r="43" spans="1:27">
      <c r="A43" s="40"/>
      <c r="C43" s="140" t="s">
        <v>14</v>
      </c>
      <c r="D43" s="37"/>
      <c r="E43" s="142">
        <v>20978</v>
      </c>
      <c r="F43" s="142">
        <v>21200</v>
      </c>
      <c r="G43" s="185">
        <v>0.99550604678278964</v>
      </c>
      <c r="H43" s="141"/>
      <c r="I43" s="141"/>
      <c r="J43" s="143">
        <v>20299.570702480865</v>
      </c>
      <c r="K43" s="41"/>
      <c r="L43" s="41"/>
      <c r="M43" s="41"/>
      <c r="N43" s="41"/>
      <c r="O43" s="41"/>
      <c r="P43" s="41"/>
      <c r="Q43" s="41"/>
      <c r="R43" s="41"/>
      <c r="S43" s="41"/>
      <c r="T43" s="41"/>
      <c r="AA43" s="46"/>
    </row>
    <row r="44" spans="1:27">
      <c r="A44" s="40"/>
      <c r="C44" s="140" t="s">
        <v>15</v>
      </c>
      <c r="D44" s="37"/>
      <c r="E44" s="142">
        <v>28949</v>
      </c>
      <c r="F44" s="142">
        <v>29789</v>
      </c>
      <c r="G44" s="185">
        <v>1.0322344490538664</v>
      </c>
      <c r="H44" s="141"/>
      <c r="I44" s="141"/>
      <c r="J44" s="143">
        <v>27015.601466925658</v>
      </c>
      <c r="K44" s="41"/>
      <c r="L44" s="41"/>
      <c r="M44" s="41"/>
      <c r="N44" s="41"/>
      <c r="O44" s="41"/>
      <c r="P44" s="41"/>
      <c r="Q44" s="41"/>
      <c r="R44" s="41"/>
      <c r="S44" s="41"/>
      <c r="T44" s="41"/>
      <c r="AA44" s="46"/>
    </row>
    <row r="45" spans="1:27">
      <c r="A45" s="40"/>
      <c r="C45" s="140" t="s">
        <v>16</v>
      </c>
      <c r="D45" s="37"/>
      <c r="E45" s="142">
        <v>13166</v>
      </c>
      <c r="F45" s="142">
        <v>13320</v>
      </c>
      <c r="G45" s="185">
        <v>0.99770992731656649</v>
      </c>
      <c r="H45" s="141"/>
      <c r="I45" s="141"/>
      <c r="J45" s="143">
        <v>12711.666445630992</v>
      </c>
      <c r="K45" s="41"/>
      <c r="L45" s="41"/>
      <c r="M45" s="41"/>
      <c r="N45" s="41"/>
      <c r="O45" s="41"/>
      <c r="P45" s="41"/>
      <c r="Q45" s="41"/>
      <c r="R45" s="41"/>
      <c r="S45" s="41"/>
      <c r="T45" s="41"/>
      <c r="AA45" s="46"/>
    </row>
    <row r="46" spans="1:27">
      <c r="A46" s="40"/>
      <c r="C46" s="140" t="s">
        <v>17</v>
      </c>
      <c r="D46" s="37"/>
      <c r="E46" s="142">
        <v>20650</v>
      </c>
      <c r="F46" s="142">
        <v>20901</v>
      </c>
      <c r="G46" s="185">
        <v>0.9987219717373943</v>
      </c>
      <c r="H46" s="141"/>
      <c r="I46" s="141"/>
      <c r="J46" s="143">
        <v>19916.921437872861</v>
      </c>
      <c r="K46" s="41"/>
      <c r="L46" s="41"/>
      <c r="M46" s="41"/>
      <c r="N46" s="41"/>
      <c r="O46" s="41"/>
      <c r="P46" s="41"/>
      <c r="Q46" s="41"/>
      <c r="R46" s="41"/>
      <c r="S46" s="41"/>
      <c r="T46" s="41"/>
      <c r="AA46" s="46"/>
    </row>
    <row r="47" spans="1:27">
      <c r="A47" s="40"/>
      <c r="C47" s="140" t="s">
        <v>18</v>
      </c>
      <c r="D47" s="37"/>
      <c r="E47" s="142">
        <v>7067</v>
      </c>
      <c r="F47" s="142">
        <v>7196</v>
      </c>
      <c r="G47" s="185">
        <v>1.0105935218357434</v>
      </c>
      <c r="H47" s="141"/>
      <c r="I47" s="141"/>
      <c r="J47" s="143">
        <v>6736.0612084967033</v>
      </c>
      <c r="K47" s="41"/>
      <c r="L47" s="41"/>
      <c r="M47" s="41"/>
      <c r="N47" s="41"/>
      <c r="O47" s="41"/>
      <c r="P47" s="41"/>
      <c r="Q47" s="41"/>
      <c r="R47" s="41"/>
      <c r="S47" s="41"/>
      <c r="T47" s="41"/>
      <c r="AA47" s="46"/>
    </row>
    <row r="48" spans="1:27">
      <c r="A48" s="40"/>
      <c r="C48" s="140" t="s">
        <v>19</v>
      </c>
      <c r="D48" s="37"/>
      <c r="E48" s="142">
        <v>28403</v>
      </c>
      <c r="F48" s="142">
        <v>28939</v>
      </c>
      <c r="G48" s="185">
        <v>1.0119824965114665</v>
      </c>
      <c r="H48" s="141"/>
      <c r="I48" s="141"/>
      <c r="J48" s="143">
        <v>27036.104182590068</v>
      </c>
      <c r="K48" s="41"/>
      <c r="L48" s="41"/>
      <c r="M48" s="41"/>
      <c r="N48" s="41"/>
      <c r="O48" s="41"/>
      <c r="P48" s="41"/>
      <c r="Q48" s="41"/>
      <c r="R48" s="41"/>
      <c r="S48" s="41"/>
      <c r="T48" s="41"/>
      <c r="AA48" s="46"/>
    </row>
    <row r="49" spans="1:27">
      <c r="A49" s="40"/>
      <c r="C49" s="140" t="s">
        <v>20</v>
      </c>
      <c r="D49" s="37"/>
      <c r="E49" s="142">
        <v>24373</v>
      </c>
      <c r="F49" s="142">
        <v>24759</v>
      </c>
      <c r="G49" s="185">
        <v>1.0060175359142933</v>
      </c>
      <c r="H49" s="141"/>
      <c r="I49" s="141"/>
      <c r="J49" s="143">
        <v>23337.49882497856</v>
      </c>
      <c r="K49" s="41"/>
      <c r="L49" s="41"/>
      <c r="M49" s="41"/>
      <c r="N49" s="41"/>
      <c r="O49" s="41"/>
      <c r="P49" s="41"/>
      <c r="Q49" s="41"/>
      <c r="R49" s="41"/>
      <c r="S49" s="41"/>
      <c r="T49" s="41"/>
      <c r="AA49" s="46"/>
    </row>
    <row r="50" spans="1:27">
      <c r="A50" s="40"/>
      <c r="C50" s="140" t="s">
        <v>21</v>
      </c>
      <c r="D50" s="37"/>
      <c r="E50" s="142">
        <v>242028</v>
      </c>
      <c r="F50" s="142">
        <v>246378</v>
      </c>
      <c r="G50" s="185">
        <v>1.0102030527148624</v>
      </c>
      <c r="H50" s="141"/>
      <c r="I50" s="141"/>
      <c r="J50" s="143">
        <v>230793.2778334427</v>
      </c>
      <c r="K50" s="41"/>
      <c r="L50" s="41"/>
      <c r="M50" s="41"/>
      <c r="N50" s="41"/>
      <c r="O50" s="41"/>
      <c r="P50" s="41"/>
      <c r="Q50" s="41"/>
      <c r="R50" s="41"/>
      <c r="S50" s="41"/>
      <c r="T50" s="41"/>
      <c r="AA50" s="46"/>
    </row>
    <row r="51" spans="1:27">
      <c r="A51" s="40"/>
      <c r="C51" s="140" t="s">
        <v>22</v>
      </c>
      <c r="D51" s="37"/>
      <c r="E51" s="142"/>
      <c r="F51" s="142"/>
      <c r="G51" s="185"/>
      <c r="H51" s="141">
        <v>-0.1</v>
      </c>
      <c r="I51" s="141">
        <v>0.1</v>
      </c>
      <c r="J51" s="143">
        <v>31245.145533829796</v>
      </c>
      <c r="K51" s="41"/>
      <c r="L51" s="41"/>
      <c r="M51" s="41"/>
      <c r="N51" s="41"/>
      <c r="O51" s="41"/>
      <c r="P51" s="41"/>
      <c r="Q51" s="41"/>
      <c r="R51" s="41"/>
      <c r="S51" s="41"/>
      <c r="T51" s="41"/>
      <c r="AA51" s="46"/>
    </row>
    <row r="52" spans="1:27">
      <c r="A52" s="40"/>
      <c r="C52" s="140" t="s">
        <v>23</v>
      </c>
      <c r="D52" s="37"/>
      <c r="E52" s="142"/>
      <c r="F52" s="142"/>
      <c r="G52" s="185"/>
      <c r="H52" s="141">
        <v>-0.1</v>
      </c>
      <c r="I52" s="141">
        <v>0.1</v>
      </c>
      <c r="J52" s="143">
        <v>32442.79950933484</v>
      </c>
      <c r="K52" s="41"/>
      <c r="L52" s="41"/>
      <c r="M52" s="41"/>
      <c r="N52" s="41"/>
      <c r="O52" s="41"/>
      <c r="P52" s="41"/>
      <c r="Q52" s="41"/>
      <c r="R52" s="41"/>
      <c r="S52" s="41"/>
      <c r="T52" s="41"/>
      <c r="AA52" s="46"/>
    </row>
    <row r="53" spans="1:27">
      <c r="A53" s="40"/>
      <c r="C53" s="140" t="s">
        <v>24</v>
      </c>
      <c r="D53" s="37"/>
      <c r="E53" s="142"/>
      <c r="F53" s="142">
        <v>91594</v>
      </c>
      <c r="G53" s="185">
        <v>1.0009919759033561</v>
      </c>
      <c r="H53" s="141">
        <v>-0.08</v>
      </c>
      <c r="I53" s="141"/>
      <c r="J53" s="143">
        <v>90358.929227922723</v>
      </c>
      <c r="K53" s="41"/>
      <c r="L53" s="41"/>
      <c r="M53" s="41"/>
      <c r="N53" s="41"/>
      <c r="O53" s="41"/>
      <c r="P53" s="41"/>
      <c r="Q53" s="41"/>
      <c r="R53" s="41"/>
      <c r="S53" s="41"/>
      <c r="T53" s="41"/>
      <c r="AA53" s="46"/>
    </row>
    <row r="54" spans="1:27">
      <c r="A54" s="40"/>
      <c r="C54" s="115" t="s">
        <v>25</v>
      </c>
      <c r="D54" s="37"/>
      <c r="E54" s="142">
        <v>404718</v>
      </c>
      <c r="F54" s="142">
        <v>416760</v>
      </c>
      <c r="G54" s="189">
        <v>1.0337183875281188</v>
      </c>
      <c r="H54" s="37"/>
      <c r="I54" s="37"/>
      <c r="J54" s="143">
        <v>377152.05852431292</v>
      </c>
      <c r="AA54" s="46"/>
    </row>
    <row r="55" spans="1:27">
      <c r="C55" s="144" t="s">
        <v>26</v>
      </c>
      <c r="D55" s="116"/>
      <c r="E55" s="145">
        <v>107153</v>
      </c>
      <c r="F55" s="145">
        <v>109404</v>
      </c>
      <c r="G55" s="186">
        <v>1.0162457056320418</v>
      </c>
      <c r="H55" s="116"/>
      <c r="I55" s="116"/>
      <c r="J55" s="146">
        <v>101570.86192041777</v>
      </c>
      <c r="AA55" s="46"/>
    </row>
    <row r="56" spans="1:27">
      <c r="C56" s="118"/>
      <c r="AA56" s="46"/>
    </row>
    <row r="57" spans="1:27">
      <c r="C57" s="118"/>
      <c r="AA57" s="46"/>
    </row>
    <row r="58" spans="1:27">
      <c r="C58" s="118"/>
      <c r="AA58" s="46"/>
    </row>
    <row r="59" spans="1:27">
      <c r="C59" s="118"/>
      <c r="AA59" s="46"/>
    </row>
    <row r="60" spans="1:27">
      <c r="C60" s="118"/>
      <c r="D60" s="42"/>
      <c r="E60" s="58"/>
      <c r="F60" s="58"/>
      <c r="G60" s="58"/>
      <c r="H60" s="58"/>
      <c r="I60" s="58"/>
      <c r="J60" s="58"/>
      <c r="K60" s="58"/>
      <c r="L60" s="58"/>
      <c r="M60" s="58"/>
      <c r="N60" s="58"/>
      <c r="O60" s="58"/>
      <c r="P60" s="58"/>
      <c r="Q60" s="58"/>
      <c r="R60" s="58"/>
      <c r="S60" s="58"/>
      <c r="T60" s="58"/>
    </row>
    <row r="61" spans="1:27">
      <c r="D61" s="42"/>
      <c r="E61" s="58"/>
      <c r="F61" s="58"/>
      <c r="G61" s="58"/>
      <c r="H61" s="58"/>
      <c r="I61" s="58"/>
      <c r="J61" s="58"/>
      <c r="K61" s="58"/>
      <c r="L61" s="58"/>
      <c r="M61" s="58"/>
      <c r="N61" s="58"/>
      <c r="O61" s="58"/>
      <c r="P61" s="58"/>
      <c r="Q61" s="58"/>
      <c r="R61" s="58"/>
      <c r="S61" s="58"/>
      <c r="T61" s="58"/>
    </row>
    <row r="62" spans="1:27">
      <c r="D62" s="42"/>
      <c r="E62" s="58"/>
      <c r="F62" s="58"/>
      <c r="G62" s="58"/>
      <c r="H62" s="58"/>
      <c r="I62" s="58"/>
      <c r="J62" s="58"/>
      <c r="K62" s="58"/>
      <c r="L62" s="58"/>
      <c r="M62" s="58"/>
      <c r="N62" s="58"/>
      <c r="O62" s="58"/>
      <c r="P62" s="58"/>
      <c r="Q62" s="58"/>
      <c r="R62" s="58"/>
      <c r="S62" s="58"/>
      <c r="T62" s="58"/>
    </row>
    <row r="63" spans="1:27">
      <c r="D63" s="42"/>
      <c r="E63" s="58"/>
      <c r="F63" s="58"/>
      <c r="G63" s="58"/>
      <c r="H63" s="58"/>
      <c r="I63" s="58"/>
      <c r="J63" s="58"/>
      <c r="K63" s="58"/>
      <c r="L63" s="58"/>
      <c r="M63" s="58"/>
      <c r="N63" s="58"/>
      <c r="O63" s="58"/>
      <c r="P63" s="58"/>
      <c r="Q63" s="58"/>
      <c r="R63" s="58"/>
      <c r="S63" s="58"/>
      <c r="T63" s="58"/>
    </row>
    <row r="64" spans="1:27">
      <c r="D64" s="42"/>
      <c r="E64" s="58"/>
      <c r="F64" s="58"/>
      <c r="G64" s="58"/>
      <c r="H64" s="58"/>
      <c r="I64" s="58"/>
      <c r="J64" s="58"/>
      <c r="K64" s="58"/>
      <c r="L64" s="58"/>
      <c r="M64" s="58"/>
      <c r="N64" s="58"/>
      <c r="O64" s="58"/>
      <c r="P64" s="58"/>
      <c r="Q64" s="58"/>
      <c r="R64" s="58"/>
      <c r="S64" s="58"/>
      <c r="T64" s="58"/>
    </row>
    <row r="65" spans="4:20">
      <c r="D65" s="42"/>
      <c r="E65" s="58"/>
      <c r="F65" s="58"/>
      <c r="G65" s="58"/>
      <c r="H65" s="58"/>
      <c r="I65" s="58"/>
      <c r="J65" s="58"/>
      <c r="K65" s="58"/>
      <c r="L65" s="58"/>
      <c r="M65" s="58"/>
      <c r="N65" s="58"/>
      <c r="O65" s="58"/>
      <c r="P65" s="58"/>
      <c r="Q65" s="58"/>
      <c r="R65" s="58"/>
      <c r="S65" s="58"/>
      <c r="T65" s="58"/>
    </row>
    <row r="66" spans="4:20">
      <c r="D66" s="42"/>
      <c r="E66" s="58"/>
      <c r="F66" s="58"/>
      <c r="G66" s="58"/>
      <c r="H66" s="58"/>
      <c r="I66" s="58"/>
      <c r="J66" s="58"/>
      <c r="K66" s="58"/>
      <c r="L66" s="58"/>
      <c r="M66" s="58"/>
      <c r="N66" s="58"/>
      <c r="O66" s="58"/>
      <c r="P66" s="58"/>
      <c r="Q66" s="58"/>
      <c r="R66" s="58"/>
      <c r="S66" s="58"/>
      <c r="T66" s="58"/>
    </row>
    <row r="67" spans="4:20">
      <c r="D67" s="42"/>
      <c r="E67" s="58"/>
      <c r="F67" s="58"/>
      <c r="G67" s="58"/>
      <c r="H67" s="58"/>
      <c r="I67" s="58"/>
      <c r="J67" s="58"/>
      <c r="K67" s="58"/>
      <c r="L67" s="58"/>
      <c r="M67" s="58"/>
      <c r="N67" s="58"/>
      <c r="O67" s="58"/>
      <c r="P67" s="58"/>
      <c r="Q67" s="58"/>
      <c r="R67" s="58"/>
      <c r="S67" s="58"/>
      <c r="T67" s="58"/>
    </row>
  </sheetData>
  <conditionalFormatting sqref="E7:T7">
    <cfRule type="cellIs" dxfId="17" priority="2" operator="greaterThan">
      <formula>0</formula>
    </cfRule>
  </conditionalFormatting>
  <conditionalFormatting sqref="E10:T10">
    <cfRule type="cellIs" dxfId="16" priority="1" operator="equal">
      <formula>TRUE</formula>
    </cfRule>
  </conditionalFormatting>
  <pageMargins left="0.31496062992125984" right="0.39370078740157483" top="0.74803149606299213" bottom="0.74803149606299213" header="0.31496062992125984" footer="0.31496062992125984"/>
  <pageSetup paperSize="8" scale="61" orientation="landscape" r:id="rId1"/>
</worksheet>
</file>

<file path=xl/worksheets/sheet4.xml><?xml version="1.0" encoding="utf-8"?>
<worksheet xmlns="http://schemas.openxmlformats.org/spreadsheetml/2006/main" xmlns:r="http://schemas.openxmlformats.org/officeDocument/2006/relationships">
  <sheetPr codeName="Sheet40">
    <tabColor theme="3" tint="0.79998168889431442"/>
  </sheetPr>
  <dimension ref="A1:O99"/>
  <sheetViews>
    <sheetView workbookViewId="0"/>
  </sheetViews>
  <sheetFormatPr defaultRowHeight="15"/>
  <cols>
    <col min="1" max="1" width="3.42578125" style="9" customWidth="1"/>
    <col min="2" max="2" width="42.85546875" style="9" customWidth="1"/>
    <col min="3" max="3" width="13" style="9" customWidth="1"/>
    <col min="4" max="4" width="15.5703125" style="9" customWidth="1"/>
    <col min="5" max="14" width="10" style="9" customWidth="1"/>
    <col min="15" max="19" width="11" style="9" customWidth="1"/>
    <col min="20" max="16384" width="9.140625" style="9"/>
  </cols>
  <sheetData>
    <row r="1" spans="1:15">
      <c r="A1" s="27"/>
    </row>
    <row r="2" spans="1:15" ht="28.5">
      <c r="B2" s="60" t="s">
        <v>88</v>
      </c>
      <c r="C2" s="27"/>
      <c r="D2" s="27"/>
      <c r="E2" s="27"/>
      <c r="F2" s="27"/>
      <c r="G2" s="27"/>
      <c r="H2" s="27"/>
      <c r="I2" s="27"/>
      <c r="J2" s="27"/>
      <c r="K2" s="27"/>
      <c r="L2" s="27"/>
      <c r="M2" s="27"/>
      <c r="N2" s="27"/>
      <c r="O2" s="27"/>
    </row>
    <row r="3" spans="1:15" ht="23.25">
      <c r="B3" s="61" t="s">
        <v>118</v>
      </c>
      <c r="C3" s="27"/>
      <c r="D3" s="27"/>
      <c r="E3" s="27"/>
      <c r="F3" s="27"/>
      <c r="G3" s="27"/>
      <c r="H3" s="27"/>
      <c r="I3" s="27"/>
      <c r="J3" s="27"/>
      <c r="K3" s="27"/>
      <c r="L3" s="27"/>
      <c r="M3" s="27"/>
      <c r="N3" s="27"/>
      <c r="O3" s="27"/>
    </row>
    <row r="4" spans="1:15" ht="15.75">
      <c r="B4" s="62" t="s">
        <v>87</v>
      </c>
      <c r="C4" s="27"/>
      <c r="D4" s="27"/>
      <c r="E4" s="27"/>
      <c r="F4" s="27"/>
      <c r="G4" s="27"/>
      <c r="H4" s="27"/>
      <c r="I4" s="27"/>
      <c r="J4" s="27"/>
      <c r="K4" s="27"/>
      <c r="L4" s="27"/>
      <c r="M4" s="27"/>
      <c r="N4" s="27"/>
      <c r="O4" s="27"/>
    </row>
    <row r="5" spans="1:15" ht="15.75">
      <c r="B5" s="62" t="s">
        <v>86</v>
      </c>
      <c r="C5" s="27"/>
      <c r="D5" s="27"/>
      <c r="E5" s="27"/>
      <c r="F5" s="27"/>
      <c r="G5" s="27"/>
      <c r="H5" s="27"/>
      <c r="I5" s="27"/>
      <c r="J5" s="27"/>
      <c r="K5" s="27"/>
      <c r="L5" s="27"/>
      <c r="M5" s="27"/>
      <c r="N5" s="27"/>
      <c r="O5" s="27"/>
    </row>
    <row r="6" spans="1:15">
      <c r="B6" s="27"/>
      <c r="C6" s="27"/>
      <c r="D6" s="27"/>
      <c r="E6" s="27"/>
      <c r="F6" s="27"/>
      <c r="G6" s="27"/>
      <c r="H6" s="27"/>
      <c r="I6" s="27"/>
      <c r="J6" s="27"/>
      <c r="K6" s="27"/>
      <c r="L6" s="27"/>
      <c r="M6" s="27"/>
      <c r="N6" s="27"/>
      <c r="O6" s="27"/>
    </row>
    <row r="7" spans="1:15">
      <c r="B7" s="63" t="s">
        <v>85</v>
      </c>
      <c r="C7" s="27"/>
      <c r="D7" s="27"/>
      <c r="E7" s="27"/>
      <c r="F7" s="27"/>
      <c r="G7" s="27"/>
      <c r="H7" s="27"/>
      <c r="I7" s="27"/>
      <c r="J7" s="27"/>
      <c r="K7" s="27"/>
      <c r="L7" s="27"/>
      <c r="M7" s="27"/>
      <c r="N7" s="27"/>
      <c r="O7" s="27"/>
    </row>
    <row r="8" spans="1:15" s="13" customFormat="1">
      <c r="B8" s="63"/>
      <c r="C8" s="27"/>
      <c r="D8" s="27"/>
      <c r="E8" s="27"/>
      <c r="F8" s="27"/>
      <c r="G8" s="27"/>
      <c r="H8" s="27"/>
      <c r="I8" s="27"/>
      <c r="J8" s="27"/>
      <c r="K8" s="27"/>
      <c r="L8" s="27"/>
      <c r="M8" s="27"/>
      <c r="N8" s="27"/>
      <c r="O8" s="27"/>
    </row>
    <row r="9" spans="1:15">
      <c r="B9" s="27" t="s">
        <v>84</v>
      </c>
      <c r="C9" s="20">
        <v>41364</v>
      </c>
      <c r="D9" s="20"/>
      <c r="E9" s="27"/>
      <c r="F9" s="27"/>
      <c r="G9" s="27"/>
      <c r="H9" s="27"/>
      <c r="I9" s="27"/>
      <c r="J9" s="27"/>
      <c r="K9" s="27"/>
      <c r="L9" s="27"/>
      <c r="M9" s="27"/>
      <c r="N9" s="27"/>
      <c r="O9" s="27"/>
    </row>
    <row r="10" spans="1:15">
      <c r="B10" s="27" t="s">
        <v>83</v>
      </c>
      <c r="C10" s="64">
        <v>365</v>
      </c>
      <c r="D10" s="27"/>
      <c r="E10" s="27"/>
      <c r="F10" s="27"/>
      <c r="G10" s="27"/>
      <c r="H10" s="27"/>
      <c r="I10" s="27"/>
      <c r="J10" s="27"/>
      <c r="K10" s="27"/>
      <c r="L10" s="27"/>
      <c r="M10" s="27"/>
      <c r="N10" s="27"/>
      <c r="O10" s="27"/>
    </row>
    <row r="11" spans="1:15">
      <c r="B11" s="27" t="s">
        <v>82</v>
      </c>
      <c r="C11" s="20">
        <f>EOMONTH(C9,-6)</f>
        <v>41182</v>
      </c>
      <c r="D11" s="27"/>
      <c r="E11" s="27"/>
      <c r="F11" s="27"/>
      <c r="G11" s="27"/>
      <c r="H11" s="27"/>
      <c r="I11" s="27"/>
      <c r="J11" s="27"/>
      <c r="K11" s="27"/>
      <c r="L11" s="27"/>
      <c r="M11" s="27"/>
      <c r="N11" s="27"/>
      <c r="O11" s="27"/>
    </row>
    <row r="12" spans="1:15" ht="17.25">
      <c r="B12" s="27" t="s">
        <v>81</v>
      </c>
      <c r="C12" s="20">
        <f>C9-C20</f>
        <v>41216</v>
      </c>
      <c r="D12" s="27" t="s">
        <v>120</v>
      </c>
      <c r="E12" s="27"/>
      <c r="F12" s="27"/>
      <c r="G12" s="27"/>
      <c r="H12" s="27"/>
      <c r="I12" s="27"/>
      <c r="J12" s="27"/>
      <c r="K12" s="27"/>
      <c r="L12" s="27"/>
      <c r="M12" s="27"/>
      <c r="N12" s="27"/>
      <c r="O12" s="27"/>
    </row>
    <row r="13" spans="1:15">
      <c r="B13" s="27" t="s">
        <v>80</v>
      </c>
      <c r="C13" s="20">
        <f>C11</f>
        <v>41182</v>
      </c>
      <c r="D13" s="20" t="s">
        <v>75</v>
      </c>
      <c r="E13" s="27"/>
      <c r="F13" s="27"/>
      <c r="G13" s="27"/>
      <c r="H13" s="27"/>
      <c r="I13" s="27"/>
      <c r="J13" s="27"/>
      <c r="K13" s="27"/>
      <c r="L13" s="27"/>
      <c r="M13" s="27"/>
      <c r="N13" s="27"/>
      <c r="O13" s="27"/>
    </row>
    <row r="14" spans="1:15">
      <c r="B14" s="27" t="s">
        <v>79</v>
      </c>
      <c r="C14" s="20">
        <f>C11</f>
        <v>41182</v>
      </c>
      <c r="D14" s="20" t="s">
        <v>75</v>
      </c>
      <c r="E14" s="27"/>
      <c r="F14" s="27"/>
      <c r="G14" s="27"/>
      <c r="H14" s="27"/>
      <c r="I14" s="27"/>
      <c r="J14" s="27"/>
      <c r="K14" s="27"/>
      <c r="L14" s="27"/>
      <c r="M14" s="27"/>
      <c r="N14" s="27"/>
      <c r="O14" s="27"/>
    </row>
    <row r="15" spans="1:15">
      <c r="B15" s="27" t="s">
        <v>78</v>
      </c>
      <c r="C15" s="20">
        <f>C11</f>
        <v>41182</v>
      </c>
      <c r="D15" s="20" t="s">
        <v>75</v>
      </c>
      <c r="E15" s="27"/>
      <c r="F15" s="27"/>
      <c r="G15" s="27"/>
      <c r="H15" s="27"/>
      <c r="I15" s="27"/>
      <c r="J15" s="27"/>
      <c r="K15" s="27"/>
      <c r="L15" s="27"/>
      <c r="M15" s="27"/>
      <c r="N15" s="27"/>
      <c r="O15" s="27"/>
    </row>
    <row r="16" spans="1:15">
      <c r="B16" s="27" t="s">
        <v>77</v>
      </c>
      <c r="C16" s="20">
        <f>C11</f>
        <v>41182</v>
      </c>
      <c r="D16" s="20" t="s">
        <v>75</v>
      </c>
      <c r="E16" s="27"/>
      <c r="F16" s="27"/>
      <c r="G16" s="27"/>
      <c r="H16" s="27"/>
      <c r="I16" s="27"/>
      <c r="J16" s="27"/>
      <c r="K16" s="27"/>
      <c r="L16" s="27"/>
      <c r="M16" s="27"/>
      <c r="N16" s="27"/>
      <c r="O16" s="27"/>
    </row>
    <row r="17" spans="2:15">
      <c r="B17" s="27" t="s">
        <v>76</v>
      </c>
      <c r="C17" s="20">
        <f>C11</f>
        <v>41182</v>
      </c>
      <c r="D17" s="20" t="s">
        <v>75</v>
      </c>
      <c r="E17" s="27"/>
      <c r="F17" s="27"/>
      <c r="G17" s="27"/>
      <c r="H17" s="27"/>
      <c r="I17" s="27"/>
      <c r="J17" s="27"/>
      <c r="K17" s="27"/>
      <c r="L17" s="27"/>
      <c r="M17" s="27"/>
      <c r="N17" s="27"/>
      <c r="O17" s="27"/>
    </row>
    <row r="18" spans="2:15">
      <c r="B18" s="27"/>
      <c r="C18" s="20"/>
      <c r="D18" s="27"/>
      <c r="E18" s="27"/>
      <c r="F18" s="27"/>
      <c r="G18" s="27"/>
      <c r="H18" s="27"/>
      <c r="I18" s="27"/>
      <c r="J18" s="27"/>
      <c r="K18" s="27"/>
      <c r="L18" s="27"/>
      <c r="M18" s="27"/>
      <c r="N18" s="27"/>
      <c r="O18" s="27"/>
    </row>
    <row r="19" spans="2:15">
      <c r="B19" s="27" t="s">
        <v>74</v>
      </c>
      <c r="C19" s="27">
        <v>182</v>
      </c>
      <c r="D19" s="27"/>
      <c r="E19" s="27"/>
      <c r="F19" s="27"/>
      <c r="G19" s="27"/>
      <c r="H19" s="27"/>
      <c r="I19" s="27"/>
      <c r="J19" s="27"/>
      <c r="K19" s="27"/>
      <c r="L19" s="27"/>
      <c r="M19" s="27"/>
      <c r="N19" s="27"/>
      <c r="O19" s="27"/>
    </row>
    <row r="20" spans="2:15">
      <c r="B20" s="27" t="s">
        <v>73</v>
      </c>
      <c r="C20" s="27">
        <v>148</v>
      </c>
      <c r="D20" s="27"/>
      <c r="E20" s="27"/>
      <c r="F20" s="27"/>
      <c r="G20" s="27"/>
      <c r="H20" s="27"/>
      <c r="I20" s="27"/>
      <c r="J20" s="27"/>
      <c r="K20" s="27"/>
      <c r="L20" s="27"/>
      <c r="M20" s="27"/>
      <c r="N20" s="27"/>
      <c r="O20" s="27"/>
    </row>
    <row r="21" spans="2:15">
      <c r="B21" s="27"/>
      <c r="C21" s="27"/>
      <c r="D21" s="27"/>
      <c r="E21" s="27"/>
      <c r="F21" s="27"/>
      <c r="G21" s="27"/>
      <c r="H21" s="27"/>
      <c r="I21" s="27"/>
      <c r="J21" s="27"/>
      <c r="K21" s="27"/>
      <c r="L21" s="27"/>
      <c r="M21" s="27"/>
      <c r="N21" s="27"/>
      <c r="O21" s="27"/>
    </row>
    <row r="22" spans="2:15">
      <c r="B22" s="27" t="s">
        <v>124</v>
      </c>
      <c r="C22" s="65">
        <f>(1+WACC)^(C19/C10)</f>
        <v>1.0428084742793051</v>
      </c>
      <c r="D22" s="27"/>
      <c r="E22" s="27"/>
      <c r="F22" s="27"/>
      <c r="G22" s="27"/>
      <c r="H22" s="27"/>
      <c r="I22" s="27"/>
      <c r="J22" s="27"/>
      <c r="K22" s="27"/>
      <c r="L22" s="27"/>
      <c r="M22" s="27"/>
      <c r="N22" s="27"/>
      <c r="O22" s="27"/>
    </row>
    <row r="23" spans="2:15" ht="18">
      <c r="B23" s="27" t="s">
        <v>70</v>
      </c>
      <c r="C23" s="65">
        <f>$C$22</f>
        <v>1.0428084742793051</v>
      </c>
      <c r="D23" s="27"/>
      <c r="E23" s="27" t="s">
        <v>130</v>
      </c>
      <c r="F23" s="27"/>
      <c r="G23" s="27"/>
      <c r="H23" s="27"/>
      <c r="I23" s="27"/>
      <c r="J23" s="27"/>
      <c r="K23" s="27"/>
      <c r="L23" s="27"/>
      <c r="M23" s="27"/>
      <c r="N23" s="27"/>
      <c r="O23" s="27"/>
    </row>
    <row r="24" spans="2:15" ht="18">
      <c r="B24" s="27" t="s">
        <v>71</v>
      </c>
      <c r="C24" s="65">
        <f t="shared" ref="C24:C26" si="0">$C$22</f>
        <v>1.0428084742793051</v>
      </c>
      <c r="D24" s="27"/>
      <c r="E24" s="27" t="s">
        <v>191</v>
      </c>
      <c r="F24" s="27"/>
      <c r="G24" s="27"/>
      <c r="H24" s="27"/>
      <c r="I24" s="27"/>
      <c r="J24" s="27"/>
      <c r="K24" s="27"/>
      <c r="L24" s="27"/>
      <c r="M24" s="27"/>
      <c r="N24" s="27"/>
      <c r="O24" s="27"/>
    </row>
    <row r="25" spans="2:15" ht="18">
      <c r="B25" s="27" t="s">
        <v>125</v>
      </c>
      <c r="C25" s="65">
        <f t="shared" si="0"/>
        <v>1.0428084742793051</v>
      </c>
      <c r="D25" s="27"/>
      <c r="E25" s="27" t="s">
        <v>108</v>
      </c>
      <c r="F25" s="27"/>
      <c r="G25" s="27"/>
      <c r="H25" s="27"/>
      <c r="I25" s="27"/>
      <c r="J25" s="27"/>
      <c r="K25" s="27"/>
      <c r="L25" s="27"/>
      <c r="M25" s="27"/>
      <c r="N25" s="27"/>
      <c r="O25" s="27"/>
    </row>
    <row r="26" spans="2:15" s="13" customFormat="1" ht="18">
      <c r="B26" s="27" t="s">
        <v>123</v>
      </c>
      <c r="C26" s="65">
        <f t="shared" si="0"/>
        <v>1.0428084742793051</v>
      </c>
      <c r="D26" s="27"/>
      <c r="E26" s="27" t="s">
        <v>164</v>
      </c>
      <c r="F26" s="27"/>
      <c r="G26" s="27"/>
      <c r="H26" s="27"/>
      <c r="I26" s="27"/>
      <c r="J26" s="27"/>
      <c r="K26" s="27"/>
      <c r="L26" s="27"/>
      <c r="M26" s="27"/>
      <c r="N26" s="27"/>
      <c r="O26" s="27"/>
    </row>
    <row r="27" spans="2:15" ht="18">
      <c r="B27" s="27" t="s">
        <v>72</v>
      </c>
      <c r="C27" s="65">
        <f>(1+WACC)^(C20/C10)</f>
        <v>1.0346743941931567</v>
      </c>
      <c r="D27" s="27"/>
      <c r="E27" s="27" t="s">
        <v>192</v>
      </c>
      <c r="F27" s="27"/>
      <c r="G27" s="27"/>
      <c r="H27" s="27"/>
      <c r="I27" s="27"/>
      <c r="J27" s="27"/>
      <c r="K27" s="27"/>
      <c r="L27" s="27"/>
      <c r="M27" s="27"/>
      <c r="N27" s="27"/>
      <c r="O27" s="27"/>
    </row>
    <row r="28" spans="2:15" s="13" customFormat="1">
      <c r="B28" s="27"/>
      <c r="C28" s="65"/>
      <c r="D28" s="27"/>
      <c r="E28" s="27"/>
      <c r="F28" s="27"/>
      <c r="G28" s="27"/>
      <c r="H28" s="27"/>
      <c r="I28" s="27"/>
      <c r="J28" s="27"/>
      <c r="K28" s="27"/>
      <c r="L28" s="27"/>
      <c r="M28" s="27"/>
      <c r="N28" s="27"/>
      <c r="O28" s="27"/>
    </row>
    <row r="29" spans="2:15" s="13" customFormat="1" ht="15.75">
      <c r="B29" s="66" t="s">
        <v>115</v>
      </c>
      <c r="C29" s="65"/>
      <c r="D29" s="27"/>
      <c r="E29" s="65"/>
      <c r="F29" s="27"/>
      <c r="G29" s="27"/>
      <c r="H29" s="27"/>
      <c r="I29" s="27"/>
      <c r="J29" s="27"/>
      <c r="K29" s="27"/>
      <c r="L29" s="27"/>
      <c r="M29" s="27"/>
      <c r="N29" s="27"/>
      <c r="O29" s="27"/>
    </row>
    <row r="30" spans="2:15" ht="15.75">
      <c r="B30" s="66" t="s">
        <v>116</v>
      </c>
      <c r="C30" s="27"/>
      <c r="D30" s="27"/>
      <c r="E30" s="27"/>
      <c r="F30" s="27"/>
      <c r="G30" s="27"/>
      <c r="H30" s="27"/>
      <c r="I30" s="27"/>
      <c r="J30" s="27"/>
      <c r="K30" s="27"/>
      <c r="L30" s="27"/>
      <c r="M30" s="27"/>
      <c r="N30" s="27"/>
      <c r="O30" s="27"/>
    </row>
    <row r="31" spans="2:15">
      <c r="B31" s="67" t="s">
        <v>176</v>
      </c>
      <c r="C31" s="27"/>
      <c r="D31" s="27"/>
      <c r="E31" s="27"/>
      <c r="F31" s="27"/>
      <c r="G31" s="27"/>
      <c r="H31" s="27"/>
      <c r="I31" s="27"/>
      <c r="J31" s="27"/>
      <c r="K31" s="27"/>
      <c r="L31" s="27"/>
      <c r="M31" s="27"/>
      <c r="N31" s="27"/>
      <c r="O31" s="27"/>
    </row>
    <row r="32" spans="2:15">
      <c r="B32" s="27" t="s">
        <v>100</v>
      </c>
      <c r="C32" s="20">
        <f>EDATE(C9,-12)</f>
        <v>40999</v>
      </c>
      <c r="D32" s="68">
        <f>EOMONTH(C32,1)+20</f>
        <v>41049</v>
      </c>
      <c r="E32" s="68">
        <f>EDATE(D32,1)</f>
        <v>41080</v>
      </c>
      <c r="F32" s="68">
        <f t="shared" ref="F32:M32" si="1">EDATE(E32,1)</f>
        <v>41110</v>
      </c>
      <c r="G32" s="68">
        <f t="shared" si="1"/>
        <v>41141</v>
      </c>
      <c r="H32" s="68">
        <f t="shared" si="1"/>
        <v>41172</v>
      </c>
      <c r="I32" s="68">
        <f t="shared" si="1"/>
        <v>41202</v>
      </c>
      <c r="J32" s="68">
        <f t="shared" si="1"/>
        <v>41233</v>
      </c>
      <c r="K32" s="68">
        <f t="shared" si="1"/>
        <v>41263</v>
      </c>
      <c r="L32" s="68">
        <f t="shared" si="1"/>
        <v>41294</v>
      </c>
      <c r="M32" s="68">
        <f t="shared" si="1"/>
        <v>41325</v>
      </c>
      <c r="N32" s="68">
        <f>EDATE(M32,1)</f>
        <v>41353</v>
      </c>
      <c r="O32" s="68">
        <f>EDATE(N32,1)</f>
        <v>41384</v>
      </c>
    </row>
    <row r="33" spans="2:15">
      <c r="B33" s="27" t="s">
        <v>92</v>
      </c>
      <c r="C33" s="27">
        <v>0</v>
      </c>
      <c r="D33" s="27">
        <v>1</v>
      </c>
      <c r="E33" s="27">
        <v>1</v>
      </c>
      <c r="F33" s="27">
        <v>1</v>
      </c>
      <c r="G33" s="27">
        <v>1</v>
      </c>
      <c r="H33" s="27">
        <v>1</v>
      </c>
      <c r="I33" s="27">
        <v>1</v>
      </c>
      <c r="J33" s="27">
        <v>1</v>
      </c>
      <c r="K33" s="27">
        <v>1</v>
      </c>
      <c r="L33" s="27">
        <v>1</v>
      </c>
      <c r="M33" s="27">
        <v>1</v>
      </c>
      <c r="N33" s="27">
        <v>1</v>
      </c>
      <c r="O33" s="27">
        <v>1</v>
      </c>
    </row>
    <row r="34" spans="2:15">
      <c r="B34" s="27" t="s">
        <v>117</v>
      </c>
      <c r="C34" s="65">
        <f>XNPV(WACC,C33:O33,C32:O32)</f>
        <v>11.415281266303815</v>
      </c>
      <c r="D34" s="27"/>
      <c r="E34" s="27"/>
      <c r="F34" s="27"/>
      <c r="G34" s="27"/>
      <c r="H34" s="27"/>
      <c r="I34" s="27"/>
      <c r="J34" s="27"/>
      <c r="K34" s="27"/>
      <c r="L34" s="27"/>
      <c r="M34" s="27"/>
      <c r="N34" s="27"/>
      <c r="O34" s="27"/>
    </row>
    <row r="35" spans="2:15" s="13" customFormat="1">
      <c r="B35" s="27"/>
      <c r="C35" s="65"/>
      <c r="D35" s="27"/>
      <c r="E35" s="27"/>
      <c r="F35" s="27"/>
      <c r="G35" s="27"/>
      <c r="H35" s="27"/>
      <c r="I35" s="27"/>
      <c r="J35" s="27"/>
      <c r="K35" s="27"/>
      <c r="L35" s="27"/>
      <c r="M35" s="27"/>
      <c r="N35" s="27"/>
      <c r="O35" s="27"/>
    </row>
    <row r="36" spans="2:15">
      <c r="B36" s="67" t="s">
        <v>114</v>
      </c>
      <c r="C36" s="27"/>
      <c r="D36" s="27"/>
      <c r="E36" s="27"/>
      <c r="F36" s="27"/>
      <c r="G36" s="27"/>
      <c r="H36" s="27"/>
      <c r="I36" s="27"/>
      <c r="J36" s="27"/>
      <c r="K36" s="27"/>
      <c r="L36" s="27"/>
      <c r="M36" s="27"/>
      <c r="N36" s="27"/>
      <c r="O36" s="27"/>
    </row>
    <row r="37" spans="2:15">
      <c r="B37" s="27" t="s">
        <v>100</v>
      </c>
      <c r="C37" s="20">
        <f>C32</f>
        <v>40999</v>
      </c>
      <c r="D37" s="68">
        <f>C12</f>
        <v>41216</v>
      </c>
      <c r="E37" s="27"/>
      <c r="F37" s="27"/>
      <c r="G37" s="27"/>
      <c r="H37" s="27"/>
      <c r="I37" s="27"/>
      <c r="J37" s="27"/>
      <c r="K37" s="27"/>
      <c r="L37" s="27"/>
      <c r="M37" s="27"/>
      <c r="N37" s="27"/>
      <c r="O37" s="27"/>
    </row>
    <row r="38" spans="2:15">
      <c r="B38" s="27" t="s">
        <v>92</v>
      </c>
      <c r="C38" s="27">
        <v>0</v>
      </c>
      <c r="D38" s="27">
        <v>12</v>
      </c>
      <c r="E38" s="27"/>
      <c r="F38" s="27"/>
      <c r="G38" s="27"/>
      <c r="H38" s="27"/>
      <c r="I38" s="27"/>
      <c r="J38" s="27"/>
      <c r="K38" s="27"/>
      <c r="L38" s="27"/>
      <c r="M38" s="27"/>
      <c r="N38" s="27"/>
      <c r="O38" s="27"/>
    </row>
    <row r="39" spans="2:15">
      <c r="B39" s="27" t="s">
        <v>99</v>
      </c>
      <c r="C39" s="65">
        <f>XNPV(WACC,C38:D38,C37:D37)</f>
        <v>11.414997453634165</v>
      </c>
      <c r="D39" s="27"/>
      <c r="E39" s="27"/>
      <c r="F39" s="27"/>
      <c r="G39" s="27"/>
      <c r="H39" s="27"/>
      <c r="I39" s="27"/>
      <c r="J39" s="27"/>
      <c r="K39" s="27"/>
      <c r="L39" s="27"/>
      <c r="M39" s="27"/>
      <c r="N39" s="27"/>
      <c r="O39" s="27"/>
    </row>
    <row r="40" spans="2:15">
      <c r="B40" s="27" t="str">
        <f>"Difference in PV for a date of " &amp; TEXT(D37,"dd mmm")</f>
        <v>Difference in PV for a date of 03 Nov</v>
      </c>
      <c r="C40" s="65">
        <f>C34-C39</f>
        <v>2.8381266965027407E-4</v>
      </c>
      <c r="D40" s="27"/>
      <c r="E40" s="27"/>
      <c r="F40" s="27"/>
      <c r="G40" s="27"/>
      <c r="H40" s="27"/>
      <c r="I40" s="27"/>
      <c r="J40" s="27"/>
      <c r="K40" s="27"/>
      <c r="L40" s="27"/>
      <c r="M40" s="27"/>
      <c r="N40" s="27"/>
      <c r="O40" s="27"/>
    </row>
    <row r="41" spans="2:15">
      <c r="B41" s="27"/>
      <c r="C41" s="27"/>
      <c r="D41" s="27"/>
      <c r="E41" s="27"/>
      <c r="F41" s="27"/>
      <c r="G41" s="27"/>
      <c r="H41" s="27"/>
      <c r="I41" s="27"/>
      <c r="J41" s="27"/>
      <c r="K41" s="27"/>
      <c r="L41" s="27"/>
      <c r="M41" s="27"/>
      <c r="N41" s="27"/>
      <c r="O41" s="27"/>
    </row>
    <row r="42" spans="2:15">
      <c r="B42" s="27"/>
      <c r="C42" s="27"/>
      <c r="D42" s="27"/>
      <c r="E42" s="27"/>
      <c r="F42" s="27"/>
      <c r="G42" s="27"/>
      <c r="H42" s="27"/>
      <c r="I42" s="27"/>
      <c r="J42" s="27"/>
      <c r="K42" s="27"/>
      <c r="L42" s="27"/>
      <c r="M42" s="27"/>
      <c r="N42" s="27"/>
      <c r="O42" s="27"/>
    </row>
    <row r="43" spans="2:15">
      <c r="B43" s="27"/>
      <c r="C43" s="27"/>
      <c r="D43" s="27"/>
      <c r="E43" s="27"/>
      <c r="F43" s="27"/>
      <c r="G43" s="27"/>
      <c r="H43" s="27"/>
      <c r="I43" s="27"/>
      <c r="J43" s="27"/>
      <c r="K43" s="27"/>
      <c r="L43" s="27"/>
      <c r="M43" s="27"/>
      <c r="N43" s="27"/>
      <c r="O43" s="27"/>
    </row>
    <row r="44" spans="2:15">
      <c r="B44" s="27"/>
      <c r="C44" s="27"/>
      <c r="D44" s="27"/>
      <c r="E44" s="27"/>
      <c r="F44" s="27"/>
      <c r="G44" s="27"/>
      <c r="H44" s="27"/>
      <c r="I44" s="27"/>
      <c r="J44" s="27"/>
      <c r="K44" s="27"/>
      <c r="L44" s="27"/>
      <c r="M44" s="27"/>
      <c r="N44" s="27"/>
      <c r="O44" s="27"/>
    </row>
    <row r="45" spans="2:15">
      <c r="B45" s="27"/>
      <c r="C45" s="27"/>
      <c r="D45" s="27"/>
      <c r="E45" s="27"/>
      <c r="F45" s="27"/>
      <c r="G45" s="27"/>
      <c r="H45" s="27"/>
      <c r="I45" s="27"/>
      <c r="J45" s="27"/>
      <c r="K45" s="27"/>
      <c r="L45" s="27"/>
      <c r="M45" s="27"/>
      <c r="N45" s="27"/>
      <c r="O45" s="27"/>
    </row>
    <row r="46" spans="2:15">
      <c r="B46" s="27"/>
      <c r="C46" s="27"/>
      <c r="D46" s="27"/>
      <c r="E46" s="27"/>
      <c r="F46" s="27"/>
      <c r="G46" s="27"/>
      <c r="H46" s="27"/>
      <c r="I46" s="27"/>
      <c r="J46" s="27"/>
      <c r="K46" s="27"/>
      <c r="L46" s="27"/>
      <c r="M46" s="27"/>
      <c r="N46" s="27"/>
      <c r="O46" s="27"/>
    </row>
    <row r="47" spans="2:15">
      <c r="B47" s="27"/>
      <c r="C47" s="27"/>
      <c r="D47" s="27"/>
      <c r="E47" s="27"/>
      <c r="F47" s="27"/>
      <c r="G47" s="27"/>
      <c r="H47" s="27"/>
      <c r="I47" s="27"/>
      <c r="J47" s="27"/>
      <c r="K47" s="27"/>
      <c r="L47" s="27"/>
      <c r="M47" s="27"/>
      <c r="N47" s="27"/>
      <c r="O47" s="27"/>
    </row>
    <row r="48" spans="2:15">
      <c r="B48" s="27"/>
      <c r="C48" s="27"/>
      <c r="D48" s="27"/>
      <c r="E48" s="27"/>
      <c r="F48" s="27"/>
      <c r="G48" s="27"/>
      <c r="H48" s="27"/>
      <c r="I48" s="27"/>
      <c r="J48" s="27"/>
      <c r="K48" s="27"/>
      <c r="L48" s="27"/>
      <c r="M48" s="27"/>
      <c r="N48" s="27"/>
      <c r="O48" s="27"/>
    </row>
    <row r="49" spans="2:15">
      <c r="B49" s="27"/>
      <c r="C49" s="27"/>
      <c r="D49" s="27"/>
      <c r="E49" s="27"/>
      <c r="F49" s="27"/>
      <c r="G49" s="27"/>
      <c r="H49" s="27"/>
      <c r="I49" s="27"/>
      <c r="J49" s="27"/>
      <c r="K49" s="27"/>
      <c r="L49" s="27"/>
      <c r="M49" s="27"/>
      <c r="N49" s="27"/>
      <c r="O49" s="27"/>
    </row>
    <row r="50" spans="2:15">
      <c r="B50" s="27"/>
      <c r="C50" s="27"/>
      <c r="D50" s="27"/>
      <c r="E50" s="27"/>
      <c r="F50" s="27"/>
      <c r="G50" s="27"/>
      <c r="H50" s="27"/>
      <c r="I50" s="27"/>
      <c r="J50" s="27"/>
      <c r="K50" s="27"/>
      <c r="L50" s="27"/>
      <c r="M50" s="27"/>
      <c r="N50" s="27"/>
      <c r="O50" s="27"/>
    </row>
    <row r="51" spans="2:15">
      <c r="B51" s="27"/>
      <c r="C51" s="27"/>
      <c r="D51" s="27"/>
      <c r="E51" s="27"/>
      <c r="F51" s="27"/>
      <c r="G51" s="27"/>
      <c r="H51" s="27"/>
      <c r="I51" s="27"/>
      <c r="J51" s="27"/>
      <c r="K51" s="27"/>
      <c r="L51" s="27"/>
      <c r="M51" s="27"/>
      <c r="N51" s="27"/>
      <c r="O51" s="27"/>
    </row>
    <row r="52" spans="2:15">
      <c r="B52" s="27"/>
      <c r="C52" s="27"/>
      <c r="D52" s="27"/>
      <c r="E52" s="27"/>
      <c r="F52" s="27"/>
      <c r="G52" s="27"/>
      <c r="H52" s="27"/>
      <c r="I52" s="27"/>
      <c r="J52" s="27"/>
      <c r="K52" s="27"/>
      <c r="L52" s="27"/>
      <c r="M52" s="27"/>
      <c r="N52" s="27"/>
      <c r="O52" s="27"/>
    </row>
    <row r="53" spans="2:15">
      <c r="B53" s="27"/>
      <c r="C53" s="27"/>
      <c r="D53" s="27"/>
      <c r="E53" s="27"/>
      <c r="F53" s="27"/>
      <c r="G53" s="27"/>
      <c r="H53" s="27"/>
      <c r="I53" s="27"/>
      <c r="J53" s="27"/>
      <c r="K53" s="27"/>
      <c r="L53" s="27"/>
      <c r="M53" s="27"/>
      <c r="N53" s="27"/>
      <c r="O53" s="27"/>
    </row>
    <row r="54" spans="2:15">
      <c r="B54" s="27"/>
      <c r="C54" s="27"/>
      <c r="D54" s="27"/>
      <c r="E54" s="27"/>
      <c r="F54" s="27"/>
      <c r="G54" s="27"/>
      <c r="H54" s="27"/>
      <c r="I54" s="27"/>
      <c r="J54" s="27"/>
      <c r="K54" s="27"/>
      <c r="L54" s="27"/>
      <c r="M54" s="27"/>
      <c r="N54" s="27"/>
      <c r="O54" s="27"/>
    </row>
    <row r="55" spans="2:15">
      <c r="B55" s="27"/>
      <c r="C55" s="27"/>
      <c r="D55" s="27"/>
      <c r="E55" s="27"/>
      <c r="F55" s="27"/>
      <c r="G55" s="27"/>
      <c r="H55" s="27"/>
      <c r="I55" s="27"/>
      <c r="J55" s="27"/>
      <c r="K55" s="27"/>
      <c r="L55" s="27"/>
      <c r="M55" s="27"/>
      <c r="N55" s="27"/>
      <c r="O55" s="27"/>
    </row>
    <row r="56" spans="2:15">
      <c r="B56" s="27"/>
      <c r="C56" s="27"/>
      <c r="D56" s="27"/>
      <c r="E56" s="27"/>
      <c r="F56" s="27"/>
      <c r="G56" s="27"/>
      <c r="H56" s="27"/>
      <c r="I56" s="27"/>
      <c r="J56" s="27"/>
      <c r="K56" s="27"/>
      <c r="L56" s="27"/>
      <c r="M56" s="27"/>
      <c r="N56" s="27"/>
      <c r="O56" s="27"/>
    </row>
    <row r="57" spans="2:15">
      <c r="B57" s="27"/>
      <c r="C57" s="27"/>
      <c r="D57" s="27"/>
      <c r="E57" s="27"/>
      <c r="F57" s="27"/>
      <c r="G57" s="27"/>
      <c r="H57" s="27"/>
      <c r="I57" s="27"/>
      <c r="J57" s="27"/>
      <c r="K57" s="27"/>
      <c r="L57" s="27"/>
      <c r="M57" s="27"/>
      <c r="N57" s="27"/>
      <c r="O57" s="27"/>
    </row>
    <row r="58" spans="2:15">
      <c r="B58" s="27"/>
      <c r="C58" s="27"/>
      <c r="D58" s="27"/>
      <c r="E58" s="27"/>
      <c r="F58" s="27"/>
      <c r="G58" s="27"/>
      <c r="H58" s="27"/>
      <c r="I58" s="27"/>
      <c r="J58" s="27"/>
      <c r="K58" s="27"/>
      <c r="L58" s="27"/>
      <c r="M58" s="27"/>
      <c r="N58" s="27"/>
      <c r="O58" s="27"/>
    </row>
    <row r="59" spans="2:15">
      <c r="H59" s="13"/>
      <c r="I59" s="13"/>
      <c r="J59" s="13"/>
      <c r="K59" s="13"/>
    </row>
    <row r="60" spans="2:15">
      <c r="H60" s="13"/>
      <c r="I60" s="13"/>
      <c r="J60" s="13"/>
      <c r="K60" s="13"/>
    </row>
    <row r="61" spans="2:15">
      <c r="H61" s="13"/>
      <c r="I61" s="13"/>
      <c r="J61" s="13"/>
      <c r="K61" s="13"/>
    </row>
    <row r="62" spans="2:15">
      <c r="H62" s="13"/>
      <c r="I62" s="13"/>
      <c r="J62" s="13"/>
      <c r="K62" s="13"/>
    </row>
    <row r="63" spans="2:15">
      <c r="H63" s="13"/>
      <c r="I63" s="13"/>
      <c r="J63" s="13"/>
      <c r="K63" s="13"/>
    </row>
    <row r="64" spans="2:15">
      <c r="H64" s="13"/>
      <c r="I64" s="13"/>
      <c r="J64" s="13"/>
      <c r="K64" s="13"/>
    </row>
    <row r="65" spans="8:11">
      <c r="H65" s="13"/>
      <c r="I65" s="13"/>
      <c r="J65" s="13"/>
      <c r="K65" s="13"/>
    </row>
    <row r="66" spans="8:11">
      <c r="H66" s="13"/>
      <c r="I66" s="13"/>
      <c r="J66" s="13"/>
      <c r="K66" s="13"/>
    </row>
    <row r="67" spans="8:11">
      <c r="H67" s="13"/>
      <c r="I67" s="13"/>
      <c r="J67" s="13"/>
      <c r="K67" s="13"/>
    </row>
    <row r="68" spans="8:11">
      <c r="H68" s="13"/>
      <c r="I68" s="13"/>
      <c r="J68" s="13"/>
      <c r="K68" s="13"/>
    </row>
    <row r="69" spans="8:11">
      <c r="H69" s="13"/>
      <c r="I69" s="13"/>
      <c r="J69" s="13"/>
      <c r="K69" s="13"/>
    </row>
    <row r="70" spans="8:11">
      <c r="H70" s="13"/>
      <c r="I70" s="13"/>
      <c r="J70" s="13"/>
      <c r="K70" s="13"/>
    </row>
    <row r="71" spans="8:11">
      <c r="H71" s="13"/>
      <c r="I71" s="13"/>
      <c r="J71" s="13"/>
      <c r="K71" s="13"/>
    </row>
    <row r="72" spans="8:11">
      <c r="H72" s="13"/>
      <c r="I72" s="13"/>
      <c r="J72" s="13"/>
      <c r="K72" s="13"/>
    </row>
    <row r="73" spans="8:11">
      <c r="H73" s="13"/>
      <c r="I73" s="13"/>
      <c r="J73" s="13"/>
      <c r="K73" s="13"/>
    </row>
    <row r="74" spans="8:11">
      <c r="H74" s="13"/>
      <c r="I74" s="13"/>
      <c r="J74" s="13"/>
      <c r="K74" s="13"/>
    </row>
    <row r="75" spans="8:11">
      <c r="H75" s="13"/>
      <c r="I75" s="13"/>
      <c r="J75" s="13"/>
      <c r="K75" s="13"/>
    </row>
    <row r="76" spans="8:11">
      <c r="H76" s="13"/>
      <c r="I76" s="13"/>
      <c r="J76" s="13"/>
      <c r="K76" s="13"/>
    </row>
    <row r="77" spans="8:11">
      <c r="H77" s="13"/>
      <c r="I77" s="13"/>
      <c r="J77" s="13"/>
      <c r="K77" s="13"/>
    </row>
    <row r="78" spans="8:11">
      <c r="H78" s="13"/>
      <c r="I78" s="13"/>
      <c r="J78" s="13"/>
      <c r="K78" s="13"/>
    </row>
    <row r="79" spans="8:11">
      <c r="H79" s="13"/>
      <c r="I79" s="13"/>
      <c r="J79" s="13"/>
      <c r="K79" s="13"/>
    </row>
    <row r="80" spans="8:11">
      <c r="H80" s="13"/>
      <c r="I80" s="13"/>
      <c r="J80" s="13"/>
      <c r="K80" s="13"/>
    </row>
    <row r="81" spans="8:11">
      <c r="H81" s="13"/>
      <c r="I81" s="13"/>
      <c r="J81" s="13"/>
      <c r="K81" s="13"/>
    </row>
    <row r="82" spans="8:11">
      <c r="H82" s="13"/>
      <c r="I82" s="13"/>
      <c r="J82" s="13"/>
      <c r="K82" s="13"/>
    </row>
    <row r="83" spans="8:11">
      <c r="H83" s="13"/>
      <c r="I83" s="13"/>
      <c r="J83" s="13"/>
      <c r="K83" s="13"/>
    </row>
    <row r="84" spans="8:11">
      <c r="H84" s="13"/>
      <c r="I84" s="13"/>
      <c r="J84" s="13"/>
      <c r="K84" s="13"/>
    </row>
    <row r="85" spans="8:11">
      <c r="H85" s="13"/>
      <c r="I85" s="13"/>
      <c r="J85" s="13"/>
      <c r="K85" s="13"/>
    </row>
    <row r="86" spans="8:11">
      <c r="H86" s="13"/>
      <c r="I86" s="13"/>
      <c r="J86" s="13"/>
      <c r="K86" s="13"/>
    </row>
    <row r="87" spans="8:11">
      <c r="H87" s="13"/>
      <c r="I87" s="13"/>
      <c r="J87" s="13"/>
      <c r="K87" s="13"/>
    </row>
    <row r="88" spans="8:11">
      <c r="H88" s="13"/>
      <c r="I88" s="13"/>
      <c r="J88" s="13"/>
      <c r="K88" s="13"/>
    </row>
    <row r="89" spans="8:11">
      <c r="H89" s="13"/>
      <c r="I89" s="13"/>
      <c r="J89" s="13"/>
      <c r="K89" s="13"/>
    </row>
    <row r="90" spans="8:11">
      <c r="H90" s="13"/>
      <c r="I90" s="13"/>
      <c r="J90" s="13"/>
      <c r="K90" s="13"/>
    </row>
    <row r="91" spans="8:11">
      <c r="H91" s="13"/>
      <c r="I91" s="13"/>
      <c r="J91" s="13"/>
      <c r="K91" s="13"/>
    </row>
    <row r="92" spans="8:11">
      <c r="H92" s="13"/>
      <c r="I92" s="13"/>
      <c r="J92" s="13"/>
      <c r="K92" s="13"/>
    </row>
    <row r="93" spans="8:11">
      <c r="H93" s="13"/>
      <c r="I93" s="13"/>
      <c r="J93" s="13"/>
      <c r="K93" s="13"/>
    </row>
    <row r="94" spans="8:11">
      <c r="H94" s="13"/>
      <c r="I94" s="13"/>
      <c r="J94" s="13"/>
      <c r="K94" s="13"/>
    </row>
    <row r="95" spans="8:11">
      <c r="H95" s="13"/>
      <c r="I95" s="13"/>
      <c r="J95" s="13"/>
      <c r="K95" s="13"/>
    </row>
    <row r="96" spans="8:11">
      <c r="H96" s="13"/>
      <c r="I96" s="13"/>
      <c r="J96" s="13"/>
      <c r="K96" s="13"/>
    </row>
    <row r="97" spans="8:11">
      <c r="H97" s="13"/>
      <c r="I97" s="13"/>
      <c r="J97" s="13"/>
      <c r="K97" s="13"/>
    </row>
    <row r="98" spans="8:11">
      <c r="H98" s="13"/>
      <c r="I98" s="13"/>
      <c r="J98" s="13"/>
      <c r="K98" s="13"/>
    </row>
    <row r="99" spans="8:11">
      <c r="H99" s="13"/>
      <c r="I99" s="13"/>
      <c r="J99" s="13"/>
      <c r="K99" s="1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codeName="Sheet46">
    <tabColor theme="9" tint="0.79998168889431442"/>
    <pageSetUpPr fitToPage="1"/>
  </sheetPr>
  <dimension ref="A1:Z858"/>
  <sheetViews>
    <sheetView zoomScaleNormal="100" workbookViewId="0"/>
  </sheetViews>
  <sheetFormatPr defaultRowHeight="15"/>
  <cols>
    <col min="1" max="2" width="4.140625" style="22" customWidth="1"/>
    <col min="3" max="3" width="47.5703125" style="22" customWidth="1"/>
    <col min="4" max="4" width="13.5703125" style="22" customWidth="1"/>
    <col min="5" max="5" width="10.5703125" style="22" customWidth="1"/>
    <col min="6" max="6" width="13.42578125" style="22" customWidth="1"/>
    <col min="7" max="7" width="10.42578125" style="22" customWidth="1"/>
    <col min="8" max="8" width="11.5703125" style="22" customWidth="1"/>
    <col min="9" max="9" width="10.28515625" style="22" customWidth="1"/>
    <col min="10" max="10" width="13.7109375" style="22" customWidth="1"/>
    <col min="11" max="11" width="11.28515625" style="22" customWidth="1"/>
    <col min="12" max="12" width="19.5703125" style="22" bestFit="1" customWidth="1"/>
    <col min="13" max="13" width="11.5703125" style="22" bestFit="1" customWidth="1"/>
    <col min="14" max="16384" width="9.140625" style="22"/>
  </cols>
  <sheetData>
    <row r="1" spans="1:16" ht="23.25">
      <c r="A1" s="27"/>
      <c r="C1" s="1" t="str">
        <f ca="1">OFFSET(Inputs_Anchor,0,G1+1)</f>
        <v xml:space="preserve">Alpine Energy </v>
      </c>
      <c r="D1" s="1"/>
      <c r="E1" s="1"/>
      <c r="F1" s="4" t="s">
        <v>109</v>
      </c>
      <c r="G1" s="5">
        <v>1</v>
      </c>
      <c r="H1" s="1"/>
      <c r="I1" s="1"/>
      <c r="J1" s="1"/>
      <c r="K1" s="1"/>
      <c r="L1" s="1"/>
      <c r="M1" s="1"/>
      <c r="N1" s="1"/>
      <c r="O1" s="1"/>
      <c r="P1" s="1"/>
    </row>
    <row r="2" spans="1:16">
      <c r="A2" s="27"/>
      <c r="L2" s="26"/>
    </row>
    <row r="3" spans="1:16" ht="23.25">
      <c r="C3" s="1" t="s">
        <v>3</v>
      </c>
      <c r="D3" s="1"/>
      <c r="E3" s="1"/>
      <c r="F3" s="1"/>
      <c r="G3" s="1"/>
      <c r="H3" s="1"/>
      <c r="I3" s="1"/>
      <c r="J3" s="1"/>
      <c r="K3" s="1"/>
      <c r="L3" s="1"/>
      <c r="M3" s="1"/>
      <c r="N3" s="1"/>
      <c r="O3" s="1"/>
      <c r="P3" s="1"/>
    </row>
    <row r="4" spans="1:16">
      <c r="A4" s="27"/>
      <c r="B4" s="27"/>
      <c r="C4" s="27"/>
      <c r="D4" s="147" t="s">
        <v>57</v>
      </c>
      <c r="E4" s="147" t="s">
        <v>58</v>
      </c>
      <c r="F4" s="27"/>
      <c r="G4" s="27"/>
      <c r="H4" s="148" t="s">
        <v>5</v>
      </c>
      <c r="I4" s="27"/>
      <c r="J4" s="27"/>
      <c r="K4" s="27"/>
      <c r="L4" s="27"/>
    </row>
    <row r="5" spans="1:16">
      <c r="A5" s="30"/>
      <c r="B5" s="27"/>
      <c r="C5" s="27"/>
      <c r="D5" s="147" t="s">
        <v>56</v>
      </c>
      <c r="E5" s="147"/>
      <c r="F5" s="27"/>
      <c r="G5" s="27"/>
      <c r="H5" s="27"/>
      <c r="I5" s="27"/>
      <c r="J5" s="27"/>
      <c r="K5" s="27"/>
      <c r="L5" s="27"/>
    </row>
    <row r="6" spans="1:16">
      <c r="A6" s="119"/>
      <c r="B6" s="50"/>
      <c r="C6" s="99" t="s">
        <v>1</v>
      </c>
      <c r="D6" s="50"/>
      <c r="E6" s="99" t="str">
        <f>Inputs!D11</f>
        <v>2009/10</v>
      </c>
      <c r="F6" s="99" t="str">
        <f>Inputs!E11</f>
        <v>2010/11</v>
      </c>
      <c r="G6" s="99" t="str">
        <f>Inputs!F11</f>
        <v>2011/12</v>
      </c>
      <c r="H6" s="99" t="str">
        <f>Inputs!G11</f>
        <v>2012/13</v>
      </c>
      <c r="I6" s="99" t="str">
        <f>Inputs!H11</f>
        <v>2013/14</v>
      </c>
      <c r="J6" s="99" t="str">
        <f>Inputs!I11</f>
        <v>2014/15</v>
      </c>
      <c r="K6" s="99"/>
      <c r="L6" s="67"/>
    </row>
    <row r="7" spans="1:16">
      <c r="A7" s="119"/>
      <c r="B7" s="50"/>
      <c r="C7" s="50" t="s">
        <v>59</v>
      </c>
      <c r="D7" s="50"/>
      <c r="E7" s="125">
        <v>1</v>
      </c>
      <c r="F7" s="125">
        <v>2</v>
      </c>
      <c r="G7" s="125">
        <v>3</v>
      </c>
      <c r="H7" s="125">
        <v>4</v>
      </c>
      <c r="I7" s="125">
        <v>5</v>
      </c>
      <c r="J7" s="125">
        <v>6</v>
      </c>
      <c r="K7" s="125"/>
      <c r="L7" s="67"/>
    </row>
    <row r="8" spans="1:16">
      <c r="A8" s="119">
        <v>1</v>
      </c>
      <c r="B8" s="149"/>
      <c r="C8" s="50" t="str">
        <f>Inputs!B20</f>
        <v>Line Revenue through Prices</v>
      </c>
      <c r="D8" s="50"/>
      <c r="E8" s="47">
        <f t="shared" ref="E8:E27" si="0">INDEX(InputsBlock,A8+1,$G$1+2)</f>
        <v>33162.997000000003</v>
      </c>
      <c r="F8" s="50"/>
      <c r="G8" s="50"/>
      <c r="H8" s="50"/>
      <c r="I8" s="50"/>
      <c r="J8" s="50"/>
      <c r="K8" s="50"/>
      <c r="L8" s="27"/>
    </row>
    <row r="9" spans="1:16">
      <c r="A9" s="119">
        <f t="shared" ref="A9:A27" si="1">A8+1</f>
        <v>2</v>
      </c>
      <c r="B9" s="149"/>
      <c r="C9" s="50" t="str">
        <f>Inputs!B21</f>
        <v>Pass-through costs</v>
      </c>
      <c r="D9" s="50"/>
      <c r="E9" s="47">
        <f t="shared" si="0"/>
        <v>169.797</v>
      </c>
      <c r="F9" s="50"/>
      <c r="G9" s="50"/>
      <c r="H9" s="50"/>
      <c r="I9" s="50"/>
      <c r="J9" s="50"/>
      <c r="K9" s="50"/>
      <c r="L9" s="27"/>
    </row>
    <row r="10" spans="1:16">
      <c r="A10" s="119">
        <f t="shared" si="1"/>
        <v>3</v>
      </c>
      <c r="B10" s="149"/>
      <c r="C10" s="50" t="str">
        <f>Inputs!B22</f>
        <v>Recoverable costs</v>
      </c>
      <c r="D10" s="50"/>
      <c r="E10" s="47">
        <f t="shared" si="0"/>
        <v>9726.8340000000007</v>
      </c>
      <c r="F10" s="50"/>
      <c r="G10" s="50"/>
      <c r="H10" s="50"/>
      <c r="I10" s="50"/>
      <c r="J10" s="50"/>
      <c r="K10" s="50"/>
      <c r="L10" s="27"/>
    </row>
    <row r="11" spans="1:16">
      <c r="A11" s="119">
        <f t="shared" si="1"/>
        <v>4</v>
      </c>
      <c r="B11" s="149"/>
      <c r="C11" s="50" t="str">
        <f>Inputs!B23</f>
        <v>Opening RAB</v>
      </c>
      <c r="D11" s="50"/>
      <c r="E11" s="47">
        <f t="shared" si="0"/>
        <v>127657.6746267683</v>
      </c>
      <c r="F11" s="50"/>
      <c r="G11" s="50"/>
      <c r="H11" s="50"/>
      <c r="I11" s="50"/>
      <c r="J11" s="50"/>
      <c r="K11" s="50"/>
      <c r="L11" s="150"/>
    </row>
    <row r="12" spans="1:16">
      <c r="A12" s="119">
        <f t="shared" si="1"/>
        <v>5</v>
      </c>
      <c r="B12" s="149"/>
      <c r="C12" s="50" t="str">
        <f>Inputs!B24</f>
        <v>Lost assets</v>
      </c>
      <c r="D12" s="50"/>
      <c r="E12" s="47">
        <f t="shared" si="0"/>
        <v>0</v>
      </c>
      <c r="F12" s="50"/>
      <c r="G12" s="50"/>
      <c r="H12" s="50"/>
      <c r="I12" s="50"/>
      <c r="J12" s="50"/>
      <c r="K12" s="50"/>
      <c r="L12" s="150"/>
    </row>
    <row r="13" spans="1:16">
      <c r="A13" s="119">
        <f t="shared" si="1"/>
        <v>6</v>
      </c>
      <c r="B13" s="149"/>
      <c r="C13" s="50" t="str">
        <f>Inputs!B25</f>
        <v>Found Assets</v>
      </c>
      <c r="D13" s="50"/>
      <c r="E13" s="47">
        <f t="shared" si="0"/>
        <v>0</v>
      </c>
      <c r="F13" s="50"/>
      <c r="G13" s="50"/>
      <c r="H13" s="50"/>
      <c r="I13" s="50"/>
      <c r="J13" s="50"/>
      <c r="K13" s="50"/>
      <c r="L13" s="150"/>
    </row>
    <row r="14" spans="1:16">
      <c r="A14" s="119">
        <f t="shared" si="1"/>
        <v>7</v>
      </c>
      <c r="B14" s="149"/>
      <c r="C14" s="50" t="str">
        <f>Inputs!B26</f>
        <v>Total Depreciation</v>
      </c>
      <c r="D14" s="50"/>
      <c r="E14" s="47">
        <f t="shared" si="0"/>
        <v>7644</v>
      </c>
      <c r="F14" s="47"/>
      <c r="G14" s="191" t="s">
        <v>280</v>
      </c>
      <c r="H14" s="50"/>
      <c r="I14" s="50"/>
      <c r="J14" s="50"/>
      <c r="K14" s="50"/>
      <c r="L14" s="27"/>
    </row>
    <row r="15" spans="1:16">
      <c r="A15" s="119">
        <f t="shared" si="1"/>
        <v>8</v>
      </c>
      <c r="B15" s="149"/>
      <c r="C15" s="50" t="str">
        <f>Inputs!B27</f>
        <v>RAB of disposed assets</v>
      </c>
      <c r="D15" s="50"/>
      <c r="E15" s="47">
        <f t="shared" si="0"/>
        <v>53.023000000000003</v>
      </c>
      <c r="F15" s="50"/>
      <c r="G15" s="175" t="s">
        <v>281</v>
      </c>
      <c r="H15" s="50"/>
      <c r="I15" s="50"/>
      <c r="J15" s="50"/>
      <c r="K15" s="50"/>
      <c r="L15" s="27"/>
    </row>
    <row r="16" spans="1:16">
      <c r="A16" s="119">
        <f t="shared" si="1"/>
        <v>9</v>
      </c>
      <c r="B16" s="149"/>
      <c r="C16" s="50" t="str">
        <f>Inputs!B28</f>
        <v>Discretionary discounts &amp;  rebates</v>
      </c>
      <c r="D16" s="50"/>
      <c r="E16" s="47">
        <f t="shared" si="0"/>
        <v>0</v>
      </c>
      <c r="F16" s="50"/>
      <c r="G16" s="175" t="s">
        <v>282</v>
      </c>
      <c r="H16" s="50"/>
      <c r="I16" s="50"/>
      <c r="J16" s="50"/>
      <c r="K16" s="50"/>
      <c r="L16" s="27"/>
    </row>
    <row r="17" spans="1:22">
      <c r="A17" s="119">
        <f t="shared" si="1"/>
        <v>10</v>
      </c>
      <c r="B17" s="149"/>
      <c r="C17" s="50" t="str">
        <f>Inputs!B29</f>
        <v>Tax Depreciation</v>
      </c>
      <c r="D17" s="50"/>
      <c r="E17" s="47">
        <f t="shared" si="0"/>
        <v>6432</v>
      </c>
      <c r="F17" s="50"/>
      <c r="G17" s="175" t="s">
        <v>283</v>
      </c>
      <c r="H17" s="50"/>
      <c r="I17" s="50"/>
      <c r="J17" s="50"/>
      <c r="K17" s="50"/>
      <c r="L17" s="27"/>
    </row>
    <row r="18" spans="1:22">
      <c r="A18" s="119">
        <f t="shared" si="1"/>
        <v>11</v>
      </c>
      <c r="B18" s="149"/>
      <c r="C18" s="50" t="str">
        <f>Inputs!B30</f>
        <v>Opening regulatory tax asset value</v>
      </c>
      <c r="D18" s="50"/>
      <c r="E18" s="47">
        <f t="shared" si="0"/>
        <v>60952</v>
      </c>
      <c r="F18" s="50"/>
      <c r="G18" s="50"/>
      <c r="H18" s="50"/>
      <c r="I18" s="50"/>
      <c r="J18" s="50"/>
      <c r="K18" s="50"/>
      <c r="L18" s="27"/>
    </row>
    <row r="19" spans="1:22">
      <c r="A19" s="119">
        <f t="shared" si="1"/>
        <v>12</v>
      </c>
      <c r="B19" s="149"/>
      <c r="C19" s="50" t="str">
        <f>Inputs!B31</f>
        <v>Weighted Average Remaining Life at year-end</v>
      </c>
      <c r="D19" s="50"/>
      <c r="E19" s="47">
        <f t="shared" si="0"/>
        <v>34.249324233102719</v>
      </c>
      <c r="F19" s="50"/>
      <c r="G19" s="50"/>
      <c r="H19" s="50"/>
      <c r="I19" s="50"/>
      <c r="J19" s="50"/>
      <c r="K19" s="50"/>
      <c r="L19" s="27"/>
    </row>
    <row r="20" spans="1:22">
      <c r="A20" s="119">
        <f t="shared" si="1"/>
        <v>13</v>
      </c>
      <c r="B20" s="149"/>
      <c r="C20" s="50" t="str">
        <f>Inputs!B32</f>
        <v>Term Credit Spread Differential Allowance</v>
      </c>
      <c r="D20" s="50"/>
      <c r="E20" s="47">
        <f t="shared" si="0"/>
        <v>0</v>
      </c>
      <c r="F20" s="50"/>
      <c r="G20" s="50"/>
      <c r="H20" s="50"/>
      <c r="I20" s="50"/>
      <c r="J20" s="50"/>
      <c r="K20" s="50"/>
      <c r="L20" s="27"/>
    </row>
    <row r="21" spans="1:22">
      <c r="A21" s="119">
        <f t="shared" si="1"/>
        <v>14</v>
      </c>
      <c r="B21" s="149"/>
      <c r="C21" s="50" t="s">
        <v>98</v>
      </c>
      <c r="D21" s="50"/>
      <c r="E21" s="47">
        <f t="shared" si="0"/>
        <v>9981.0630000000001</v>
      </c>
      <c r="F21" s="50"/>
      <c r="G21" s="50"/>
      <c r="H21" s="50"/>
      <c r="I21" s="50"/>
      <c r="J21" s="50"/>
      <c r="K21" s="50"/>
      <c r="L21" s="27"/>
    </row>
    <row r="22" spans="1:22">
      <c r="A22" s="119">
        <f t="shared" si="1"/>
        <v>15</v>
      </c>
      <c r="B22" s="149"/>
      <c r="C22" s="50" t="str">
        <f>Inputs!B34</f>
        <v>Operating expenditure 2009/10</v>
      </c>
      <c r="D22" s="50"/>
      <c r="E22" s="47">
        <f t="shared" si="0"/>
        <v>10160.846</v>
      </c>
      <c r="F22" s="50"/>
      <c r="G22" s="50"/>
      <c r="H22" s="50"/>
      <c r="I22" s="50"/>
      <c r="J22" s="50"/>
      <c r="K22" s="50"/>
      <c r="L22" s="27"/>
    </row>
    <row r="23" spans="1:22">
      <c r="A23" s="119">
        <f t="shared" si="1"/>
        <v>16</v>
      </c>
      <c r="B23" s="149"/>
      <c r="C23" s="50" t="str">
        <f>Inputs!B35</f>
        <v>Other reg income (avg of 2008 to 11, in 2009/10 $)</v>
      </c>
      <c r="D23" s="50"/>
      <c r="E23" s="47">
        <f t="shared" si="0"/>
        <v>6.1865778081198419</v>
      </c>
      <c r="F23" s="50"/>
      <c r="G23" s="50"/>
      <c r="H23" s="50"/>
      <c r="I23" s="50"/>
      <c r="J23" s="50"/>
      <c r="K23" s="49"/>
      <c r="L23" s="27"/>
    </row>
    <row r="24" spans="1:22">
      <c r="A24" s="119">
        <f t="shared" si="1"/>
        <v>17</v>
      </c>
      <c r="B24" s="149"/>
      <c r="C24" s="119" t="str">
        <f>Inputs!B36</f>
        <v>Allowable notional revenue 2012/13</v>
      </c>
      <c r="D24" s="50"/>
      <c r="E24" s="47">
        <f t="shared" si="0"/>
        <v>26118.569</v>
      </c>
      <c r="F24" s="50"/>
      <c r="G24" s="50"/>
      <c r="H24" s="50"/>
      <c r="I24" s="50"/>
      <c r="J24" s="50"/>
      <c r="K24" s="49"/>
      <c r="L24" s="27"/>
    </row>
    <row r="25" spans="1:22">
      <c r="A25" s="119">
        <f t="shared" si="1"/>
        <v>18</v>
      </c>
      <c r="B25" s="149"/>
      <c r="C25" s="119" t="str">
        <f>Inputs!B37</f>
        <v>Pass-through costs 2012/13</v>
      </c>
      <c r="D25" s="50"/>
      <c r="E25" s="47">
        <f t="shared" si="0"/>
        <v>12419.433000000001</v>
      </c>
      <c r="F25" s="50"/>
      <c r="G25" s="50"/>
      <c r="H25" s="50"/>
      <c r="I25" s="50"/>
      <c r="J25" s="50"/>
      <c r="K25" s="49"/>
      <c r="L25" s="27"/>
    </row>
    <row r="26" spans="1:22">
      <c r="A26" s="119">
        <f t="shared" si="1"/>
        <v>19</v>
      </c>
      <c r="B26" s="50"/>
      <c r="C26" s="50" t="str">
        <f>Inputs!B38</f>
        <v>Alternate X value to 2014/15</v>
      </c>
      <c r="D26" s="49"/>
      <c r="E26" s="151">
        <f t="shared" si="0"/>
        <v>-0.1</v>
      </c>
      <c r="F26" s="50"/>
      <c r="G26" s="50"/>
      <c r="H26" s="50"/>
      <c r="I26" s="50"/>
      <c r="J26" s="50"/>
      <c r="K26" s="49"/>
      <c r="L26" s="27"/>
    </row>
    <row r="27" spans="1:22">
      <c r="A27" s="119">
        <f t="shared" si="1"/>
        <v>20</v>
      </c>
      <c r="B27" s="50"/>
      <c r="C27" s="50" t="str">
        <f>Inputs!B39</f>
        <v>Cap on growth of maximum allowable revenue</v>
      </c>
      <c r="D27" s="50"/>
      <c r="E27" s="151">
        <f t="shared" si="0"/>
        <v>0.1</v>
      </c>
      <c r="F27" s="50"/>
      <c r="G27" s="50"/>
      <c r="H27" s="50"/>
      <c r="I27" s="50"/>
      <c r="J27" s="50"/>
      <c r="K27" s="49"/>
      <c r="L27" s="27"/>
    </row>
    <row r="28" spans="1:22">
      <c r="A28" s="119"/>
      <c r="B28" s="149"/>
      <c r="C28" s="50" t="s">
        <v>30</v>
      </c>
      <c r="D28" s="50"/>
      <c r="E28" s="130">
        <f>E22</f>
        <v>10160.846</v>
      </c>
      <c r="F28" s="47">
        <f>INDEX(OpexBlock,F7-1,$G$1)</f>
        <v>10486.056315275446</v>
      </c>
      <c r="G28" s="47">
        <f>INDEX(OpexBlock,G7-1,$G$1)</f>
        <v>10769.677272781286</v>
      </c>
      <c r="H28" s="47">
        <f>INDEX(OpexBlock,H7-1,$G$1)</f>
        <v>10999.83098946927</v>
      </c>
      <c r="I28" s="47">
        <f>INDEX(OpexBlock,I7-1,$G$1)</f>
        <v>11280.770356096045</v>
      </c>
      <c r="J28" s="47">
        <f>INDEX(OpexBlock,J7-1,$G$1)</f>
        <v>11594.623029314122</v>
      </c>
      <c r="K28" s="49"/>
      <c r="L28" s="50"/>
      <c r="M28" s="15"/>
    </row>
    <row r="29" spans="1:22">
      <c r="A29" s="119"/>
      <c r="B29" s="149"/>
      <c r="C29" s="50" t="s">
        <v>158</v>
      </c>
      <c r="D29" s="47"/>
      <c r="E29" s="130">
        <f>E21</f>
        <v>9981.0630000000001</v>
      </c>
      <c r="F29" s="47">
        <f>INDEX(CommAssetsBlock,F7-1,$G$1)</f>
        <v>24098.562386393281</v>
      </c>
      <c r="G29" s="47">
        <f>INDEX(CommAssetsBlock,G7-1,$G$1)</f>
        <v>22169.397532783973</v>
      </c>
      <c r="H29" s="47">
        <f>INDEX(CommAssetsBlock,H7-1,$G$1)</f>
        <v>29340.295849899445</v>
      </c>
      <c r="I29" s="47">
        <f>INDEX(CommAssetsBlock,I7-1,$G$1)</f>
        <v>20179.4801416298</v>
      </c>
      <c r="J29" s="47">
        <f>INDEX(CommAssetsBlock,J7-1,$G$1)</f>
        <v>13595.831009777021</v>
      </c>
      <c r="K29" s="49"/>
      <c r="L29" s="50"/>
      <c r="M29" s="15"/>
    </row>
    <row r="30" spans="1:22">
      <c r="A30" s="119"/>
      <c r="B30" s="149"/>
      <c r="C30" s="50" t="s">
        <v>200</v>
      </c>
      <c r="D30" s="47"/>
      <c r="E30" s="49"/>
      <c r="F30" s="110">
        <f>INDEX(ConstPriceRevGrwth,F$7-1,$G$1)</f>
        <v>5.4803237473893323E-3</v>
      </c>
      <c r="G30" s="110">
        <f>INDEX(ConstPriceRevGrwth,G$7-1,$G$1)</f>
        <v>5.4803237473893323E-3</v>
      </c>
      <c r="H30" s="110">
        <f>INDEX(ConstPriceRevGrwth,H$7-1,$G$1)</f>
        <v>5.4803237473893323E-3</v>
      </c>
      <c r="I30" s="110">
        <f>INDEX(ConstPriceRevGrwth,I$7-1,$G$1)</f>
        <v>5.4803237473893323E-3</v>
      </c>
      <c r="J30" s="110">
        <f>INDEX(ConstPriceRevGrwth,J$7-1,$G$1)</f>
        <v>5.4803237473893323E-3</v>
      </c>
      <c r="K30" s="49"/>
      <c r="L30" s="50"/>
      <c r="M30" s="15"/>
      <c r="U30" s="15"/>
      <c r="V30" s="15"/>
    </row>
    <row r="31" spans="1:22" ht="15.75" thickBot="1">
      <c r="A31" s="119"/>
      <c r="B31" s="149"/>
      <c r="C31" s="50"/>
      <c r="D31" s="47"/>
      <c r="E31" s="49"/>
      <c r="F31" s="50"/>
      <c r="G31" s="49"/>
      <c r="H31" s="49"/>
      <c r="I31" s="49"/>
      <c r="J31" s="49"/>
      <c r="K31" s="49"/>
      <c r="L31" s="27"/>
      <c r="M31" s="15"/>
      <c r="U31" s="15"/>
      <c r="V31" s="15"/>
    </row>
    <row r="32" spans="1:22" ht="16.5" thickBot="1">
      <c r="A32" s="119"/>
      <c r="B32" s="149"/>
      <c r="C32" s="121" t="s">
        <v>182</v>
      </c>
      <c r="D32" s="47"/>
      <c r="E32" s="49"/>
      <c r="F32" s="50"/>
      <c r="G32" s="49"/>
      <c r="H32" s="49"/>
      <c r="I32" s="49"/>
      <c r="J32" s="49"/>
      <c r="K32" s="49"/>
      <c r="L32" s="195" t="s">
        <v>322</v>
      </c>
      <c r="M32" s="111"/>
      <c r="N32" s="34"/>
      <c r="O32" s="34"/>
      <c r="P32" s="34"/>
      <c r="Q32" s="34"/>
      <c r="R32" s="34"/>
      <c r="S32" s="34"/>
      <c r="T32" s="34"/>
      <c r="U32" s="34"/>
      <c r="V32" s="35"/>
    </row>
    <row r="33" spans="1:26">
      <c r="A33" s="119"/>
      <c r="B33" s="149"/>
      <c r="C33" s="122" t="str">
        <f>Inputs!B13</f>
        <v>2009 ΔCPI, 2 index, no lag, no GST adjustment</v>
      </c>
      <c r="D33" s="47"/>
      <c r="E33" s="49">
        <f>Inputs!D13</f>
        <v>1.7233850022212005E-2</v>
      </c>
      <c r="F33" s="49">
        <f>Inputs!E13</f>
        <v>1.9812209526758329E-2</v>
      </c>
      <c r="G33" s="49">
        <f>Inputs!F13</f>
        <v>2.4339880629970168E-2</v>
      </c>
      <c r="H33" s="49">
        <f>Inputs!G13</f>
        <v>2.2893253753313525E-2</v>
      </c>
      <c r="I33" s="49">
        <f>Inputs!H13</f>
        <v>2.144662687665666E-2</v>
      </c>
      <c r="J33" s="49">
        <f>Inputs!I13</f>
        <v>2.0000000000000018E-2</v>
      </c>
      <c r="K33" s="50"/>
      <c r="L33" s="196" t="s">
        <v>194</v>
      </c>
      <c r="M33" s="50"/>
      <c r="N33" s="15"/>
      <c r="O33" s="15"/>
      <c r="P33" s="15"/>
      <c r="Q33" s="15"/>
      <c r="R33" s="15"/>
      <c r="S33" s="15"/>
      <c r="T33" s="15"/>
      <c r="U33" s="15"/>
      <c r="V33" s="29"/>
    </row>
    <row r="34" spans="1:26">
      <c r="A34" s="119"/>
      <c r="B34" s="149"/>
      <c r="C34" s="122" t="str">
        <f>Inputs!B14</f>
        <v>2012 ΔCPI, 2 index, no lag, no GST adjustment</v>
      </c>
      <c r="D34" s="47"/>
      <c r="E34" s="49"/>
      <c r="F34" s="49">
        <f>Inputs!E14</f>
        <v>4.4667274384685429E-2</v>
      </c>
      <c r="G34" s="49">
        <f>Inputs!F14</f>
        <v>1.5706806282722585E-2</v>
      </c>
      <c r="H34" s="49">
        <f>Inputs!G14</f>
        <v>1.8041237113401998E-2</v>
      </c>
      <c r="I34" s="49">
        <f>Inputs!H14</f>
        <v>1.7721518987341867E-2</v>
      </c>
      <c r="J34" s="49">
        <f>Inputs!I14</f>
        <v>2.3217247097844007E-2</v>
      </c>
      <c r="K34" s="50"/>
      <c r="L34" s="196" t="s">
        <v>320</v>
      </c>
      <c r="M34" s="50"/>
      <c r="N34" s="15"/>
      <c r="O34" s="15"/>
      <c r="P34" s="15"/>
      <c r="Q34" s="15"/>
      <c r="R34" s="15"/>
      <c r="S34" s="15"/>
      <c r="T34" s="15"/>
      <c r="U34" s="15"/>
      <c r="V34" s="29"/>
    </row>
    <row r="35" spans="1:26">
      <c r="A35" s="119"/>
      <c r="B35" s="149"/>
      <c r="C35" s="122" t="str">
        <f>Inputs!B15</f>
        <v>2009 ΔCPI, 8 index, lagged, no GST adjustment</v>
      </c>
      <c r="D35" s="47"/>
      <c r="E35" s="49"/>
      <c r="F35" s="49"/>
      <c r="G35" s="49">
        <f>Inputs!F15</f>
        <v>1.6991832174541255E-2</v>
      </c>
      <c r="H35" s="49">
        <f>Inputs!G15</f>
        <v>2.0741514169093644E-2</v>
      </c>
      <c r="I35" s="49">
        <f>Inputs!H15</f>
        <v>2.3759818812291389E-2</v>
      </c>
      <c r="J35" s="49">
        <f>Inputs!I15</f>
        <v>2.2164443909808984E-2</v>
      </c>
      <c r="K35" s="50"/>
      <c r="L35" s="196" t="s">
        <v>321</v>
      </c>
      <c r="M35" s="50"/>
      <c r="N35" s="15"/>
      <c r="O35" s="15"/>
      <c r="P35" s="15"/>
      <c r="Q35" s="15"/>
      <c r="R35" s="15"/>
      <c r="S35" s="15"/>
      <c r="T35" s="15"/>
      <c r="U35" s="15"/>
      <c r="V35" s="29"/>
    </row>
    <row r="36" spans="1:26">
      <c r="A36" s="149"/>
      <c r="B36" s="149"/>
      <c r="C36" s="122" t="str">
        <f>Inputs!B16</f>
        <v>2012 ΔCPI, 8 index, lagged, no GST adjustment</v>
      </c>
      <c r="D36" s="50"/>
      <c r="E36" s="49"/>
      <c r="F36" s="49">
        <f>Inputs!E16</f>
        <v>2.465039108793543E-2</v>
      </c>
      <c r="G36" s="49">
        <f>Inputs!F16</f>
        <v>1.7811704834605591E-2</v>
      </c>
      <c r="H36" s="49">
        <f>Inputs!G16</f>
        <v>4.5909090909090899E-2</v>
      </c>
      <c r="I36" s="49">
        <f>Inputs!H16</f>
        <v>1.2820512820512775E-2</v>
      </c>
      <c r="J36" s="49">
        <f>Inputs!I16</f>
        <v>1.9725095732576747E-2</v>
      </c>
      <c r="K36" s="50"/>
      <c r="L36" s="196" t="s">
        <v>365</v>
      </c>
      <c r="M36" s="50"/>
      <c r="N36" s="15"/>
      <c r="O36" s="15"/>
      <c r="P36" s="15"/>
      <c r="Q36" s="15"/>
      <c r="R36" s="15"/>
      <c r="S36" s="15"/>
      <c r="T36" s="15"/>
      <c r="U36" s="15"/>
      <c r="V36" s="29"/>
    </row>
    <row r="37" spans="1:26" ht="15.75" thickBot="1">
      <c r="A37" s="149"/>
      <c r="B37" s="149"/>
      <c r="C37" s="122" t="str">
        <f>Inputs!B17</f>
        <v>2012 ΔCPI, 8 index, lagged, with GST adjustment</v>
      </c>
      <c r="D37" s="50"/>
      <c r="E37" s="49"/>
      <c r="F37" s="112">
        <f>Inputs!E17</f>
        <v>2.4650391087935652E-2</v>
      </c>
      <c r="G37" s="112">
        <f>Inputs!F17</f>
        <v>1.7811704834605369E-2</v>
      </c>
      <c r="H37" s="112">
        <f>Inputs!G17</f>
        <v>2.5401069518716568E-2</v>
      </c>
      <c r="I37" s="49">
        <f>Inputs!H17</f>
        <v>1.2820512820512775E-2</v>
      </c>
      <c r="J37" s="49">
        <f>Inputs!I17</f>
        <v>1.9725095732576747E-2</v>
      </c>
      <c r="K37" s="50"/>
      <c r="L37" s="219" t="s">
        <v>409</v>
      </c>
      <c r="M37" s="220"/>
      <c r="N37" s="220"/>
      <c r="O37" s="220"/>
      <c r="P37" s="220"/>
      <c r="Q37" s="220"/>
      <c r="R37" s="220"/>
      <c r="S37" s="220"/>
      <c r="T37" s="220"/>
      <c r="U37" s="220"/>
      <c r="V37" s="221"/>
    </row>
    <row r="38" spans="1:26">
      <c r="A38" s="149"/>
      <c r="B38" s="149"/>
      <c r="C38" s="122"/>
      <c r="D38" s="50"/>
      <c r="E38" s="49"/>
      <c r="F38" s="112"/>
      <c r="G38" s="112"/>
      <c r="H38" s="112"/>
      <c r="I38" s="49"/>
      <c r="J38" s="49"/>
      <c r="K38" s="49"/>
      <c r="L38" s="49"/>
      <c r="M38" s="49"/>
      <c r="N38" s="49"/>
      <c r="O38" s="49"/>
      <c r="P38" s="49"/>
      <c r="Q38" s="49"/>
      <c r="R38" s="49"/>
      <c r="S38" s="49"/>
      <c r="T38" s="49"/>
      <c r="U38" s="49"/>
      <c r="V38" s="49"/>
      <c r="W38" s="49"/>
      <c r="X38" s="49"/>
      <c r="Y38" s="49"/>
      <c r="Z38" s="49"/>
    </row>
    <row r="39" spans="1:26" ht="23.25">
      <c r="A39" s="50"/>
      <c r="B39" s="50"/>
      <c r="C39" s="1" t="s">
        <v>4</v>
      </c>
      <c r="D39" s="153" t="s">
        <v>36</v>
      </c>
      <c r="E39" s="153" t="s">
        <v>35</v>
      </c>
      <c r="F39" s="152"/>
      <c r="G39" s="152"/>
      <c r="H39" s="152"/>
      <c r="I39" s="152"/>
      <c r="J39" s="152"/>
      <c r="K39" s="152"/>
      <c r="L39" s="152"/>
      <c r="M39" s="152"/>
      <c r="N39" s="194"/>
      <c r="O39" s="194"/>
      <c r="P39" s="194"/>
    </row>
    <row r="40" spans="1:26">
      <c r="A40" s="50"/>
      <c r="B40" s="50"/>
      <c r="C40" s="50"/>
      <c r="D40" s="50"/>
      <c r="E40" s="154" t="s">
        <v>183</v>
      </c>
      <c r="F40" s="154" t="s">
        <v>184</v>
      </c>
      <c r="G40" s="154" t="s">
        <v>185</v>
      </c>
      <c r="H40" s="154" t="s">
        <v>186</v>
      </c>
      <c r="I40" s="154" t="s">
        <v>187</v>
      </c>
      <c r="J40" s="154" t="s">
        <v>188</v>
      </c>
      <c r="K40" s="154"/>
      <c r="L40" s="154"/>
      <c r="M40" s="48"/>
    </row>
    <row r="41" spans="1:26">
      <c r="A41" s="50"/>
      <c r="B41" s="50"/>
      <c r="C41" s="50" t="s">
        <v>129</v>
      </c>
      <c r="D41" s="50"/>
      <c r="E41" s="49">
        <f t="shared" ref="E41:J41" si="2">E33</f>
        <v>1.7233850022212005E-2</v>
      </c>
      <c r="F41" s="49">
        <f t="shared" si="2"/>
        <v>1.9812209526758329E-2</v>
      </c>
      <c r="G41" s="49">
        <f t="shared" si="2"/>
        <v>2.4339880629970168E-2</v>
      </c>
      <c r="H41" s="49">
        <f t="shared" si="2"/>
        <v>2.2893253753313525E-2</v>
      </c>
      <c r="I41" s="49">
        <f t="shared" si="2"/>
        <v>2.144662687665666E-2</v>
      </c>
      <c r="J41" s="49">
        <f t="shared" si="2"/>
        <v>2.0000000000000018E-2</v>
      </c>
      <c r="K41" s="51"/>
      <c r="L41" s="47"/>
      <c r="M41" s="15"/>
    </row>
    <row r="42" spans="1:26">
      <c r="A42" s="50"/>
      <c r="B42" s="50"/>
      <c r="C42" s="50" t="s">
        <v>163</v>
      </c>
      <c r="D42" s="50"/>
      <c r="E42" s="49"/>
      <c r="F42" s="49">
        <f>F34</f>
        <v>4.4667274384685429E-2</v>
      </c>
      <c r="G42" s="49">
        <f>G34</f>
        <v>1.5706806282722585E-2</v>
      </c>
      <c r="H42" s="49">
        <f>H34</f>
        <v>1.8041237113401998E-2</v>
      </c>
      <c r="I42" s="49">
        <f>I34</f>
        <v>1.7721518987341867E-2</v>
      </c>
      <c r="J42" s="49">
        <f>J34</f>
        <v>2.3217247097844007E-2</v>
      </c>
      <c r="K42" s="51"/>
      <c r="L42" s="47"/>
      <c r="M42" s="15"/>
    </row>
    <row r="43" spans="1:26">
      <c r="A43" s="50"/>
      <c r="B43" s="50"/>
      <c r="C43" s="50" t="s">
        <v>122</v>
      </c>
      <c r="D43" s="50"/>
      <c r="E43" s="130">
        <f>E23</f>
        <v>6.1865778081198419</v>
      </c>
      <c r="F43" s="47">
        <f>E43*(1+F42)</f>
        <v>6.4629153765773371</v>
      </c>
      <c r="G43" s="47">
        <f>F43*(1+G42)</f>
        <v>6.5644271364188667</v>
      </c>
      <c r="H43" s="47">
        <f>G43*(1+H42)</f>
        <v>6.6828575229006502</v>
      </c>
      <c r="I43" s="47">
        <f>H43*(1+I42)</f>
        <v>6.8012879093824345</v>
      </c>
      <c r="J43" s="47">
        <f>I43*(1+J42)</f>
        <v>6.9591950913581453</v>
      </c>
      <c r="K43" s="50"/>
      <c r="L43" s="47"/>
      <c r="M43" s="15"/>
    </row>
    <row r="44" spans="1:26">
      <c r="A44" s="50"/>
      <c r="B44" s="50"/>
      <c r="C44" s="50"/>
      <c r="D44" s="50"/>
      <c r="E44" s="51"/>
      <c r="F44" s="51"/>
      <c r="G44" s="51"/>
      <c r="H44" s="51"/>
      <c r="I44" s="51"/>
      <c r="J44" s="51"/>
      <c r="K44" s="51"/>
      <c r="L44" s="27"/>
      <c r="M44" s="15"/>
    </row>
    <row r="45" spans="1:26" ht="21">
      <c r="A45" s="50"/>
      <c r="B45" s="50"/>
      <c r="C45" s="155" t="s">
        <v>69</v>
      </c>
      <c r="D45" s="50"/>
      <c r="E45" s="50"/>
      <c r="F45" s="51"/>
      <c r="G45" s="51"/>
      <c r="H45" s="51"/>
      <c r="I45" s="51"/>
      <c r="J45" s="51"/>
      <c r="K45" s="51"/>
      <c r="L45" s="27"/>
      <c r="M45" s="15"/>
    </row>
    <row r="46" spans="1:26" ht="18">
      <c r="A46" s="50"/>
      <c r="B46" s="50"/>
      <c r="C46" s="50" t="s">
        <v>70</v>
      </c>
      <c r="D46" s="156">
        <f>'Timing Assumptions'!C23</f>
        <v>1.0428084742793051</v>
      </c>
      <c r="E46" s="50"/>
      <c r="F46" s="51"/>
      <c r="G46" s="51"/>
      <c r="H46" s="51"/>
      <c r="I46" s="51"/>
      <c r="J46" s="51"/>
      <c r="K46" s="51"/>
      <c r="L46" s="51"/>
      <c r="M46" s="15"/>
    </row>
    <row r="47" spans="1:26" ht="18">
      <c r="A47" s="50"/>
      <c r="B47" s="50"/>
      <c r="C47" s="50" t="s">
        <v>71</v>
      </c>
      <c r="D47" s="156">
        <f>'Timing Assumptions'!C24</f>
        <v>1.0428084742793051</v>
      </c>
      <c r="E47" s="50"/>
      <c r="F47" s="51"/>
      <c r="G47" s="51"/>
      <c r="H47" s="51"/>
      <c r="I47" s="51"/>
      <c r="J47" s="51"/>
      <c r="K47" s="51"/>
      <c r="L47" s="51"/>
      <c r="M47" s="15"/>
    </row>
    <row r="48" spans="1:26" ht="18">
      <c r="A48" s="50"/>
      <c r="B48" s="50"/>
      <c r="C48" s="50" t="s">
        <v>125</v>
      </c>
      <c r="D48" s="156">
        <f>'Timing Assumptions'!C25</f>
        <v>1.0428084742793051</v>
      </c>
      <c r="E48" s="50"/>
      <c r="F48" s="50"/>
      <c r="G48" s="51"/>
      <c r="H48" s="51"/>
      <c r="I48" s="51"/>
      <c r="J48" s="51"/>
      <c r="K48" s="95"/>
      <c r="L48" s="51"/>
      <c r="M48" s="15"/>
    </row>
    <row r="49" spans="1:16" ht="18">
      <c r="A49" s="50"/>
      <c r="B49" s="50"/>
      <c r="C49" s="50" t="s">
        <v>123</v>
      </c>
      <c r="D49" s="156">
        <f>'Timing Assumptions'!C26</f>
        <v>1.0428084742793051</v>
      </c>
      <c r="E49" s="50"/>
      <c r="F49" s="50"/>
      <c r="G49" s="51"/>
      <c r="H49" s="51"/>
      <c r="I49" s="51"/>
      <c r="J49" s="51"/>
      <c r="K49" s="95"/>
      <c r="L49" s="51"/>
      <c r="M49" s="15"/>
    </row>
    <row r="50" spans="1:16" ht="18">
      <c r="A50" s="50"/>
      <c r="B50" s="50"/>
      <c r="C50" s="50" t="s">
        <v>72</v>
      </c>
      <c r="D50" s="156">
        <f>'Timing Assumptions'!C27</f>
        <v>1.0346743941931567</v>
      </c>
      <c r="E50" s="51"/>
      <c r="F50" s="51"/>
      <c r="G50" s="51"/>
      <c r="H50" s="51"/>
      <c r="I50" s="50"/>
      <c r="J50" s="50"/>
      <c r="K50" s="95"/>
      <c r="L50" s="51"/>
      <c r="M50" s="15"/>
    </row>
    <row r="51" spans="1:16">
      <c r="A51" s="50"/>
      <c r="B51" s="50"/>
      <c r="C51" s="50"/>
      <c r="D51" s="50"/>
      <c r="E51" s="50"/>
      <c r="F51" s="50"/>
      <c r="G51" s="50"/>
      <c r="H51" s="50"/>
      <c r="I51" s="50"/>
      <c r="J51" s="50"/>
      <c r="K51" s="95"/>
      <c r="L51" s="27"/>
      <c r="M51" s="15"/>
    </row>
    <row r="52" spans="1:16" ht="21">
      <c r="A52" s="50"/>
      <c r="B52" s="50"/>
      <c r="C52" s="155" t="s">
        <v>105</v>
      </c>
      <c r="D52" s="155"/>
      <c r="E52" s="155"/>
      <c r="F52" s="155"/>
      <c r="G52" s="155"/>
      <c r="H52" s="155"/>
      <c r="I52" s="155"/>
      <c r="J52" s="155"/>
      <c r="K52" s="155"/>
      <c r="L52" s="157"/>
      <c r="M52" s="52"/>
      <c r="N52" s="2"/>
      <c r="O52" s="2"/>
      <c r="P52" s="2"/>
    </row>
    <row r="53" spans="1:16" ht="15.75">
      <c r="A53" s="50"/>
      <c r="B53" s="50"/>
      <c r="C53" s="158" t="s">
        <v>37</v>
      </c>
      <c r="D53" s="50"/>
      <c r="E53" s="159">
        <f>Inputs!D12</f>
        <v>0.3</v>
      </c>
      <c r="F53" s="159">
        <f>Inputs!E12</f>
        <v>0.3</v>
      </c>
      <c r="G53" s="159">
        <f>Inputs!F12</f>
        <v>0.28000000000000003</v>
      </c>
      <c r="H53" s="159">
        <f>Inputs!G12</f>
        <v>0.28000000000000003</v>
      </c>
      <c r="I53" s="159">
        <f>Inputs!H12</f>
        <v>0.28000000000000003</v>
      </c>
      <c r="J53" s="159">
        <f>Inputs!I12</f>
        <v>0.28000000000000003</v>
      </c>
      <c r="K53" s="95"/>
      <c r="L53" s="50"/>
      <c r="M53" s="15"/>
    </row>
    <row r="54" spans="1:16">
      <c r="A54" s="50"/>
      <c r="B54" s="50"/>
      <c r="C54" s="50" t="s">
        <v>38</v>
      </c>
      <c r="D54" s="50"/>
      <c r="E54" s="160">
        <f>E11/E14</f>
        <v>16.700376063156501</v>
      </c>
      <c r="F54" s="161">
        <f>E54-1</f>
        <v>15.700376063156501</v>
      </c>
      <c r="G54" s="161">
        <f>F54-1</f>
        <v>14.700376063156501</v>
      </c>
      <c r="H54" s="161">
        <f>G54-1</f>
        <v>13.700376063156501</v>
      </c>
      <c r="I54" s="161">
        <f>H54-1</f>
        <v>12.700376063156501</v>
      </c>
      <c r="J54" s="161">
        <f>I54-1</f>
        <v>11.700376063156501</v>
      </c>
      <c r="K54" s="95"/>
      <c r="L54" s="50"/>
      <c r="M54" s="15"/>
    </row>
    <row r="55" spans="1:16">
      <c r="A55" s="50"/>
      <c r="B55" s="50"/>
      <c r="C55" s="50" t="s">
        <v>159</v>
      </c>
      <c r="D55" s="50"/>
      <c r="E55" s="156"/>
      <c r="F55" s="49">
        <f>F34</f>
        <v>4.4667274384685429E-2</v>
      </c>
      <c r="G55" s="49">
        <f>G34</f>
        <v>1.5706806282722585E-2</v>
      </c>
      <c r="H55" s="49">
        <f>H34</f>
        <v>1.8041237113401998E-2</v>
      </c>
      <c r="I55" s="49">
        <f>I34</f>
        <v>1.7721518987341867E-2</v>
      </c>
      <c r="J55" s="49">
        <f>J34</f>
        <v>2.3217247097844007E-2</v>
      </c>
      <c r="K55" s="95"/>
      <c r="L55" s="50"/>
      <c r="M55" s="15"/>
    </row>
    <row r="56" spans="1:16">
      <c r="A56" s="50"/>
      <c r="B56" s="50"/>
      <c r="C56" s="50" t="s">
        <v>40</v>
      </c>
      <c r="D56" s="50"/>
      <c r="E56" s="129">
        <f>E15</f>
        <v>53.023000000000003</v>
      </c>
      <c r="F56" s="32">
        <f>E56*(1+F55)</f>
        <v>55.391392889699176</v>
      </c>
      <c r="G56" s="32">
        <f>F56*(1+G55)</f>
        <v>56.261414767547862</v>
      </c>
      <c r="H56" s="32">
        <f>G56*(1+H55)</f>
        <v>57.276440291704652</v>
      </c>
      <c r="I56" s="32">
        <f>H56*(1+I55)</f>
        <v>58.29146581586145</v>
      </c>
      <c r="J56" s="32">
        <f>I56*(1+J55)</f>
        <v>59.644833181403833</v>
      </c>
      <c r="K56" s="95"/>
      <c r="L56" s="50"/>
      <c r="M56" s="15"/>
    </row>
    <row r="57" spans="1:16">
      <c r="A57" s="50"/>
      <c r="B57" s="50"/>
      <c r="C57" s="50"/>
      <c r="D57" s="122"/>
      <c r="E57" s="50"/>
      <c r="F57" s="50"/>
      <c r="G57" s="50"/>
      <c r="H57" s="50"/>
      <c r="I57" s="50"/>
      <c r="J57" s="50"/>
      <c r="K57" s="95"/>
      <c r="L57" s="27"/>
      <c r="M57" s="15"/>
    </row>
    <row r="58" spans="1:16" ht="15.75">
      <c r="A58" s="50"/>
      <c r="B58" s="50"/>
      <c r="C58" s="162" t="s">
        <v>89</v>
      </c>
      <c r="D58" s="32"/>
      <c r="E58" s="163" t="str">
        <f>Inputs!D11</f>
        <v>2009/10</v>
      </c>
      <c r="F58" s="163" t="str">
        <f>Inputs!E11</f>
        <v>2010/11</v>
      </c>
      <c r="G58" s="163" t="str">
        <f>Inputs!F11</f>
        <v>2011/12</v>
      </c>
      <c r="H58" s="163" t="str">
        <f>Inputs!G11</f>
        <v>2012/13</v>
      </c>
      <c r="I58" s="163" t="str">
        <f>Inputs!H11</f>
        <v>2013/14</v>
      </c>
      <c r="J58" s="163" t="str">
        <f>Inputs!I11</f>
        <v>2014/15</v>
      </c>
      <c r="K58" s="95"/>
      <c r="L58" s="27"/>
      <c r="M58" s="15"/>
    </row>
    <row r="59" spans="1:16">
      <c r="A59" s="50"/>
      <c r="B59" s="50"/>
      <c r="C59" s="50" t="s">
        <v>110</v>
      </c>
      <c r="D59" s="50"/>
      <c r="E59" s="129">
        <f>E11</f>
        <v>127657.6746267683</v>
      </c>
      <c r="F59" s="32">
        <f>E65</f>
        <v>122157.57102182193</v>
      </c>
      <c r="G59" s="32">
        <f>F65</f>
        <v>116738.32274431584</v>
      </c>
      <c r="H59" s="32">
        <f>G65</f>
        <v>111578.06803295466</v>
      </c>
      <c r="I59" s="32">
        <f>H65</f>
        <v>105927.15001650927</v>
      </c>
      <c r="J59" s="32">
        <f>I65</f>
        <v>99796.643176115118</v>
      </c>
      <c r="K59" s="95"/>
      <c r="L59" s="50"/>
      <c r="M59" s="15"/>
    </row>
    <row r="60" spans="1:16">
      <c r="A60" s="50"/>
      <c r="B60" s="50"/>
      <c r="C60" s="50" t="s">
        <v>40</v>
      </c>
      <c r="D60" s="32"/>
      <c r="E60" s="32">
        <f t="shared" ref="E60:J60" si="3">E56</f>
        <v>53.023000000000003</v>
      </c>
      <c r="F60" s="32">
        <f t="shared" si="3"/>
        <v>55.391392889699176</v>
      </c>
      <c r="G60" s="32">
        <f t="shared" si="3"/>
        <v>56.261414767547862</v>
      </c>
      <c r="H60" s="32">
        <f t="shared" si="3"/>
        <v>57.276440291704652</v>
      </c>
      <c r="I60" s="32">
        <f t="shared" si="3"/>
        <v>58.29146581586145</v>
      </c>
      <c r="J60" s="32">
        <f t="shared" si="3"/>
        <v>59.644833181403833</v>
      </c>
      <c r="K60" s="95"/>
      <c r="L60" s="50"/>
      <c r="M60" s="15"/>
    </row>
    <row r="61" spans="1:16">
      <c r="A61" s="50"/>
      <c r="B61" s="50"/>
      <c r="C61" s="50" t="s">
        <v>312</v>
      </c>
      <c r="D61" s="32"/>
      <c r="E61" s="32">
        <f>Alp!E12</f>
        <v>0</v>
      </c>
      <c r="F61" s="95"/>
      <c r="G61" s="95"/>
      <c r="H61" s="95"/>
      <c r="I61" s="95"/>
      <c r="J61" s="95"/>
      <c r="K61" s="95"/>
      <c r="L61" s="50"/>
      <c r="M61" s="15"/>
    </row>
    <row r="62" spans="1:16">
      <c r="A62" s="50"/>
      <c r="B62" s="50"/>
      <c r="C62" s="50" t="s">
        <v>313</v>
      </c>
      <c r="D62" s="32"/>
      <c r="E62" s="32">
        <f>Alp!E13</f>
        <v>0</v>
      </c>
      <c r="F62" s="95"/>
      <c r="G62" s="95"/>
      <c r="H62" s="95"/>
      <c r="I62" s="95"/>
      <c r="J62" s="95"/>
      <c r="K62" s="95"/>
      <c r="L62" s="50"/>
      <c r="M62" s="15"/>
    </row>
    <row r="63" spans="1:16">
      <c r="A63" s="50"/>
      <c r="B63" s="50"/>
      <c r="C63" s="50" t="s">
        <v>41</v>
      </c>
      <c r="D63" s="50"/>
      <c r="E63" s="32">
        <f t="shared" ref="E63:J63" si="4">(E59*0.999-E60)*E41</f>
        <v>2196.9193950536342</v>
      </c>
      <c r="F63" s="32">
        <f t="shared" si="4"/>
        <v>2416.6937550899238</v>
      </c>
      <c r="G63" s="32">
        <f t="shared" si="4"/>
        <v>2837.1860475795238</v>
      </c>
      <c r="H63" s="32">
        <f t="shared" si="4"/>
        <v>2550.5193956764438</v>
      </c>
      <c r="I63" s="32">
        <f t="shared" si="4"/>
        <v>2268.2581271317522</v>
      </c>
      <c r="J63" s="32">
        <f t="shared" si="4"/>
        <v>1992.7440339951538</v>
      </c>
      <c r="K63" s="95"/>
      <c r="L63" s="50"/>
      <c r="M63" s="15"/>
    </row>
    <row r="64" spans="1:16">
      <c r="A64" s="50"/>
      <c r="B64" s="50"/>
      <c r="C64" s="50" t="s">
        <v>42</v>
      </c>
      <c r="D64" s="50"/>
      <c r="E64" s="129">
        <f>E14</f>
        <v>7644</v>
      </c>
      <c r="F64" s="32">
        <f>F59/F54</f>
        <v>7780.5506397063091</v>
      </c>
      <c r="G64" s="32">
        <f>G59/G54</f>
        <v>7941.1793441731515</v>
      </c>
      <c r="H64" s="32">
        <f>H59/H54</f>
        <v>8144.1609718301124</v>
      </c>
      <c r="I64" s="32">
        <f>I59/I54</f>
        <v>8340.4735017100393</v>
      </c>
      <c r="J64" s="32">
        <f>J59/J54</f>
        <v>8529.353470130447</v>
      </c>
      <c r="K64" s="95"/>
      <c r="L64" s="50"/>
      <c r="M64" s="15"/>
    </row>
    <row r="65" spans="1:13">
      <c r="A65" s="50"/>
      <c r="B65" s="50"/>
      <c r="C65" s="50" t="s">
        <v>43</v>
      </c>
      <c r="D65" s="50"/>
      <c r="E65" s="129">
        <f>E59-E60-E61+E62+E63-E64</f>
        <v>122157.57102182193</v>
      </c>
      <c r="F65" s="32">
        <f>F59-F60+F63-F64</f>
        <v>116738.32274431584</v>
      </c>
      <c r="G65" s="32">
        <f>G59-G60+G63-G64</f>
        <v>111578.06803295466</v>
      </c>
      <c r="H65" s="32">
        <f>H59-H60+H63-H64</f>
        <v>105927.15001650927</v>
      </c>
      <c r="I65" s="32">
        <f>I59-I60+I63-I64</f>
        <v>99796.643176115118</v>
      </c>
      <c r="J65" s="32">
        <f>J59-J60+J63-J64</f>
        <v>93200.388906798427</v>
      </c>
      <c r="K65" s="95"/>
      <c r="L65" s="50"/>
      <c r="M65" s="15"/>
    </row>
    <row r="66" spans="1:13">
      <c r="A66" s="50"/>
      <c r="B66" s="50"/>
      <c r="C66" s="50"/>
      <c r="D66" s="50"/>
      <c r="E66" s="50"/>
      <c r="F66" s="50"/>
      <c r="G66" s="50"/>
      <c r="H66" s="50"/>
      <c r="I66" s="50"/>
      <c r="J66" s="50"/>
      <c r="K66" s="95"/>
      <c r="L66" s="27"/>
      <c r="M66" s="15"/>
    </row>
    <row r="67" spans="1:13" ht="15.75">
      <c r="A67" s="50"/>
      <c r="B67" s="50"/>
      <c r="C67" s="162" t="s">
        <v>67</v>
      </c>
      <c r="D67" s="50"/>
      <c r="E67" s="162" t="str">
        <f>Inputs!D$11</f>
        <v>2009/10</v>
      </c>
      <c r="F67" s="162" t="str">
        <f>Inputs!E$11</f>
        <v>2010/11</v>
      </c>
      <c r="G67" s="162" t="str">
        <f>Inputs!F$11</f>
        <v>2011/12</v>
      </c>
      <c r="H67" s="162" t="str">
        <f>Inputs!G$11</f>
        <v>2012/13</v>
      </c>
      <c r="I67" s="162" t="str">
        <f>Inputs!H$11</f>
        <v>2013/14</v>
      </c>
      <c r="J67" s="162" t="str">
        <f>Inputs!I$11</f>
        <v>2014/15</v>
      </c>
      <c r="K67" s="95"/>
      <c r="L67" s="27"/>
      <c r="M67" s="15"/>
    </row>
    <row r="68" spans="1:13">
      <c r="A68" s="50"/>
      <c r="B68" s="50"/>
      <c r="C68" s="164" t="s">
        <v>60</v>
      </c>
      <c r="D68" s="50"/>
      <c r="E68" s="192">
        <v>1</v>
      </c>
      <c r="F68" s="164">
        <f>E68+1</f>
        <v>2</v>
      </c>
      <c r="G68" s="164">
        <f>F68+1</f>
        <v>3</v>
      </c>
      <c r="H68" s="164">
        <f>G68+1</f>
        <v>4</v>
      </c>
      <c r="I68" s="164">
        <f>H68+1</f>
        <v>5</v>
      </c>
      <c r="J68" s="164">
        <f>I68+1</f>
        <v>6</v>
      </c>
      <c r="K68" s="95"/>
      <c r="L68" s="27"/>
      <c r="M68" s="15"/>
    </row>
    <row r="69" spans="1:13">
      <c r="A69" s="50"/>
      <c r="B69" s="50"/>
      <c r="C69" s="50" t="s">
        <v>39</v>
      </c>
      <c r="D69" s="32"/>
      <c r="E69" s="32">
        <f t="shared" ref="E69:J69" si="5">E$29</f>
        <v>9981.0630000000001</v>
      </c>
      <c r="F69" s="32">
        <f t="shared" si="5"/>
        <v>24098.562386393281</v>
      </c>
      <c r="G69" s="32">
        <f t="shared" si="5"/>
        <v>22169.397532783973</v>
      </c>
      <c r="H69" s="32">
        <f t="shared" si="5"/>
        <v>29340.295849899445</v>
      </c>
      <c r="I69" s="32">
        <f t="shared" si="5"/>
        <v>20179.4801416298</v>
      </c>
      <c r="J69" s="32">
        <f t="shared" si="5"/>
        <v>13595.831009777021</v>
      </c>
      <c r="K69" s="95"/>
      <c r="L69" s="50"/>
      <c r="M69" s="15"/>
    </row>
    <row r="70" spans="1:13">
      <c r="A70" s="50">
        <v>1</v>
      </c>
      <c r="B70" s="50"/>
      <c r="C70" s="50" t="s">
        <v>254</v>
      </c>
      <c r="D70" s="50"/>
      <c r="E70" s="129">
        <v>0</v>
      </c>
      <c r="F70" s="32">
        <f t="shared" ref="F70:J75" si="6">E94</f>
        <v>9981.0630000000001</v>
      </c>
      <c r="G70" s="32">
        <f t="shared" si="6"/>
        <v>9957.0085114557751</v>
      </c>
      <c r="H70" s="32">
        <f t="shared" si="6"/>
        <v>9973.0652620685742</v>
      </c>
      <c r="I70" s="32">
        <f t="shared" si="6"/>
        <v>9969.4494255308018</v>
      </c>
      <c r="J70" s="32">
        <f t="shared" si="6"/>
        <v>9945.8926440608411</v>
      </c>
      <c r="K70" s="95"/>
      <c r="L70" s="50"/>
      <c r="M70" s="15"/>
    </row>
    <row r="71" spans="1:13">
      <c r="A71" s="50">
        <v>2</v>
      </c>
      <c r="B71" s="50"/>
      <c r="C71" s="50" t="s">
        <v>255</v>
      </c>
      <c r="D71" s="50"/>
      <c r="E71" s="129">
        <v>0</v>
      </c>
      <c r="F71" s="32">
        <f t="shared" si="6"/>
        <v>0</v>
      </c>
      <c r="G71" s="32">
        <f t="shared" si="6"/>
        <v>24098.562386393281</v>
      </c>
      <c r="H71" s="32">
        <f t="shared" si="6"/>
        <v>24149.594909645464</v>
      </c>
      <c r="I71" s="32">
        <f t="shared" si="6"/>
        <v>24153.603284187036</v>
      </c>
      <c r="J71" s="32">
        <f t="shared" si="6"/>
        <v>24109.904897266366</v>
      </c>
      <c r="K71" s="95"/>
      <c r="L71" s="50"/>
      <c r="M71" s="15"/>
    </row>
    <row r="72" spans="1:13">
      <c r="A72" s="50">
        <v>3</v>
      </c>
      <c r="B72" s="50"/>
      <c r="C72" s="50" t="s">
        <v>256</v>
      </c>
      <c r="D72" s="50"/>
      <c r="E72" s="129">
        <v>0</v>
      </c>
      <c r="F72" s="32">
        <f t="shared" si="6"/>
        <v>0</v>
      </c>
      <c r="G72" s="32">
        <f t="shared" si="6"/>
        <v>0</v>
      </c>
      <c r="H72" s="32">
        <f t="shared" si="6"/>
        <v>22169.397532783973</v>
      </c>
      <c r="I72" s="32">
        <f t="shared" si="6"/>
        <v>22184.273897553769</v>
      </c>
      <c r="J72" s="32">
        <f t="shared" si="6"/>
        <v>22155.863699237936</v>
      </c>
      <c r="K72" s="95"/>
      <c r="L72" s="50"/>
      <c r="M72" s="15"/>
    </row>
    <row r="73" spans="1:13">
      <c r="A73" s="50">
        <v>4</v>
      </c>
      <c r="B73" s="50"/>
      <c r="C73" s="50" t="s">
        <v>257</v>
      </c>
      <c r="D73" s="50"/>
      <c r="E73" s="129">
        <v>0</v>
      </c>
      <c r="F73" s="32">
        <f t="shared" si="6"/>
        <v>0</v>
      </c>
      <c r="G73" s="32">
        <f t="shared" si="6"/>
        <v>0</v>
      </c>
      <c r="H73" s="32">
        <f t="shared" si="6"/>
        <v>0</v>
      </c>
      <c r="I73" s="32">
        <f t="shared" si="6"/>
        <v>29340.295849899445</v>
      </c>
      <c r="J73" s="32">
        <f t="shared" si="6"/>
        <v>29317.539653000746</v>
      </c>
      <c r="K73" s="95"/>
      <c r="L73" s="50"/>
      <c r="M73" s="15"/>
    </row>
    <row r="74" spans="1:13">
      <c r="A74" s="50">
        <v>5</v>
      </c>
      <c r="B74" s="50"/>
      <c r="C74" s="50" t="s">
        <v>258</v>
      </c>
      <c r="D74" s="50"/>
      <c r="E74" s="129">
        <v>0</v>
      </c>
      <c r="F74" s="32">
        <f t="shared" si="6"/>
        <v>0</v>
      </c>
      <c r="G74" s="32">
        <f t="shared" si="6"/>
        <v>0</v>
      </c>
      <c r="H74" s="32">
        <f t="shared" si="6"/>
        <v>0</v>
      </c>
      <c r="I74" s="32">
        <f t="shared" si="6"/>
        <v>0</v>
      </c>
      <c r="J74" s="32">
        <f t="shared" si="6"/>
        <v>20179.4801416298</v>
      </c>
      <c r="K74" s="95"/>
      <c r="L74" s="50"/>
      <c r="M74" s="15"/>
    </row>
    <row r="75" spans="1:13">
      <c r="A75" s="50">
        <v>6</v>
      </c>
      <c r="B75" s="50"/>
      <c r="C75" s="50" t="s">
        <v>259</v>
      </c>
      <c r="D75" s="50"/>
      <c r="E75" s="129">
        <v>0</v>
      </c>
      <c r="F75" s="32">
        <f t="shared" si="6"/>
        <v>0</v>
      </c>
      <c r="G75" s="32">
        <f t="shared" si="6"/>
        <v>0</v>
      </c>
      <c r="H75" s="32">
        <f t="shared" si="6"/>
        <v>0</v>
      </c>
      <c r="I75" s="32">
        <f t="shared" si="6"/>
        <v>0</v>
      </c>
      <c r="J75" s="32">
        <f t="shared" si="6"/>
        <v>0</v>
      </c>
      <c r="K75" s="95"/>
      <c r="L75" s="50"/>
      <c r="M75" s="15"/>
    </row>
    <row r="76" spans="1:13">
      <c r="A76" s="50">
        <v>1</v>
      </c>
      <c r="B76" s="50"/>
      <c r="C76" s="50" t="s">
        <v>236</v>
      </c>
      <c r="D76" s="50"/>
      <c r="E76" s="129">
        <f>Inputs!$C$7+$A76</f>
        <v>46</v>
      </c>
      <c r="F76" s="32">
        <f t="shared" ref="F76:J81" si="7">E76-1</f>
        <v>45</v>
      </c>
      <c r="G76" s="32">
        <f t="shared" si="7"/>
        <v>44</v>
      </c>
      <c r="H76" s="32">
        <f t="shared" si="7"/>
        <v>43</v>
      </c>
      <c r="I76" s="32">
        <f t="shared" si="7"/>
        <v>42</v>
      </c>
      <c r="J76" s="32">
        <f t="shared" si="7"/>
        <v>41</v>
      </c>
      <c r="K76" s="95"/>
      <c r="L76" s="50"/>
      <c r="M76" s="15"/>
    </row>
    <row r="77" spans="1:13">
      <c r="A77" s="50">
        <v>2</v>
      </c>
      <c r="B77" s="50"/>
      <c r="C77" s="50" t="s">
        <v>237</v>
      </c>
      <c r="D77" s="50"/>
      <c r="E77" s="129">
        <f>Inputs!$C$7+$A77</f>
        <v>47</v>
      </c>
      <c r="F77" s="32">
        <f t="shared" si="7"/>
        <v>46</v>
      </c>
      <c r="G77" s="32">
        <f t="shared" si="7"/>
        <v>45</v>
      </c>
      <c r="H77" s="32">
        <f t="shared" si="7"/>
        <v>44</v>
      </c>
      <c r="I77" s="32">
        <f t="shared" si="7"/>
        <v>43</v>
      </c>
      <c r="J77" s="32">
        <f t="shared" si="7"/>
        <v>42</v>
      </c>
      <c r="K77" s="95"/>
      <c r="L77" s="50"/>
      <c r="M77" s="15"/>
    </row>
    <row r="78" spans="1:13">
      <c r="A78" s="50">
        <v>3</v>
      </c>
      <c r="B78" s="50"/>
      <c r="C78" s="50" t="s">
        <v>238</v>
      </c>
      <c r="D78" s="50"/>
      <c r="E78" s="129">
        <f>Inputs!$C$7+$A78</f>
        <v>48</v>
      </c>
      <c r="F78" s="32">
        <f t="shared" si="7"/>
        <v>47</v>
      </c>
      <c r="G78" s="32">
        <f t="shared" si="7"/>
        <v>46</v>
      </c>
      <c r="H78" s="32">
        <f t="shared" si="7"/>
        <v>45</v>
      </c>
      <c r="I78" s="32">
        <f t="shared" si="7"/>
        <v>44</v>
      </c>
      <c r="J78" s="32">
        <f t="shared" si="7"/>
        <v>43</v>
      </c>
      <c r="K78" s="95"/>
      <c r="L78" s="50"/>
      <c r="M78" s="15"/>
    </row>
    <row r="79" spans="1:13">
      <c r="A79" s="50">
        <v>4</v>
      </c>
      <c r="B79" s="50"/>
      <c r="C79" s="50" t="s">
        <v>239</v>
      </c>
      <c r="D79" s="50"/>
      <c r="E79" s="129">
        <f>Inputs!$C$7+$A79</f>
        <v>49</v>
      </c>
      <c r="F79" s="32">
        <f t="shared" si="7"/>
        <v>48</v>
      </c>
      <c r="G79" s="32">
        <f t="shared" si="7"/>
        <v>47</v>
      </c>
      <c r="H79" s="32">
        <f t="shared" si="7"/>
        <v>46</v>
      </c>
      <c r="I79" s="32">
        <f t="shared" si="7"/>
        <v>45</v>
      </c>
      <c r="J79" s="32">
        <f t="shared" si="7"/>
        <v>44</v>
      </c>
      <c r="K79" s="95"/>
      <c r="L79" s="50"/>
      <c r="M79" s="15"/>
    </row>
    <row r="80" spans="1:13">
      <c r="A80" s="50">
        <v>5</v>
      </c>
      <c r="B80" s="50"/>
      <c r="C80" s="50" t="s">
        <v>240</v>
      </c>
      <c r="D80" s="50"/>
      <c r="E80" s="129">
        <f>Inputs!$C$7+$A80</f>
        <v>50</v>
      </c>
      <c r="F80" s="32">
        <f t="shared" si="7"/>
        <v>49</v>
      </c>
      <c r="G80" s="32">
        <f t="shared" si="7"/>
        <v>48</v>
      </c>
      <c r="H80" s="32">
        <f t="shared" si="7"/>
        <v>47</v>
      </c>
      <c r="I80" s="32">
        <f t="shared" si="7"/>
        <v>46</v>
      </c>
      <c r="J80" s="32">
        <f t="shared" si="7"/>
        <v>45</v>
      </c>
      <c r="K80" s="95"/>
      <c r="L80" s="50"/>
      <c r="M80" s="15"/>
    </row>
    <row r="81" spans="1:13">
      <c r="A81" s="50">
        <v>6</v>
      </c>
      <c r="B81" s="50"/>
      <c r="C81" s="50" t="s">
        <v>241</v>
      </c>
      <c r="D81" s="50"/>
      <c r="E81" s="129">
        <f>Inputs!$C$7+$A81</f>
        <v>51</v>
      </c>
      <c r="F81" s="32">
        <f t="shared" si="7"/>
        <v>50</v>
      </c>
      <c r="G81" s="32">
        <f t="shared" si="7"/>
        <v>49</v>
      </c>
      <c r="H81" s="32">
        <f t="shared" si="7"/>
        <v>48</v>
      </c>
      <c r="I81" s="32">
        <f t="shared" si="7"/>
        <v>47</v>
      </c>
      <c r="J81" s="32">
        <f t="shared" si="7"/>
        <v>46</v>
      </c>
      <c r="K81" s="95"/>
      <c r="L81" s="50"/>
      <c r="M81" s="15"/>
    </row>
    <row r="82" spans="1:13">
      <c r="A82" s="50">
        <v>1</v>
      </c>
      <c r="B82" s="50"/>
      <c r="C82" s="50" t="s">
        <v>260</v>
      </c>
      <c r="D82" s="50"/>
      <c r="E82" s="32">
        <f t="shared" ref="E82:J87" si="8">E70*E$41</f>
        <v>0</v>
      </c>
      <c r="F82" s="32">
        <f t="shared" si="8"/>
        <v>197.74691145577506</v>
      </c>
      <c r="G82" s="32">
        <f t="shared" si="8"/>
        <v>242.35239860043052</v>
      </c>
      <c r="H82" s="32">
        <f t="shared" si="8"/>
        <v>228.31591374289212</v>
      </c>
      <c r="I82" s="32">
        <f t="shared" si="8"/>
        <v>213.8110619950582</v>
      </c>
      <c r="J82" s="32">
        <f t="shared" si="8"/>
        <v>198.91785288121699</v>
      </c>
      <c r="K82" s="95"/>
      <c r="L82" s="50"/>
      <c r="M82" s="15"/>
    </row>
    <row r="83" spans="1:13">
      <c r="A83" s="50">
        <v>2</v>
      </c>
      <c r="B83" s="50"/>
      <c r="C83" s="50" t="s">
        <v>261</v>
      </c>
      <c r="D83" s="50"/>
      <c r="E83" s="32">
        <f t="shared" si="8"/>
        <v>0</v>
      </c>
      <c r="F83" s="32">
        <f t="shared" si="8"/>
        <v>0</v>
      </c>
      <c r="G83" s="32">
        <f t="shared" si="8"/>
        <v>586.5561318387015</v>
      </c>
      <c r="H83" s="32">
        <f t="shared" si="8"/>
        <v>552.8628043062422</v>
      </c>
      <c r="I83" s="32">
        <f t="shared" si="8"/>
        <v>518.01331736274824</v>
      </c>
      <c r="J83" s="32">
        <f t="shared" si="8"/>
        <v>482.19809794532773</v>
      </c>
      <c r="K83" s="95"/>
      <c r="L83" s="50"/>
      <c r="M83" s="15"/>
    </row>
    <row r="84" spans="1:13">
      <c r="A84" s="50">
        <v>3</v>
      </c>
      <c r="B84" s="50"/>
      <c r="C84" s="50" t="s">
        <v>262</v>
      </c>
      <c r="D84" s="50"/>
      <c r="E84" s="32">
        <f t="shared" si="8"/>
        <v>0</v>
      </c>
      <c r="F84" s="32">
        <f t="shared" si="8"/>
        <v>0</v>
      </c>
      <c r="G84" s="32">
        <f t="shared" si="8"/>
        <v>0</v>
      </c>
      <c r="H84" s="32">
        <f t="shared" si="8"/>
        <v>507.5296432761063</v>
      </c>
      <c r="I84" s="32">
        <f t="shared" si="8"/>
        <v>475.77784481038947</v>
      </c>
      <c r="J84" s="32">
        <f t="shared" si="8"/>
        <v>443.11727398475909</v>
      </c>
      <c r="K84" s="95"/>
      <c r="L84" s="50"/>
      <c r="M84" s="15"/>
    </row>
    <row r="85" spans="1:13">
      <c r="A85" s="50">
        <v>4</v>
      </c>
      <c r="B85" s="50"/>
      <c r="C85" s="50" t="s">
        <v>263</v>
      </c>
      <c r="D85" s="50"/>
      <c r="E85" s="32">
        <f t="shared" si="8"/>
        <v>0</v>
      </c>
      <c r="F85" s="32">
        <f t="shared" si="8"/>
        <v>0</v>
      </c>
      <c r="G85" s="32">
        <f t="shared" si="8"/>
        <v>0</v>
      </c>
      <c r="H85" s="32">
        <f t="shared" si="8"/>
        <v>0</v>
      </c>
      <c r="I85" s="32">
        <f t="shared" si="8"/>
        <v>629.25037754351126</v>
      </c>
      <c r="J85" s="32">
        <f t="shared" si="8"/>
        <v>586.35079306001546</v>
      </c>
      <c r="K85" s="95"/>
      <c r="L85" s="50"/>
      <c r="M85" s="15"/>
    </row>
    <row r="86" spans="1:13">
      <c r="A86" s="50">
        <v>5</v>
      </c>
      <c r="B86" s="50"/>
      <c r="C86" s="50" t="s">
        <v>264</v>
      </c>
      <c r="D86" s="50"/>
      <c r="E86" s="32">
        <f t="shared" si="8"/>
        <v>0</v>
      </c>
      <c r="F86" s="32">
        <f t="shared" si="8"/>
        <v>0</v>
      </c>
      <c r="G86" s="32">
        <f t="shared" si="8"/>
        <v>0</v>
      </c>
      <c r="H86" s="32">
        <f t="shared" si="8"/>
        <v>0</v>
      </c>
      <c r="I86" s="32">
        <f t="shared" si="8"/>
        <v>0</v>
      </c>
      <c r="J86" s="32">
        <f t="shared" si="8"/>
        <v>403.58960283259637</v>
      </c>
      <c r="K86" s="95"/>
      <c r="L86" s="50"/>
      <c r="M86" s="15"/>
    </row>
    <row r="87" spans="1:13">
      <c r="A87" s="50">
        <v>6</v>
      </c>
      <c r="B87" s="50"/>
      <c r="C87" s="50" t="s">
        <v>265</v>
      </c>
      <c r="D87" s="50"/>
      <c r="E87" s="32">
        <f t="shared" si="8"/>
        <v>0</v>
      </c>
      <c r="F87" s="32">
        <f t="shared" si="8"/>
        <v>0</v>
      </c>
      <c r="G87" s="32">
        <f t="shared" si="8"/>
        <v>0</v>
      </c>
      <c r="H87" s="32">
        <f t="shared" si="8"/>
        <v>0</v>
      </c>
      <c r="I87" s="32">
        <f t="shared" si="8"/>
        <v>0</v>
      </c>
      <c r="J87" s="32">
        <f t="shared" si="8"/>
        <v>0</v>
      </c>
      <c r="K87" s="95"/>
      <c r="L87" s="50"/>
      <c r="M87" s="15"/>
    </row>
    <row r="88" spans="1:13">
      <c r="A88" s="50">
        <v>1</v>
      </c>
      <c r="B88" s="50"/>
      <c r="C88" s="50" t="s">
        <v>266</v>
      </c>
      <c r="D88" s="50"/>
      <c r="E88" s="32">
        <f t="shared" ref="E88:J93" si="9">E70/E76</f>
        <v>0</v>
      </c>
      <c r="F88" s="32">
        <f t="shared" si="9"/>
        <v>221.8014</v>
      </c>
      <c r="G88" s="32">
        <f t="shared" si="9"/>
        <v>226.29564798763124</v>
      </c>
      <c r="H88" s="32">
        <f t="shared" si="9"/>
        <v>231.93175028066452</v>
      </c>
      <c r="I88" s="32">
        <f t="shared" si="9"/>
        <v>237.36784346501909</v>
      </c>
      <c r="J88" s="32">
        <f t="shared" si="9"/>
        <v>242.58274741611808</v>
      </c>
      <c r="K88" s="95"/>
      <c r="L88" s="50"/>
      <c r="M88" s="15"/>
    </row>
    <row r="89" spans="1:13">
      <c r="A89" s="50">
        <v>2</v>
      </c>
      <c r="B89" s="50"/>
      <c r="C89" s="50" t="s">
        <v>267</v>
      </c>
      <c r="D89" s="50"/>
      <c r="E89" s="32">
        <f t="shared" si="9"/>
        <v>0</v>
      </c>
      <c r="F89" s="32">
        <f t="shared" si="9"/>
        <v>0</v>
      </c>
      <c r="G89" s="32">
        <f t="shared" si="9"/>
        <v>535.52360858651741</v>
      </c>
      <c r="H89" s="32">
        <f t="shared" si="9"/>
        <v>548.85442976466959</v>
      </c>
      <c r="I89" s="32">
        <f t="shared" si="9"/>
        <v>561.71170428341941</v>
      </c>
      <c r="J89" s="32">
        <f t="shared" si="9"/>
        <v>574.04535469681821</v>
      </c>
      <c r="K89" s="95"/>
      <c r="L89" s="50"/>
      <c r="M89" s="15"/>
    </row>
    <row r="90" spans="1:13">
      <c r="A90" s="50">
        <v>3</v>
      </c>
      <c r="B90" s="50"/>
      <c r="C90" s="50" t="s">
        <v>268</v>
      </c>
      <c r="D90" s="50"/>
      <c r="E90" s="32">
        <f t="shared" si="9"/>
        <v>0</v>
      </c>
      <c r="F90" s="32">
        <f t="shared" si="9"/>
        <v>0</v>
      </c>
      <c r="G90" s="32">
        <f t="shared" si="9"/>
        <v>0</v>
      </c>
      <c r="H90" s="32">
        <f t="shared" si="9"/>
        <v>492.65327850631053</v>
      </c>
      <c r="I90" s="32">
        <f t="shared" si="9"/>
        <v>504.188043126222</v>
      </c>
      <c r="J90" s="32">
        <f t="shared" si="9"/>
        <v>515.25264416832408</v>
      </c>
      <c r="K90" s="95"/>
      <c r="L90" s="50"/>
      <c r="M90" s="15"/>
    </row>
    <row r="91" spans="1:13">
      <c r="A91" s="50">
        <v>4</v>
      </c>
      <c r="B91" s="50"/>
      <c r="C91" s="50" t="s">
        <v>269</v>
      </c>
      <c r="D91" s="50"/>
      <c r="E91" s="32">
        <f t="shared" si="9"/>
        <v>0</v>
      </c>
      <c r="F91" s="32">
        <f t="shared" si="9"/>
        <v>0</v>
      </c>
      <c r="G91" s="32">
        <f t="shared" si="9"/>
        <v>0</v>
      </c>
      <c r="H91" s="32">
        <f t="shared" si="9"/>
        <v>0</v>
      </c>
      <c r="I91" s="32">
        <f t="shared" si="9"/>
        <v>652.00657444220985</v>
      </c>
      <c r="J91" s="32">
        <f t="shared" si="9"/>
        <v>666.30771938638054</v>
      </c>
      <c r="K91" s="95"/>
      <c r="L91" s="50"/>
      <c r="M91" s="15"/>
    </row>
    <row r="92" spans="1:13">
      <c r="A92" s="50">
        <v>5</v>
      </c>
      <c r="B92" s="50"/>
      <c r="C92" s="50" t="s">
        <v>270</v>
      </c>
      <c r="D92" s="50"/>
      <c r="E92" s="32">
        <f t="shared" si="9"/>
        <v>0</v>
      </c>
      <c r="F92" s="32">
        <f t="shared" si="9"/>
        <v>0</v>
      </c>
      <c r="G92" s="32">
        <f t="shared" si="9"/>
        <v>0</v>
      </c>
      <c r="H92" s="32">
        <f t="shared" si="9"/>
        <v>0</v>
      </c>
      <c r="I92" s="32">
        <f t="shared" si="9"/>
        <v>0</v>
      </c>
      <c r="J92" s="32">
        <f t="shared" si="9"/>
        <v>448.43289203621777</v>
      </c>
      <c r="K92" s="95"/>
      <c r="L92" s="50"/>
      <c r="M92" s="15"/>
    </row>
    <row r="93" spans="1:13">
      <c r="A93" s="50">
        <v>6</v>
      </c>
      <c r="B93" s="50"/>
      <c r="C93" s="50" t="s">
        <v>271</v>
      </c>
      <c r="D93" s="50"/>
      <c r="E93" s="32">
        <f t="shared" si="9"/>
        <v>0</v>
      </c>
      <c r="F93" s="32">
        <f t="shared" si="9"/>
        <v>0</v>
      </c>
      <c r="G93" s="32">
        <f t="shared" si="9"/>
        <v>0</v>
      </c>
      <c r="H93" s="32">
        <f t="shared" si="9"/>
        <v>0</v>
      </c>
      <c r="I93" s="32">
        <f t="shared" si="9"/>
        <v>0</v>
      </c>
      <c r="J93" s="32">
        <f t="shared" si="9"/>
        <v>0</v>
      </c>
      <c r="K93" s="95"/>
      <c r="L93" s="50"/>
      <c r="M93" s="15"/>
    </row>
    <row r="94" spans="1:13">
      <c r="A94" s="50">
        <v>1</v>
      </c>
      <c r="B94" s="50"/>
      <c r="C94" s="50" t="s">
        <v>272</v>
      </c>
      <c r="D94" s="50"/>
      <c r="E94" s="32">
        <f t="shared" ref="E94:J99" si="10">E70+E82-E88+IF($A94=E$68,E$69,0)</f>
        <v>9981.0630000000001</v>
      </c>
      <c r="F94" s="32">
        <f t="shared" si="10"/>
        <v>9957.0085114557751</v>
      </c>
      <c r="G94" s="32">
        <f t="shared" si="10"/>
        <v>9973.0652620685742</v>
      </c>
      <c r="H94" s="32">
        <f t="shared" si="10"/>
        <v>9969.4494255308018</v>
      </c>
      <c r="I94" s="32">
        <f t="shared" si="10"/>
        <v>9945.8926440608411</v>
      </c>
      <c r="J94" s="32">
        <f t="shared" si="10"/>
        <v>9902.2277495259405</v>
      </c>
      <c r="K94" s="95"/>
      <c r="L94" s="50"/>
      <c r="M94" s="15"/>
    </row>
    <row r="95" spans="1:13">
      <c r="A95" s="50">
        <v>2</v>
      </c>
      <c r="B95" s="50"/>
      <c r="C95" s="50" t="s">
        <v>273</v>
      </c>
      <c r="D95" s="50"/>
      <c r="E95" s="32">
        <f t="shared" si="10"/>
        <v>0</v>
      </c>
      <c r="F95" s="32">
        <f t="shared" si="10"/>
        <v>24098.562386393281</v>
      </c>
      <c r="G95" s="32">
        <f t="shared" si="10"/>
        <v>24149.594909645464</v>
      </c>
      <c r="H95" s="32">
        <f t="shared" si="10"/>
        <v>24153.603284187036</v>
      </c>
      <c r="I95" s="32">
        <f t="shared" si="10"/>
        <v>24109.904897266366</v>
      </c>
      <c r="J95" s="32">
        <f t="shared" si="10"/>
        <v>24018.057640514879</v>
      </c>
      <c r="K95" s="95"/>
      <c r="L95" s="50"/>
      <c r="M95" s="15"/>
    </row>
    <row r="96" spans="1:13">
      <c r="A96" s="50">
        <v>3</v>
      </c>
      <c r="B96" s="50"/>
      <c r="C96" s="50" t="s">
        <v>274</v>
      </c>
      <c r="D96" s="50"/>
      <c r="E96" s="32">
        <f t="shared" si="10"/>
        <v>0</v>
      </c>
      <c r="F96" s="32">
        <f t="shared" si="10"/>
        <v>0</v>
      </c>
      <c r="G96" s="32">
        <f t="shared" si="10"/>
        <v>22169.397532783973</v>
      </c>
      <c r="H96" s="32">
        <f t="shared" si="10"/>
        <v>22184.273897553769</v>
      </c>
      <c r="I96" s="32">
        <f t="shared" si="10"/>
        <v>22155.863699237936</v>
      </c>
      <c r="J96" s="32">
        <f t="shared" si="10"/>
        <v>22083.728329054371</v>
      </c>
      <c r="K96" s="95"/>
      <c r="L96" s="50"/>
      <c r="M96" s="15"/>
    </row>
    <row r="97" spans="1:13">
      <c r="A97" s="50">
        <v>4</v>
      </c>
      <c r="B97" s="50"/>
      <c r="C97" s="50" t="s">
        <v>275</v>
      </c>
      <c r="D97" s="50"/>
      <c r="E97" s="32">
        <f t="shared" si="10"/>
        <v>0</v>
      </c>
      <c r="F97" s="32">
        <f t="shared" si="10"/>
        <v>0</v>
      </c>
      <c r="G97" s="32">
        <f t="shared" si="10"/>
        <v>0</v>
      </c>
      <c r="H97" s="32">
        <f t="shared" si="10"/>
        <v>29340.295849899445</v>
      </c>
      <c r="I97" s="32">
        <f t="shared" si="10"/>
        <v>29317.539653000746</v>
      </c>
      <c r="J97" s="32">
        <f t="shared" si="10"/>
        <v>29237.582726674384</v>
      </c>
      <c r="K97" s="95"/>
      <c r="L97" s="50"/>
      <c r="M97" s="15"/>
    </row>
    <row r="98" spans="1:13">
      <c r="A98" s="50">
        <v>5</v>
      </c>
      <c r="B98" s="50"/>
      <c r="C98" s="50" t="s">
        <v>276</v>
      </c>
      <c r="D98" s="50"/>
      <c r="E98" s="32">
        <f t="shared" si="10"/>
        <v>0</v>
      </c>
      <c r="F98" s="32">
        <f t="shared" si="10"/>
        <v>0</v>
      </c>
      <c r="G98" s="32">
        <f t="shared" si="10"/>
        <v>0</v>
      </c>
      <c r="H98" s="32">
        <f t="shared" si="10"/>
        <v>0</v>
      </c>
      <c r="I98" s="32">
        <f t="shared" si="10"/>
        <v>20179.4801416298</v>
      </c>
      <c r="J98" s="32">
        <f t="shared" si="10"/>
        <v>20134.636852426178</v>
      </c>
      <c r="K98" s="95"/>
      <c r="L98" s="50"/>
      <c r="M98" s="15"/>
    </row>
    <row r="99" spans="1:13">
      <c r="A99" s="50">
        <v>6</v>
      </c>
      <c r="B99" s="50"/>
      <c r="C99" s="50" t="s">
        <v>277</v>
      </c>
      <c r="D99" s="50"/>
      <c r="E99" s="32">
        <f t="shared" si="10"/>
        <v>0</v>
      </c>
      <c r="F99" s="32">
        <f t="shared" si="10"/>
        <v>0</v>
      </c>
      <c r="G99" s="32">
        <f t="shared" si="10"/>
        <v>0</v>
      </c>
      <c r="H99" s="32">
        <f t="shared" si="10"/>
        <v>0</v>
      </c>
      <c r="I99" s="32">
        <f t="shared" si="10"/>
        <v>0</v>
      </c>
      <c r="J99" s="32">
        <f t="shared" si="10"/>
        <v>13595.831009777021</v>
      </c>
      <c r="K99" s="95"/>
      <c r="L99" s="50"/>
      <c r="M99" s="15"/>
    </row>
    <row r="100" spans="1:13">
      <c r="A100" s="50"/>
      <c r="B100" s="50"/>
      <c r="C100" s="50" t="s">
        <v>146</v>
      </c>
      <c r="D100" s="50"/>
      <c r="E100" s="32">
        <f t="shared" ref="E100:J100" si="11">SUM(E70:E75)</f>
        <v>0</v>
      </c>
      <c r="F100" s="32">
        <f t="shared" si="11"/>
        <v>9981.0630000000001</v>
      </c>
      <c r="G100" s="32">
        <f t="shared" si="11"/>
        <v>34055.570897849058</v>
      </c>
      <c r="H100" s="32">
        <f t="shared" si="11"/>
        <v>56292.057704498009</v>
      </c>
      <c r="I100" s="32">
        <f t="shared" si="11"/>
        <v>85647.622457171048</v>
      </c>
      <c r="J100" s="32">
        <f t="shared" si="11"/>
        <v>105708.68103519568</v>
      </c>
      <c r="K100" s="95"/>
      <c r="L100" s="27"/>
      <c r="M100" s="15"/>
    </row>
    <row r="101" spans="1:13">
      <c r="A101" s="50"/>
      <c r="B101" s="50"/>
      <c r="C101" s="50" t="s">
        <v>147</v>
      </c>
      <c r="D101" s="50"/>
      <c r="E101" s="32">
        <f t="shared" ref="E101:J101" si="12">SUM(E82:E87)</f>
        <v>0</v>
      </c>
      <c r="F101" s="32">
        <f t="shared" si="12"/>
        <v>197.74691145577506</v>
      </c>
      <c r="G101" s="32">
        <f t="shared" si="12"/>
        <v>828.90853043913205</v>
      </c>
      <c r="H101" s="32">
        <f t="shared" si="12"/>
        <v>1288.7083613252407</v>
      </c>
      <c r="I101" s="32">
        <f t="shared" si="12"/>
        <v>1836.8526017117074</v>
      </c>
      <c r="J101" s="32">
        <f t="shared" si="12"/>
        <v>2114.1736207039157</v>
      </c>
      <c r="K101" s="95"/>
      <c r="L101" s="27"/>
      <c r="M101" s="15"/>
    </row>
    <row r="102" spans="1:13">
      <c r="A102" s="50"/>
      <c r="B102" s="50"/>
      <c r="C102" s="50" t="s">
        <v>68</v>
      </c>
      <c r="D102" s="50"/>
      <c r="E102" s="32">
        <f t="shared" ref="E102:J102" si="13">SUM(E88:E93)</f>
        <v>0</v>
      </c>
      <c r="F102" s="32">
        <f t="shared" si="13"/>
        <v>221.8014</v>
      </c>
      <c r="G102" s="32">
        <f t="shared" si="13"/>
        <v>761.81925657414865</v>
      </c>
      <c r="H102" s="32">
        <f t="shared" si="13"/>
        <v>1273.4394585516445</v>
      </c>
      <c r="I102" s="32">
        <f t="shared" si="13"/>
        <v>1955.2741653168705</v>
      </c>
      <c r="J102" s="32">
        <f t="shared" si="13"/>
        <v>2446.6213577038588</v>
      </c>
      <c r="K102" s="95"/>
      <c r="L102" s="27"/>
      <c r="M102" s="15"/>
    </row>
    <row r="103" spans="1:13">
      <c r="A103" s="50"/>
      <c r="B103" s="50"/>
      <c r="C103" s="50" t="s">
        <v>148</v>
      </c>
      <c r="D103" s="50"/>
      <c r="E103" s="32">
        <f t="shared" ref="E103:J103" si="14">SUM(E94:E99)</f>
        <v>9981.0630000000001</v>
      </c>
      <c r="F103" s="32">
        <f t="shared" si="14"/>
        <v>34055.570897849058</v>
      </c>
      <c r="G103" s="32">
        <f t="shared" si="14"/>
        <v>56292.057704498009</v>
      </c>
      <c r="H103" s="32">
        <f t="shared" si="14"/>
        <v>85647.622457171048</v>
      </c>
      <c r="I103" s="32">
        <f t="shared" si="14"/>
        <v>105708.68103519568</v>
      </c>
      <c r="J103" s="32">
        <f t="shared" si="14"/>
        <v>118972.06430797277</v>
      </c>
      <c r="K103" s="95"/>
      <c r="L103" s="50"/>
      <c r="M103" s="15"/>
    </row>
    <row r="104" spans="1:13">
      <c r="A104" s="50"/>
      <c r="B104" s="50"/>
      <c r="C104" s="50"/>
      <c r="D104" s="50"/>
      <c r="E104" s="32"/>
      <c r="F104" s="32"/>
      <c r="G104" s="32"/>
      <c r="H104" s="32"/>
      <c r="I104" s="32"/>
      <c r="J104" s="32"/>
      <c r="K104" s="95"/>
      <c r="L104" s="50"/>
      <c r="M104" s="15"/>
    </row>
    <row r="105" spans="1:13" ht="15.75">
      <c r="A105" s="50"/>
      <c r="B105" s="50"/>
      <c r="C105" s="162" t="s">
        <v>121</v>
      </c>
      <c r="D105" s="50"/>
      <c r="E105" s="162" t="str">
        <f>Inputs!D$11</f>
        <v>2009/10</v>
      </c>
      <c r="F105" s="162" t="str">
        <f>Inputs!E$11</f>
        <v>2010/11</v>
      </c>
      <c r="G105" s="162" t="str">
        <f>Inputs!F$11</f>
        <v>2011/12</v>
      </c>
      <c r="H105" s="162" t="str">
        <f>Inputs!G$11</f>
        <v>2012/13</v>
      </c>
      <c r="I105" s="162" t="str">
        <f>Inputs!H$11</f>
        <v>2013/14</v>
      </c>
      <c r="J105" s="162" t="str">
        <f>Inputs!I$11</f>
        <v>2014/15</v>
      </c>
      <c r="K105" s="95"/>
      <c r="L105" s="50"/>
      <c r="M105" s="15"/>
    </row>
    <row r="106" spans="1:13">
      <c r="A106" s="50"/>
      <c r="B106" s="50"/>
      <c r="C106" s="164" t="s">
        <v>60</v>
      </c>
      <c r="D106" s="50"/>
      <c r="E106" s="164">
        <v>1</v>
      </c>
      <c r="F106" s="164">
        <v>2</v>
      </c>
      <c r="G106" s="164">
        <v>3</v>
      </c>
      <c r="H106" s="164">
        <v>4</v>
      </c>
      <c r="I106" s="164">
        <v>5</v>
      </c>
      <c r="J106" s="164">
        <v>6</v>
      </c>
      <c r="K106" s="95"/>
      <c r="L106" s="50"/>
      <c r="M106" s="15"/>
    </row>
    <row r="107" spans="1:13">
      <c r="A107" s="50"/>
      <c r="B107" s="50"/>
      <c r="C107" s="50" t="s">
        <v>39</v>
      </c>
      <c r="D107" s="32"/>
      <c r="E107" s="32">
        <f t="shared" ref="E107:J107" si="15">E$29</f>
        <v>9981.0630000000001</v>
      </c>
      <c r="F107" s="32">
        <f t="shared" si="15"/>
        <v>24098.562386393281</v>
      </c>
      <c r="G107" s="32">
        <f t="shared" si="15"/>
        <v>22169.397532783973</v>
      </c>
      <c r="H107" s="32">
        <f t="shared" si="15"/>
        <v>29340.295849899445</v>
      </c>
      <c r="I107" s="32">
        <f t="shared" si="15"/>
        <v>20179.4801416298</v>
      </c>
      <c r="J107" s="32">
        <f t="shared" si="15"/>
        <v>13595.831009777021</v>
      </c>
      <c r="K107" s="95"/>
      <c r="L107" s="50"/>
      <c r="M107" s="15"/>
    </row>
    <row r="108" spans="1:13">
      <c r="A108" s="50">
        <v>1</v>
      </c>
      <c r="B108" s="50"/>
      <c r="C108" s="50" t="s">
        <v>230</v>
      </c>
      <c r="D108" s="50"/>
      <c r="E108" s="129">
        <v>0</v>
      </c>
      <c r="F108" s="32">
        <f t="shared" ref="F108:J113" si="16">E126</f>
        <v>9981.0630000000001</v>
      </c>
      <c r="G108" s="32">
        <f t="shared" si="16"/>
        <v>9759.2615999999998</v>
      </c>
      <c r="H108" s="32">
        <f t="shared" si="16"/>
        <v>9537.4601999999995</v>
      </c>
      <c r="I108" s="32">
        <f t="shared" si="16"/>
        <v>9315.6587999999992</v>
      </c>
      <c r="J108" s="32">
        <f t="shared" si="16"/>
        <v>9093.857399999999</v>
      </c>
      <c r="K108" s="95"/>
      <c r="L108" s="50"/>
      <c r="M108" s="15"/>
    </row>
    <row r="109" spans="1:13">
      <c r="A109" s="50">
        <v>2</v>
      </c>
      <c r="B109" s="50"/>
      <c r="C109" s="50" t="s">
        <v>231</v>
      </c>
      <c r="D109" s="50"/>
      <c r="E109" s="129">
        <v>0</v>
      </c>
      <c r="F109" s="32">
        <f t="shared" si="16"/>
        <v>0</v>
      </c>
      <c r="G109" s="32">
        <f t="shared" si="16"/>
        <v>24098.562386393281</v>
      </c>
      <c r="H109" s="32">
        <f t="shared" si="16"/>
        <v>23563.038777806763</v>
      </c>
      <c r="I109" s="32">
        <f t="shared" si="16"/>
        <v>23027.515169220245</v>
      </c>
      <c r="J109" s="32">
        <f t="shared" si="16"/>
        <v>22491.991560633727</v>
      </c>
      <c r="K109" s="95"/>
      <c r="L109" s="50"/>
      <c r="M109" s="15"/>
    </row>
    <row r="110" spans="1:13">
      <c r="A110" s="50">
        <v>3</v>
      </c>
      <c r="B110" s="50"/>
      <c r="C110" s="50" t="s">
        <v>232</v>
      </c>
      <c r="D110" s="50"/>
      <c r="E110" s="129">
        <v>0</v>
      </c>
      <c r="F110" s="32">
        <f t="shared" si="16"/>
        <v>0</v>
      </c>
      <c r="G110" s="32">
        <f t="shared" si="16"/>
        <v>0</v>
      </c>
      <c r="H110" s="32">
        <f t="shared" si="16"/>
        <v>22169.397532783973</v>
      </c>
      <c r="I110" s="32">
        <f t="shared" si="16"/>
        <v>21676.744254277663</v>
      </c>
      <c r="J110" s="32">
        <f t="shared" si="16"/>
        <v>21184.090975771353</v>
      </c>
      <c r="K110" s="95"/>
      <c r="L110" s="50"/>
      <c r="M110" s="15"/>
    </row>
    <row r="111" spans="1:13">
      <c r="A111" s="50">
        <v>4</v>
      </c>
      <c r="B111" s="50"/>
      <c r="C111" s="50" t="s">
        <v>233</v>
      </c>
      <c r="D111" s="50"/>
      <c r="E111" s="129">
        <v>0</v>
      </c>
      <c r="F111" s="32">
        <f t="shared" si="16"/>
        <v>0</v>
      </c>
      <c r="G111" s="32">
        <f t="shared" si="16"/>
        <v>0</v>
      </c>
      <c r="H111" s="32">
        <f t="shared" si="16"/>
        <v>0</v>
      </c>
      <c r="I111" s="32">
        <f t="shared" si="16"/>
        <v>29340.295849899445</v>
      </c>
      <c r="J111" s="32">
        <f t="shared" si="16"/>
        <v>28688.289275457235</v>
      </c>
      <c r="K111" s="95"/>
      <c r="L111" s="50"/>
      <c r="M111" s="15"/>
    </row>
    <row r="112" spans="1:13">
      <c r="A112" s="50">
        <v>5</v>
      </c>
      <c r="B112" s="50"/>
      <c r="C112" s="50" t="s">
        <v>234</v>
      </c>
      <c r="D112" s="50"/>
      <c r="E112" s="129">
        <v>0</v>
      </c>
      <c r="F112" s="32">
        <f t="shared" si="16"/>
        <v>0</v>
      </c>
      <c r="G112" s="32">
        <f t="shared" si="16"/>
        <v>0</v>
      </c>
      <c r="H112" s="32">
        <f t="shared" si="16"/>
        <v>0</v>
      </c>
      <c r="I112" s="32">
        <f t="shared" si="16"/>
        <v>0</v>
      </c>
      <c r="J112" s="32">
        <f t="shared" si="16"/>
        <v>20179.4801416298</v>
      </c>
      <c r="K112" s="95"/>
      <c r="L112" s="50"/>
      <c r="M112" s="15"/>
    </row>
    <row r="113" spans="1:13">
      <c r="A113" s="50">
        <v>6</v>
      </c>
      <c r="B113" s="50"/>
      <c r="C113" s="50" t="s">
        <v>235</v>
      </c>
      <c r="D113" s="50"/>
      <c r="E113" s="129">
        <v>0</v>
      </c>
      <c r="F113" s="32">
        <f t="shared" si="16"/>
        <v>0</v>
      </c>
      <c r="G113" s="32">
        <f t="shared" si="16"/>
        <v>0</v>
      </c>
      <c r="H113" s="32">
        <f t="shared" si="16"/>
        <v>0</v>
      </c>
      <c r="I113" s="32">
        <f t="shared" si="16"/>
        <v>0</v>
      </c>
      <c r="J113" s="32">
        <f t="shared" si="16"/>
        <v>0</v>
      </c>
      <c r="K113" s="95"/>
      <c r="L113" s="50"/>
      <c r="M113" s="15"/>
    </row>
    <row r="114" spans="1:13">
      <c r="A114" s="50">
        <v>1</v>
      </c>
      <c r="B114" s="50"/>
      <c r="C114" s="50" t="s">
        <v>236</v>
      </c>
      <c r="D114" s="50"/>
      <c r="E114" s="129">
        <f>Inputs!$C$7+$A114</f>
        <v>46</v>
      </c>
      <c r="F114" s="32">
        <f t="shared" ref="F114:J119" si="17">E114-1</f>
        <v>45</v>
      </c>
      <c r="G114" s="32">
        <f t="shared" si="17"/>
        <v>44</v>
      </c>
      <c r="H114" s="32">
        <f t="shared" si="17"/>
        <v>43</v>
      </c>
      <c r="I114" s="32">
        <f t="shared" si="17"/>
        <v>42</v>
      </c>
      <c r="J114" s="32">
        <f t="shared" si="17"/>
        <v>41</v>
      </c>
      <c r="K114" s="95"/>
      <c r="L114" s="50"/>
      <c r="M114" s="15"/>
    </row>
    <row r="115" spans="1:13">
      <c r="A115" s="50">
        <v>2</v>
      </c>
      <c r="B115" s="50"/>
      <c r="C115" s="50" t="s">
        <v>237</v>
      </c>
      <c r="D115" s="50"/>
      <c r="E115" s="129">
        <f>Inputs!$C$7+$A115</f>
        <v>47</v>
      </c>
      <c r="F115" s="32">
        <f t="shared" si="17"/>
        <v>46</v>
      </c>
      <c r="G115" s="32">
        <f t="shared" si="17"/>
        <v>45</v>
      </c>
      <c r="H115" s="32">
        <f t="shared" si="17"/>
        <v>44</v>
      </c>
      <c r="I115" s="32">
        <f t="shared" si="17"/>
        <v>43</v>
      </c>
      <c r="J115" s="32">
        <f t="shared" si="17"/>
        <v>42</v>
      </c>
      <c r="K115" s="95"/>
      <c r="L115" s="50"/>
      <c r="M115" s="15"/>
    </row>
    <row r="116" spans="1:13">
      <c r="A116" s="50">
        <v>3</v>
      </c>
      <c r="B116" s="50"/>
      <c r="C116" s="50" t="s">
        <v>238</v>
      </c>
      <c r="D116" s="50"/>
      <c r="E116" s="129">
        <f>Inputs!$C$7+$A116</f>
        <v>48</v>
      </c>
      <c r="F116" s="32">
        <f t="shared" si="17"/>
        <v>47</v>
      </c>
      <c r="G116" s="32">
        <f t="shared" si="17"/>
        <v>46</v>
      </c>
      <c r="H116" s="32">
        <f t="shared" si="17"/>
        <v>45</v>
      </c>
      <c r="I116" s="32">
        <f t="shared" si="17"/>
        <v>44</v>
      </c>
      <c r="J116" s="32">
        <f t="shared" si="17"/>
        <v>43</v>
      </c>
      <c r="K116" s="95"/>
      <c r="L116" s="50"/>
      <c r="M116" s="15"/>
    </row>
    <row r="117" spans="1:13">
      <c r="A117" s="50">
        <v>4</v>
      </c>
      <c r="B117" s="50"/>
      <c r="C117" s="50" t="s">
        <v>239</v>
      </c>
      <c r="D117" s="50"/>
      <c r="E117" s="129">
        <f>Inputs!$C$7+$A117</f>
        <v>49</v>
      </c>
      <c r="F117" s="32">
        <f t="shared" si="17"/>
        <v>48</v>
      </c>
      <c r="G117" s="32">
        <f t="shared" si="17"/>
        <v>47</v>
      </c>
      <c r="H117" s="32">
        <f t="shared" si="17"/>
        <v>46</v>
      </c>
      <c r="I117" s="32">
        <f t="shared" si="17"/>
        <v>45</v>
      </c>
      <c r="J117" s="32">
        <f t="shared" si="17"/>
        <v>44</v>
      </c>
      <c r="K117" s="95"/>
      <c r="L117" s="50"/>
      <c r="M117" s="15"/>
    </row>
    <row r="118" spans="1:13">
      <c r="A118" s="50">
        <v>5</v>
      </c>
      <c r="B118" s="50"/>
      <c r="C118" s="50" t="s">
        <v>240</v>
      </c>
      <c r="D118" s="50"/>
      <c r="E118" s="129">
        <f>Inputs!$C$7+$A118</f>
        <v>50</v>
      </c>
      <c r="F118" s="32">
        <f t="shared" si="17"/>
        <v>49</v>
      </c>
      <c r="G118" s="32">
        <f t="shared" si="17"/>
        <v>48</v>
      </c>
      <c r="H118" s="32">
        <f t="shared" si="17"/>
        <v>47</v>
      </c>
      <c r="I118" s="32">
        <f t="shared" si="17"/>
        <v>46</v>
      </c>
      <c r="J118" s="32">
        <f t="shared" si="17"/>
        <v>45</v>
      </c>
      <c r="K118" s="95"/>
      <c r="L118" s="50"/>
      <c r="M118" s="15"/>
    </row>
    <row r="119" spans="1:13">
      <c r="A119" s="50">
        <v>6</v>
      </c>
      <c r="B119" s="50"/>
      <c r="C119" s="50" t="s">
        <v>241</v>
      </c>
      <c r="D119" s="50"/>
      <c r="E119" s="129">
        <f>Inputs!$C$7+$A119</f>
        <v>51</v>
      </c>
      <c r="F119" s="32">
        <f t="shared" si="17"/>
        <v>50</v>
      </c>
      <c r="G119" s="32">
        <f t="shared" si="17"/>
        <v>49</v>
      </c>
      <c r="H119" s="32">
        <f t="shared" si="17"/>
        <v>48</v>
      </c>
      <c r="I119" s="32">
        <f t="shared" si="17"/>
        <v>47</v>
      </c>
      <c r="J119" s="32">
        <f t="shared" si="17"/>
        <v>46</v>
      </c>
      <c r="K119" s="95"/>
      <c r="L119" s="50"/>
      <c r="M119" s="15"/>
    </row>
    <row r="120" spans="1:13">
      <c r="A120" s="50">
        <v>1</v>
      </c>
      <c r="B120" s="50"/>
      <c r="C120" s="50" t="s">
        <v>242</v>
      </c>
      <c r="D120" s="50"/>
      <c r="E120" s="32">
        <f t="shared" ref="E120:J125" si="18">E108/E114</f>
        <v>0</v>
      </c>
      <c r="F120" s="32">
        <f t="shared" si="18"/>
        <v>221.8014</v>
      </c>
      <c r="G120" s="32">
        <f t="shared" si="18"/>
        <v>221.8014</v>
      </c>
      <c r="H120" s="32">
        <f t="shared" si="18"/>
        <v>221.8014</v>
      </c>
      <c r="I120" s="32">
        <f t="shared" si="18"/>
        <v>221.80139999999997</v>
      </c>
      <c r="J120" s="32">
        <f t="shared" si="18"/>
        <v>221.80139999999997</v>
      </c>
      <c r="K120" s="95"/>
      <c r="L120" s="50"/>
      <c r="M120" s="15"/>
    </row>
    <row r="121" spans="1:13">
      <c r="A121" s="50">
        <v>2</v>
      </c>
      <c r="B121" s="50"/>
      <c r="C121" s="50" t="s">
        <v>243</v>
      </c>
      <c r="D121" s="50"/>
      <c r="E121" s="32">
        <f t="shared" si="18"/>
        <v>0</v>
      </c>
      <c r="F121" s="32">
        <f t="shared" si="18"/>
        <v>0</v>
      </c>
      <c r="G121" s="32">
        <f t="shared" si="18"/>
        <v>535.52360858651741</v>
      </c>
      <c r="H121" s="32">
        <f t="shared" si="18"/>
        <v>535.5236085865173</v>
      </c>
      <c r="I121" s="32">
        <f t="shared" si="18"/>
        <v>535.5236085865173</v>
      </c>
      <c r="J121" s="32">
        <f t="shared" si="18"/>
        <v>535.5236085865173</v>
      </c>
      <c r="K121" s="95"/>
      <c r="L121" s="50"/>
      <c r="M121" s="15"/>
    </row>
    <row r="122" spans="1:13">
      <c r="A122" s="50">
        <v>3</v>
      </c>
      <c r="B122" s="50"/>
      <c r="C122" s="50" t="s">
        <v>244</v>
      </c>
      <c r="D122" s="50"/>
      <c r="E122" s="32">
        <f t="shared" si="18"/>
        <v>0</v>
      </c>
      <c r="F122" s="32">
        <f t="shared" si="18"/>
        <v>0</v>
      </c>
      <c r="G122" s="32">
        <f t="shared" si="18"/>
        <v>0</v>
      </c>
      <c r="H122" s="32">
        <f t="shared" si="18"/>
        <v>492.65327850631053</v>
      </c>
      <c r="I122" s="32">
        <f t="shared" si="18"/>
        <v>492.65327850631053</v>
      </c>
      <c r="J122" s="32">
        <f t="shared" si="18"/>
        <v>492.65327850631053</v>
      </c>
      <c r="K122" s="95"/>
      <c r="L122" s="50"/>
      <c r="M122" s="15"/>
    </row>
    <row r="123" spans="1:13">
      <c r="A123" s="50">
        <v>4</v>
      </c>
      <c r="B123" s="50"/>
      <c r="C123" s="50" t="s">
        <v>245</v>
      </c>
      <c r="D123" s="50"/>
      <c r="E123" s="32">
        <f t="shared" si="18"/>
        <v>0</v>
      </c>
      <c r="F123" s="32">
        <f t="shared" si="18"/>
        <v>0</v>
      </c>
      <c r="G123" s="32">
        <f t="shared" si="18"/>
        <v>0</v>
      </c>
      <c r="H123" s="32">
        <f t="shared" si="18"/>
        <v>0</v>
      </c>
      <c r="I123" s="32">
        <f t="shared" si="18"/>
        <v>652.00657444220985</v>
      </c>
      <c r="J123" s="32">
        <f t="shared" si="18"/>
        <v>652.00657444220985</v>
      </c>
      <c r="K123" s="95"/>
      <c r="L123" s="50"/>
      <c r="M123" s="15"/>
    </row>
    <row r="124" spans="1:13">
      <c r="A124" s="50">
        <v>5</v>
      </c>
      <c r="B124" s="50"/>
      <c r="C124" s="50" t="s">
        <v>246</v>
      </c>
      <c r="D124" s="50"/>
      <c r="E124" s="32">
        <f t="shared" si="18"/>
        <v>0</v>
      </c>
      <c r="F124" s="32">
        <f t="shared" si="18"/>
        <v>0</v>
      </c>
      <c r="G124" s="32">
        <f t="shared" si="18"/>
        <v>0</v>
      </c>
      <c r="H124" s="32">
        <f t="shared" si="18"/>
        <v>0</v>
      </c>
      <c r="I124" s="32">
        <f t="shared" si="18"/>
        <v>0</v>
      </c>
      <c r="J124" s="32">
        <f t="shared" si="18"/>
        <v>448.43289203621777</v>
      </c>
      <c r="K124" s="95"/>
      <c r="L124" s="50"/>
      <c r="M124" s="15"/>
    </row>
    <row r="125" spans="1:13">
      <c r="A125" s="50">
        <v>6</v>
      </c>
      <c r="B125" s="50"/>
      <c r="C125" s="50" t="s">
        <v>247</v>
      </c>
      <c r="D125" s="50"/>
      <c r="E125" s="32">
        <f t="shared" si="18"/>
        <v>0</v>
      </c>
      <c r="F125" s="32">
        <f t="shared" si="18"/>
        <v>0</v>
      </c>
      <c r="G125" s="32">
        <f t="shared" si="18"/>
        <v>0</v>
      </c>
      <c r="H125" s="32">
        <f t="shared" si="18"/>
        <v>0</v>
      </c>
      <c r="I125" s="32">
        <f t="shared" si="18"/>
        <v>0</v>
      </c>
      <c r="J125" s="32">
        <f t="shared" si="18"/>
        <v>0</v>
      </c>
      <c r="K125" s="95"/>
      <c r="L125" s="50"/>
      <c r="M125" s="15"/>
    </row>
    <row r="126" spans="1:13">
      <c r="A126" s="50">
        <v>1</v>
      </c>
      <c r="B126" s="50"/>
      <c r="C126" s="50" t="s">
        <v>248</v>
      </c>
      <c r="D126" s="50"/>
      <c r="E126" s="32">
        <f t="shared" ref="E126:J131" si="19">E108-E120+IF($A126=E$106,E$107,0)</f>
        <v>9981.0630000000001</v>
      </c>
      <c r="F126" s="32">
        <f t="shared" si="19"/>
        <v>9759.2615999999998</v>
      </c>
      <c r="G126" s="32">
        <f t="shared" si="19"/>
        <v>9537.4601999999995</v>
      </c>
      <c r="H126" s="32">
        <f t="shared" si="19"/>
        <v>9315.6587999999992</v>
      </c>
      <c r="I126" s="32">
        <f t="shared" si="19"/>
        <v>9093.857399999999</v>
      </c>
      <c r="J126" s="32">
        <f t="shared" si="19"/>
        <v>8872.0559999999987</v>
      </c>
      <c r="K126" s="95"/>
      <c r="L126" s="50"/>
      <c r="M126" s="15"/>
    </row>
    <row r="127" spans="1:13">
      <c r="A127" s="50">
        <v>2</v>
      </c>
      <c r="B127" s="50"/>
      <c r="C127" s="50" t="s">
        <v>249</v>
      </c>
      <c r="D127" s="50"/>
      <c r="E127" s="32">
        <f t="shared" si="19"/>
        <v>0</v>
      </c>
      <c r="F127" s="32">
        <f t="shared" si="19"/>
        <v>24098.562386393281</v>
      </c>
      <c r="G127" s="32">
        <f t="shared" si="19"/>
        <v>23563.038777806763</v>
      </c>
      <c r="H127" s="32">
        <f t="shared" si="19"/>
        <v>23027.515169220245</v>
      </c>
      <c r="I127" s="32">
        <f t="shared" si="19"/>
        <v>22491.991560633727</v>
      </c>
      <c r="J127" s="32">
        <f t="shared" si="19"/>
        <v>21956.467952047209</v>
      </c>
      <c r="K127" s="95"/>
      <c r="L127" s="50"/>
      <c r="M127" s="15"/>
    </row>
    <row r="128" spans="1:13">
      <c r="A128" s="50">
        <v>3</v>
      </c>
      <c r="B128" s="50"/>
      <c r="C128" s="50" t="s">
        <v>250</v>
      </c>
      <c r="D128" s="50"/>
      <c r="E128" s="32">
        <f t="shared" si="19"/>
        <v>0</v>
      </c>
      <c r="F128" s="32">
        <f t="shared" si="19"/>
        <v>0</v>
      </c>
      <c r="G128" s="32">
        <f t="shared" si="19"/>
        <v>22169.397532783973</v>
      </c>
      <c r="H128" s="32">
        <f t="shared" si="19"/>
        <v>21676.744254277663</v>
      </c>
      <c r="I128" s="32">
        <f t="shared" si="19"/>
        <v>21184.090975771353</v>
      </c>
      <c r="J128" s="32">
        <f t="shared" si="19"/>
        <v>20691.437697265043</v>
      </c>
      <c r="K128" s="95"/>
      <c r="L128" s="50"/>
      <c r="M128" s="15"/>
    </row>
    <row r="129" spans="1:13">
      <c r="A129" s="50">
        <v>4</v>
      </c>
      <c r="B129" s="50"/>
      <c r="C129" s="50" t="s">
        <v>251</v>
      </c>
      <c r="D129" s="50"/>
      <c r="E129" s="32">
        <f t="shared" si="19"/>
        <v>0</v>
      </c>
      <c r="F129" s="32">
        <f t="shared" si="19"/>
        <v>0</v>
      </c>
      <c r="G129" s="32">
        <f t="shared" si="19"/>
        <v>0</v>
      </c>
      <c r="H129" s="32">
        <f t="shared" si="19"/>
        <v>29340.295849899445</v>
      </c>
      <c r="I129" s="32">
        <f t="shared" si="19"/>
        <v>28688.289275457235</v>
      </c>
      <c r="J129" s="32">
        <f t="shared" si="19"/>
        <v>28036.282701015025</v>
      </c>
      <c r="K129" s="95"/>
      <c r="L129" s="50"/>
      <c r="M129" s="15"/>
    </row>
    <row r="130" spans="1:13">
      <c r="A130" s="50">
        <v>5</v>
      </c>
      <c r="B130" s="50"/>
      <c r="C130" s="50" t="s">
        <v>252</v>
      </c>
      <c r="D130" s="50"/>
      <c r="E130" s="32">
        <f t="shared" si="19"/>
        <v>0</v>
      </c>
      <c r="F130" s="32">
        <f t="shared" si="19"/>
        <v>0</v>
      </c>
      <c r="G130" s="32">
        <f t="shared" si="19"/>
        <v>0</v>
      </c>
      <c r="H130" s="32">
        <f t="shared" si="19"/>
        <v>0</v>
      </c>
      <c r="I130" s="32">
        <f t="shared" si="19"/>
        <v>20179.4801416298</v>
      </c>
      <c r="J130" s="32">
        <f t="shared" si="19"/>
        <v>19731.047249593583</v>
      </c>
      <c r="K130" s="95"/>
      <c r="L130" s="50"/>
      <c r="M130" s="15"/>
    </row>
    <row r="131" spans="1:13">
      <c r="A131" s="50">
        <v>6</v>
      </c>
      <c r="B131" s="50"/>
      <c r="C131" s="50" t="s">
        <v>253</v>
      </c>
      <c r="D131" s="50"/>
      <c r="E131" s="32">
        <f t="shared" si="19"/>
        <v>0</v>
      </c>
      <c r="F131" s="32">
        <f t="shared" si="19"/>
        <v>0</v>
      </c>
      <c r="G131" s="32">
        <f t="shared" si="19"/>
        <v>0</v>
      </c>
      <c r="H131" s="32">
        <f t="shared" si="19"/>
        <v>0</v>
      </c>
      <c r="I131" s="32">
        <f t="shared" si="19"/>
        <v>0</v>
      </c>
      <c r="J131" s="32">
        <f t="shared" si="19"/>
        <v>13595.831009777021</v>
      </c>
      <c r="K131" s="95"/>
      <c r="L131" s="50"/>
      <c r="M131" s="15"/>
    </row>
    <row r="132" spans="1:13">
      <c r="A132" s="50"/>
      <c r="B132" s="50"/>
      <c r="C132" s="50" t="s">
        <v>62</v>
      </c>
      <c r="D132" s="50"/>
      <c r="E132" s="32">
        <f t="shared" ref="E132:J132" si="20">SUM(E120:E125)</f>
        <v>0</v>
      </c>
      <c r="F132" s="32">
        <f t="shared" si="20"/>
        <v>221.8014</v>
      </c>
      <c r="G132" s="32">
        <f t="shared" si="20"/>
        <v>757.32500858651747</v>
      </c>
      <c r="H132" s="32">
        <f t="shared" si="20"/>
        <v>1249.9782870928277</v>
      </c>
      <c r="I132" s="32">
        <f t="shared" si="20"/>
        <v>1901.9848615350375</v>
      </c>
      <c r="J132" s="32">
        <f t="shared" si="20"/>
        <v>2350.4177535712552</v>
      </c>
      <c r="K132" s="95"/>
      <c r="L132" s="27"/>
      <c r="M132" s="15"/>
    </row>
    <row r="133" spans="1:13" s="15" customFormat="1">
      <c r="A133" s="50"/>
      <c r="B133" s="50"/>
      <c r="C133" s="50"/>
      <c r="D133" s="50"/>
      <c r="E133" s="32"/>
      <c r="F133" s="32"/>
      <c r="G133" s="32"/>
      <c r="H133" s="32"/>
      <c r="I133" s="32"/>
      <c r="J133" s="32"/>
      <c r="K133" s="95"/>
      <c r="L133" s="50"/>
    </row>
    <row r="134" spans="1:13" ht="15.75">
      <c r="A134" s="50"/>
      <c r="B134" s="50"/>
      <c r="C134" s="162" t="s">
        <v>63</v>
      </c>
      <c r="D134" s="50"/>
      <c r="E134" s="50"/>
      <c r="F134" s="50"/>
      <c r="G134" s="50"/>
      <c r="H134" s="50"/>
      <c r="I134" s="50"/>
      <c r="J134" s="50"/>
      <c r="K134" s="95"/>
      <c r="L134" s="50"/>
      <c r="M134" s="15"/>
    </row>
    <row r="135" spans="1:13">
      <c r="A135" s="50"/>
      <c r="B135" s="50"/>
      <c r="C135" s="50" t="s">
        <v>65</v>
      </c>
      <c r="D135" s="50"/>
      <c r="E135" s="129">
        <f>E59</f>
        <v>127657.6746267683</v>
      </c>
      <c r="F135" s="32">
        <f>E140</f>
        <v>119960.6516267683</v>
      </c>
      <c r="G135" s="32">
        <f>F140</f>
        <v>112264.63741413128</v>
      </c>
      <c r="H135" s="32">
        <f>G140</f>
        <v>104571.52120518607</v>
      </c>
      <c r="I135" s="32">
        <f>H140</f>
        <v>96881.496530602948</v>
      </c>
      <c r="J135" s="32">
        <f>I140</f>
        <v>89194.966652882591</v>
      </c>
      <c r="K135" s="95"/>
      <c r="L135" s="50"/>
      <c r="M135" s="15"/>
    </row>
    <row r="136" spans="1:13">
      <c r="A136" s="50"/>
      <c r="B136" s="50"/>
      <c r="C136" s="50" t="s">
        <v>40</v>
      </c>
      <c r="D136" s="50"/>
      <c r="E136" s="32">
        <f t="shared" ref="E136:J136" si="21">E56</f>
        <v>53.023000000000003</v>
      </c>
      <c r="F136" s="32">
        <f t="shared" si="21"/>
        <v>55.391392889699176</v>
      </c>
      <c r="G136" s="32">
        <f t="shared" si="21"/>
        <v>56.261414767547862</v>
      </c>
      <c r="H136" s="32">
        <f t="shared" si="21"/>
        <v>57.276440291704652</v>
      </c>
      <c r="I136" s="32">
        <f t="shared" si="21"/>
        <v>58.29146581586145</v>
      </c>
      <c r="J136" s="32">
        <f t="shared" si="21"/>
        <v>59.644833181403833</v>
      </c>
      <c r="K136" s="95"/>
      <c r="L136" s="50"/>
      <c r="M136" s="15"/>
    </row>
    <row r="137" spans="1:13">
      <c r="A137" s="50"/>
      <c r="B137" s="50"/>
      <c r="C137" s="50" t="s">
        <v>312</v>
      </c>
      <c r="D137" s="50"/>
      <c r="E137" s="32">
        <f>Alp!E12</f>
        <v>0</v>
      </c>
      <c r="F137" s="32"/>
      <c r="G137" s="32"/>
      <c r="H137" s="32"/>
      <c r="I137" s="32"/>
      <c r="J137" s="32"/>
      <c r="K137" s="95"/>
      <c r="L137" s="50"/>
      <c r="M137" s="15"/>
    </row>
    <row r="138" spans="1:13">
      <c r="A138" s="50"/>
      <c r="B138" s="50"/>
      <c r="C138" s="50" t="s">
        <v>313</v>
      </c>
      <c r="D138" s="50"/>
      <c r="E138" s="32">
        <f>Alp!E13</f>
        <v>0</v>
      </c>
      <c r="F138" s="32"/>
      <c r="G138" s="32"/>
      <c r="H138" s="32"/>
      <c r="I138" s="32"/>
      <c r="J138" s="32"/>
      <c r="K138" s="95"/>
      <c r="L138" s="50"/>
      <c r="M138" s="15"/>
    </row>
    <row r="139" spans="1:13">
      <c r="A139" s="50"/>
      <c r="B139" s="50"/>
      <c r="C139" s="50" t="s">
        <v>64</v>
      </c>
      <c r="D139" s="50"/>
      <c r="E139" s="32">
        <f t="shared" ref="E139:J139" si="22">E135/E$54</f>
        <v>7644.0000000000009</v>
      </c>
      <c r="F139" s="32">
        <f t="shared" si="22"/>
        <v>7640.6228197473301</v>
      </c>
      <c r="G139" s="32">
        <f t="shared" si="22"/>
        <v>7636.8547941776633</v>
      </c>
      <c r="H139" s="32">
        <f t="shared" si="22"/>
        <v>7632.7482342914091</v>
      </c>
      <c r="I139" s="32">
        <f t="shared" si="22"/>
        <v>7628.2384119045064</v>
      </c>
      <c r="J139" s="32">
        <f t="shared" si="22"/>
        <v>7623.2563954717689</v>
      </c>
      <c r="K139" s="95"/>
      <c r="L139" s="50"/>
      <c r="M139" s="15"/>
    </row>
    <row r="140" spans="1:13">
      <c r="A140" s="50"/>
      <c r="B140" s="50"/>
      <c r="C140" s="50" t="s">
        <v>61</v>
      </c>
      <c r="D140" s="50"/>
      <c r="E140" s="129">
        <f>E135-E136-E137+E138-E139</f>
        <v>119960.6516267683</v>
      </c>
      <c r="F140" s="32">
        <f>F135-F136-F139</f>
        <v>112264.63741413128</v>
      </c>
      <c r="G140" s="32">
        <f>G135-G136-G139</f>
        <v>104571.52120518607</v>
      </c>
      <c r="H140" s="32">
        <f>H135-H136-H139</f>
        <v>96881.496530602948</v>
      </c>
      <c r="I140" s="32">
        <f>I135-I136-I139</f>
        <v>89194.966652882591</v>
      </c>
      <c r="J140" s="32">
        <f>J135-J136-J139</f>
        <v>81512.065424229426</v>
      </c>
      <c r="K140" s="95"/>
      <c r="L140" s="50"/>
      <c r="M140" s="15"/>
    </row>
    <row r="141" spans="1:13">
      <c r="A141" s="50"/>
      <c r="B141" s="50"/>
      <c r="C141" s="50"/>
      <c r="D141" s="50"/>
      <c r="E141" s="32"/>
      <c r="F141" s="32"/>
      <c r="G141" s="32"/>
      <c r="H141" s="32"/>
      <c r="I141" s="32"/>
      <c r="J141" s="32"/>
      <c r="K141" s="95"/>
      <c r="L141" s="27"/>
      <c r="M141" s="15"/>
    </row>
    <row r="142" spans="1:13" ht="15.75">
      <c r="A142" s="50"/>
      <c r="B142" s="50"/>
      <c r="C142" s="162" t="s">
        <v>66</v>
      </c>
      <c r="D142" s="50"/>
      <c r="E142" s="50"/>
      <c r="F142" s="50"/>
      <c r="G142" s="50"/>
      <c r="H142" s="50"/>
      <c r="I142" s="50"/>
      <c r="J142" s="50"/>
      <c r="K142" s="95"/>
      <c r="L142" s="27"/>
      <c r="M142" s="15"/>
    </row>
    <row r="143" spans="1:13">
      <c r="A143" s="50"/>
      <c r="B143" s="50"/>
      <c r="C143" s="50" t="s">
        <v>155</v>
      </c>
      <c r="D143" s="50"/>
      <c r="E143" s="32">
        <f t="shared" ref="E143:J143" si="23">E59+E100</f>
        <v>127657.6746267683</v>
      </c>
      <c r="F143" s="32">
        <f t="shared" si="23"/>
        <v>132138.63402182193</v>
      </c>
      <c r="G143" s="32">
        <f t="shared" si="23"/>
        <v>150793.89364216488</v>
      </c>
      <c r="H143" s="32">
        <f t="shared" si="23"/>
        <v>167870.12573745268</v>
      </c>
      <c r="I143" s="32">
        <f t="shared" si="23"/>
        <v>191574.77247368032</v>
      </c>
      <c r="J143" s="32">
        <f t="shared" si="23"/>
        <v>205505.3242113108</v>
      </c>
      <c r="K143" s="95"/>
      <c r="L143" s="27"/>
      <c r="M143" s="15"/>
    </row>
    <row r="144" spans="1:13">
      <c r="A144" s="50"/>
      <c r="B144" s="50"/>
      <c r="C144" s="50" t="s">
        <v>154</v>
      </c>
      <c r="D144" s="50"/>
      <c r="E144" s="32">
        <f t="shared" ref="E144:J146" si="24">E63+E101</f>
        <v>2196.9193950536342</v>
      </c>
      <c r="F144" s="32">
        <f t="shared" si="24"/>
        <v>2614.4406665456991</v>
      </c>
      <c r="G144" s="32">
        <f t="shared" si="24"/>
        <v>3666.0945780186557</v>
      </c>
      <c r="H144" s="32">
        <f t="shared" si="24"/>
        <v>3839.2277570016845</v>
      </c>
      <c r="I144" s="32">
        <f t="shared" si="24"/>
        <v>4105.1107288434596</v>
      </c>
      <c r="J144" s="32">
        <f t="shared" si="24"/>
        <v>4106.9176546990693</v>
      </c>
      <c r="K144" s="95"/>
      <c r="L144" s="50"/>
      <c r="M144" s="15"/>
    </row>
    <row r="145" spans="1:13">
      <c r="A145" s="50"/>
      <c r="B145" s="50"/>
      <c r="C145" s="50" t="s">
        <v>153</v>
      </c>
      <c r="D145" s="50"/>
      <c r="E145" s="32">
        <f t="shared" si="24"/>
        <v>7644</v>
      </c>
      <c r="F145" s="32">
        <f t="shared" si="24"/>
        <v>8002.3520397063094</v>
      </c>
      <c r="G145" s="32">
        <f t="shared" si="24"/>
        <v>8702.9986007472999</v>
      </c>
      <c r="H145" s="32">
        <f t="shared" si="24"/>
        <v>9417.6004303817572</v>
      </c>
      <c r="I145" s="32">
        <f t="shared" si="24"/>
        <v>10295.74766702691</v>
      </c>
      <c r="J145" s="32">
        <f t="shared" si="24"/>
        <v>10975.974827834307</v>
      </c>
      <c r="K145" s="95"/>
      <c r="L145" s="50"/>
      <c r="M145" s="15"/>
    </row>
    <row r="146" spans="1:13">
      <c r="A146" s="50"/>
      <c r="B146" s="50"/>
      <c r="C146" s="50" t="s">
        <v>156</v>
      </c>
      <c r="D146" s="50"/>
      <c r="E146" s="32">
        <f t="shared" si="24"/>
        <v>132138.63402182193</v>
      </c>
      <c r="F146" s="32">
        <f t="shared" si="24"/>
        <v>150793.89364216488</v>
      </c>
      <c r="G146" s="32">
        <f t="shared" si="24"/>
        <v>167870.12573745268</v>
      </c>
      <c r="H146" s="32">
        <f t="shared" si="24"/>
        <v>191574.77247368032</v>
      </c>
      <c r="I146" s="32">
        <f t="shared" si="24"/>
        <v>205505.3242113108</v>
      </c>
      <c r="J146" s="32">
        <f t="shared" si="24"/>
        <v>212172.4532147712</v>
      </c>
      <c r="K146" s="95"/>
      <c r="L146" s="50"/>
      <c r="M146" s="15"/>
    </row>
    <row r="147" spans="1:13">
      <c r="A147" s="50"/>
      <c r="B147" s="50"/>
      <c r="C147" s="50" t="s">
        <v>45</v>
      </c>
      <c r="D147" s="50"/>
      <c r="E147" s="32">
        <f t="shared" ref="E147:J147" si="25">E132+E139</f>
        <v>7644.0000000000009</v>
      </c>
      <c r="F147" s="32">
        <f t="shared" si="25"/>
        <v>7862.4242197473304</v>
      </c>
      <c r="G147" s="32">
        <f t="shared" si="25"/>
        <v>8394.1798027641817</v>
      </c>
      <c r="H147" s="32">
        <f t="shared" si="25"/>
        <v>8882.7265213842365</v>
      </c>
      <c r="I147" s="32">
        <f t="shared" si="25"/>
        <v>9530.2232734395438</v>
      </c>
      <c r="J147" s="32">
        <f t="shared" si="25"/>
        <v>9973.674149043025</v>
      </c>
      <c r="K147" s="95"/>
      <c r="L147" s="50"/>
      <c r="M147" s="15"/>
    </row>
    <row r="148" spans="1:13">
      <c r="A148" s="50"/>
      <c r="B148" s="50"/>
      <c r="C148" s="50" t="s">
        <v>178</v>
      </c>
      <c r="D148" s="50"/>
      <c r="E148" s="128"/>
      <c r="F148" s="165">
        <f>F143+F107+F144-F145-F56-F146</f>
        <v>0</v>
      </c>
      <c r="G148" s="165">
        <f>G143+G107+G144-G145-G56-G146</f>
        <v>0</v>
      </c>
      <c r="H148" s="165">
        <f>H143+H107+H144-H145-H56-H146</f>
        <v>0</v>
      </c>
      <c r="I148" s="165">
        <f>I143+I107+I144-I145-I56-I146</f>
        <v>0</v>
      </c>
      <c r="J148" s="165">
        <f>J143+J107+J144-J145-J56-J146</f>
        <v>0</v>
      </c>
      <c r="K148" s="95"/>
      <c r="L148" s="50"/>
      <c r="M148" s="15"/>
    </row>
    <row r="149" spans="1:13">
      <c r="A149" s="50"/>
      <c r="B149" s="50"/>
      <c r="C149" s="50"/>
      <c r="D149" s="50"/>
      <c r="E149" s="50"/>
      <c r="F149" s="32"/>
      <c r="G149" s="32"/>
      <c r="H149" s="50"/>
      <c r="I149" s="50"/>
      <c r="J149" s="50"/>
      <c r="K149" s="95"/>
      <c r="L149" s="50"/>
      <c r="M149" s="15"/>
    </row>
    <row r="150" spans="1:13" ht="15.75">
      <c r="A150" s="50"/>
      <c r="B150" s="50"/>
      <c r="C150" s="162" t="s">
        <v>90</v>
      </c>
      <c r="D150" s="50"/>
      <c r="E150" s="50"/>
      <c r="F150" s="50"/>
      <c r="G150" s="50"/>
      <c r="H150" s="50"/>
      <c r="I150" s="50"/>
      <c r="J150" s="50"/>
      <c r="K150" s="95"/>
      <c r="L150" s="50"/>
      <c r="M150" s="15"/>
    </row>
    <row r="151" spans="1:13" ht="15.75">
      <c r="A151" s="50"/>
      <c r="B151" s="50"/>
      <c r="C151" s="158" t="s">
        <v>160</v>
      </c>
      <c r="D151" s="50"/>
      <c r="E151" s="129"/>
      <c r="F151" s="166">
        <f>F143/$E143</f>
        <v>1.0351013709763597</v>
      </c>
      <c r="G151" s="166">
        <f>G143/$E143</f>
        <v>1.1812364127972701</v>
      </c>
      <c r="H151" s="166">
        <f>H143/$E143</f>
        <v>1.315002221591872</v>
      </c>
      <c r="I151" s="166">
        <f>I143/$E143</f>
        <v>1.5006913844685477</v>
      </c>
      <c r="J151" s="166">
        <f>J143/$E143</f>
        <v>1.6098156637440328</v>
      </c>
      <c r="K151" s="95"/>
      <c r="L151" s="50"/>
      <c r="M151" s="15"/>
    </row>
    <row r="152" spans="1:13">
      <c r="A152" s="50"/>
      <c r="B152" s="50"/>
      <c r="C152" s="50" t="s">
        <v>90</v>
      </c>
      <c r="D152" s="50"/>
      <c r="E152" s="129">
        <f>IF(E20&gt;0,E20,0)</f>
        <v>0</v>
      </c>
      <c r="F152" s="32">
        <f>$E152*F151</f>
        <v>0</v>
      </c>
      <c r="G152" s="32">
        <f>$E152*G151</f>
        <v>0</v>
      </c>
      <c r="H152" s="32">
        <f>$E152*H151</f>
        <v>0</v>
      </c>
      <c r="I152" s="32">
        <f>$E152*I151</f>
        <v>0</v>
      </c>
      <c r="J152" s="32">
        <f>$E152*J151</f>
        <v>0</v>
      </c>
      <c r="K152" s="95"/>
      <c r="L152" s="50"/>
      <c r="M152" s="15"/>
    </row>
    <row r="153" spans="1:13">
      <c r="A153" s="50"/>
      <c r="B153" s="50"/>
      <c r="C153" s="50"/>
      <c r="D153" s="50"/>
      <c r="E153" s="50"/>
      <c r="F153" s="50"/>
      <c r="G153" s="50"/>
      <c r="H153" s="50"/>
      <c r="I153" s="50"/>
      <c r="J153" s="50"/>
      <c r="K153" s="95"/>
      <c r="L153" s="50"/>
      <c r="M153" s="15"/>
    </row>
    <row r="154" spans="1:13" ht="15.75">
      <c r="A154" s="50"/>
      <c r="B154" s="50"/>
      <c r="C154" s="162" t="s">
        <v>46</v>
      </c>
      <c r="D154" s="50"/>
      <c r="E154" s="50"/>
      <c r="F154" s="50"/>
      <c r="G154" s="50"/>
      <c r="H154" s="50"/>
      <c r="I154" s="50"/>
      <c r="J154" s="50"/>
      <c r="K154" s="95"/>
      <c r="L154" s="27"/>
      <c r="M154" s="15"/>
    </row>
    <row r="155" spans="1:13">
      <c r="A155" s="50"/>
      <c r="B155" s="50"/>
      <c r="C155" s="50" t="s">
        <v>157</v>
      </c>
      <c r="D155" s="49">
        <f>E17/E18</f>
        <v>0.1055256595353721</v>
      </c>
      <c r="E155" s="50"/>
      <c r="F155" s="50"/>
      <c r="G155" s="50"/>
      <c r="H155" s="50"/>
      <c r="I155" s="50"/>
      <c r="J155" s="50"/>
      <c r="K155" s="95"/>
      <c r="L155" s="125"/>
      <c r="M155" s="15"/>
    </row>
    <row r="156" spans="1:13">
      <c r="A156" s="50"/>
      <c r="B156" s="50"/>
      <c r="C156" s="50" t="s">
        <v>167</v>
      </c>
      <c r="D156" s="50"/>
      <c r="E156" s="129">
        <f>E18</f>
        <v>60952</v>
      </c>
      <c r="F156" s="32">
        <f>E159</f>
        <v>64501.063000000002</v>
      </c>
      <c r="G156" s="32">
        <f>F159</f>
        <v>81793.108172585693</v>
      </c>
      <c r="H156" s="32">
        <f>G159</f>
        <v>95331.23402000952</v>
      </c>
      <c r="I156" s="32">
        <f>H159</f>
        <v>114611.63852562655</v>
      </c>
      <c r="J156" s="32">
        <f>I159</f>
        <v>122696.64992140995</v>
      </c>
      <c r="K156" s="95"/>
      <c r="L156" s="125"/>
      <c r="M156" s="15"/>
    </row>
    <row r="157" spans="1:13">
      <c r="A157" s="50"/>
      <c r="B157" s="50"/>
      <c r="C157" s="50" t="s">
        <v>34</v>
      </c>
      <c r="D157" s="50"/>
      <c r="E157" s="129">
        <f>E17</f>
        <v>6432</v>
      </c>
      <c r="F157" s="32">
        <f>F156*$D155</f>
        <v>6806.5172138075868</v>
      </c>
      <c r="G157" s="32">
        <f>G156*$D155</f>
        <v>8631.2716853601396</v>
      </c>
      <c r="H157" s="32">
        <f>H156*$D155</f>
        <v>10059.891344282407</v>
      </c>
      <c r="I157" s="32">
        <f>I156*$D155</f>
        <v>12094.468745846403</v>
      </c>
      <c r="J157" s="32">
        <f>J156*$D155</f>
        <v>12947.644905737447</v>
      </c>
      <c r="K157" s="95"/>
      <c r="L157" s="50"/>
      <c r="M157" s="15"/>
    </row>
    <row r="158" spans="1:13">
      <c r="A158" s="50"/>
      <c r="B158" s="50"/>
      <c r="C158" s="50" t="s">
        <v>98</v>
      </c>
      <c r="D158" s="50"/>
      <c r="E158" s="32">
        <f t="shared" ref="E158:J158" si="26">E29</f>
        <v>9981.0630000000001</v>
      </c>
      <c r="F158" s="32">
        <f t="shared" si="26"/>
        <v>24098.562386393281</v>
      </c>
      <c r="G158" s="32">
        <f t="shared" si="26"/>
        <v>22169.397532783973</v>
      </c>
      <c r="H158" s="32">
        <f t="shared" si="26"/>
        <v>29340.295849899445</v>
      </c>
      <c r="I158" s="32">
        <f t="shared" si="26"/>
        <v>20179.4801416298</v>
      </c>
      <c r="J158" s="32">
        <f t="shared" si="26"/>
        <v>13595.831009777021</v>
      </c>
      <c r="K158" s="95"/>
      <c r="L158" s="125"/>
      <c r="M158" s="15"/>
    </row>
    <row r="159" spans="1:13">
      <c r="A159" s="50"/>
      <c r="B159" s="50"/>
      <c r="C159" s="50" t="s">
        <v>127</v>
      </c>
      <c r="D159" s="50"/>
      <c r="E159" s="32">
        <f t="shared" ref="E159:J159" si="27">E156-E157+E158</f>
        <v>64501.063000000002</v>
      </c>
      <c r="F159" s="32">
        <f t="shared" si="27"/>
        <v>81793.108172585693</v>
      </c>
      <c r="G159" s="32">
        <f t="shared" si="27"/>
        <v>95331.23402000952</v>
      </c>
      <c r="H159" s="32">
        <f t="shared" si="27"/>
        <v>114611.63852562655</v>
      </c>
      <c r="I159" s="32">
        <f t="shared" si="27"/>
        <v>122696.64992140995</v>
      </c>
      <c r="J159" s="32">
        <f t="shared" si="27"/>
        <v>123344.83602544952</v>
      </c>
      <c r="K159" s="95"/>
      <c r="L159" s="125"/>
      <c r="M159" s="15"/>
    </row>
    <row r="160" spans="1:13">
      <c r="A160" s="50"/>
      <c r="B160" s="50"/>
      <c r="C160" s="50"/>
      <c r="D160" s="50"/>
      <c r="E160" s="50"/>
      <c r="F160" s="50"/>
      <c r="G160" s="50"/>
      <c r="H160" s="50"/>
      <c r="I160" s="50"/>
      <c r="J160" s="50"/>
      <c r="K160" s="95"/>
      <c r="L160" s="27"/>
      <c r="M160" s="15"/>
    </row>
    <row r="161" spans="1:13" ht="15.75">
      <c r="A161" s="50"/>
      <c r="B161" s="50"/>
      <c r="C161" s="162" t="s">
        <v>128</v>
      </c>
      <c r="D161" s="50"/>
      <c r="E161" s="50"/>
      <c r="F161" s="50"/>
      <c r="G161" s="50"/>
      <c r="H161" s="50"/>
      <c r="I161" s="50"/>
      <c r="J161" s="50"/>
      <c r="K161" s="95"/>
      <c r="L161" s="27"/>
      <c r="M161" s="15"/>
    </row>
    <row r="162" spans="1:13">
      <c r="A162" s="50"/>
      <c r="B162" s="50"/>
      <c r="C162" s="50" t="s">
        <v>126</v>
      </c>
      <c r="D162" s="50"/>
      <c r="E162" s="32">
        <f t="shared" ref="E162:J162" si="28">E147-E157</f>
        <v>1212.0000000000009</v>
      </c>
      <c r="F162" s="32">
        <f t="shared" si="28"/>
        <v>1055.9070059397436</v>
      </c>
      <c r="G162" s="32">
        <f t="shared" si="28"/>
        <v>-237.09188259595794</v>
      </c>
      <c r="H162" s="32">
        <f t="shared" si="28"/>
        <v>-1177.1648228981703</v>
      </c>
      <c r="I162" s="32">
        <f t="shared" si="28"/>
        <v>-2564.2454724068593</v>
      </c>
      <c r="J162" s="32">
        <f t="shared" si="28"/>
        <v>-2973.9707566944217</v>
      </c>
      <c r="K162" s="95"/>
      <c r="L162" s="50"/>
      <c r="M162" s="15"/>
    </row>
    <row r="163" spans="1:13">
      <c r="A163" s="50"/>
      <c r="B163" s="50"/>
      <c r="C163" s="50"/>
      <c r="D163" s="50"/>
      <c r="E163" s="50"/>
      <c r="F163" s="50"/>
      <c r="G163" s="50"/>
      <c r="H163" s="50"/>
      <c r="I163" s="50"/>
      <c r="J163" s="50"/>
      <c r="K163" s="95"/>
      <c r="L163" s="50"/>
      <c r="M163" s="15"/>
    </row>
    <row r="164" spans="1:13" ht="15.75">
      <c r="A164" s="50"/>
      <c r="B164" s="50"/>
      <c r="C164" s="162" t="s">
        <v>47</v>
      </c>
      <c r="D164" s="50"/>
      <c r="E164" s="50"/>
      <c r="F164" s="50"/>
      <c r="G164" s="50"/>
      <c r="H164" s="50"/>
      <c r="I164" s="50"/>
      <c r="J164" s="50"/>
      <c r="K164" s="95"/>
      <c r="L164" s="50"/>
      <c r="M164" s="15"/>
    </row>
    <row r="165" spans="1:13">
      <c r="A165" s="50"/>
      <c r="B165" s="50"/>
      <c r="C165" s="50" t="s">
        <v>151</v>
      </c>
      <c r="D165" s="50"/>
      <c r="E165" s="193">
        <v>0</v>
      </c>
      <c r="F165" s="31">
        <f>E168</f>
        <v>-220.69480978456022</v>
      </c>
      <c r="G165" s="31">
        <f>F168</f>
        <v>-488.21751778719761</v>
      </c>
      <c r="H165" s="31">
        <f>G168</f>
        <v>-1099.9450673796557</v>
      </c>
      <c r="I165" s="31">
        <f>H168</f>
        <v>-1974.8930402567332</v>
      </c>
      <c r="J165" s="31">
        <f>I168</f>
        <v>-3238.2235949962437</v>
      </c>
      <c r="K165" s="95"/>
      <c r="L165" s="50"/>
      <c r="M165" s="15"/>
    </row>
    <row r="166" spans="1:13">
      <c r="A166" s="50"/>
      <c r="B166" s="50"/>
      <c r="C166" s="50" t="s">
        <v>126</v>
      </c>
      <c r="D166" s="50"/>
      <c r="E166" s="32">
        <f t="shared" ref="E166:J166" si="29">E162</f>
        <v>1212.0000000000009</v>
      </c>
      <c r="F166" s="32">
        <f t="shared" si="29"/>
        <v>1055.9070059397436</v>
      </c>
      <c r="G166" s="32">
        <f t="shared" si="29"/>
        <v>-237.09188259595794</v>
      </c>
      <c r="H166" s="32">
        <f t="shared" si="29"/>
        <v>-1177.1648228981703</v>
      </c>
      <c r="I166" s="32">
        <f t="shared" si="29"/>
        <v>-2564.2454724068593</v>
      </c>
      <c r="J166" s="32">
        <f t="shared" si="29"/>
        <v>-2973.9707566944217</v>
      </c>
      <c r="K166" s="95"/>
      <c r="L166" s="50"/>
      <c r="M166" s="15"/>
    </row>
    <row r="167" spans="1:13">
      <c r="A167" s="50"/>
      <c r="B167" s="50"/>
      <c r="C167" s="50" t="s">
        <v>48</v>
      </c>
      <c r="D167" s="50"/>
      <c r="E167" s="129">
        <f>(E11-E18)/E19</f>
        <v>1947.649365948535</v>
      </c>
      <c r="F167" s="32">
        <f>E167</f>
        <v>1947.649365948535</v>
      </c>
      <c r="G167" s="32">
        <f>F167</f>
        <v>1947.649365948535</v>
      </c>
      <c r="H167" s="32">
        <f>G167</f>
        <v>1947.649365948535</v>
      </c>
      <c r="I167" s="32">
        <f>H167</f>
        <v>1947.649365948535</v>
      </c>
      <c r="J167" s="32">
        <f>I167</f>
        <v>1947.649365948535</v>
      </c>
      <c r="K167" s="95"/>
      <c r="L167" s="50"/>
      <c r="M167" s="15"/>
    </row>
    <row r="168" spans="1:13">
      <c r="A168" s="50"/>
      <c r="B168" s="50"/>
      <c r="C168" s="50" t="s">
        <v>152</v>
      </c>
      <c r="D168" s="50"/>
      <c r="E168" s="31">
        <f t="shared" ref="E168:J168" si="30">E165+(E166-E167)*E53</f>
        <v>-220.69480978456022</v>
      </c>
      <c r="F168" s="31">
        <f t="shared" si="30"/>
        <v>-488.21751778719761</v>
      </c>
      <c r="G168" s="31">
        <f t="shared" si="30"/>
        <v>-1099.9450673796557</v>
      </c>
      <c r="H168" s="31">
        <f t="shared" si="30"/>
        <v>-1974.8930402567332</v>
      </c>
      <c r="I168" s="31">
        <f t="shared" si="30"/>
        <v>-3238.2235949962437</v>
      </c>
      <c r="J168" s="31">
        <f t="shared" si="30"/>
        <v>-4616.2772293362714</v>
      </c>
      <c r="K168" s="95"/>
      <c r="L168" s="50"/>
      <c r="M168" s="15"/>
    </row>
    <row r="169" spans="1:13">
      <c r="A169" s="50"/>
      <c r="B169" s="50"/>
      <c r="C169" s="50"/>
      <c r="D169" s="50"/>
      <c r="E169" s="31"/>
      <c r="F169" s="31"/>
      <c r="G169" s="31"/>
      <c r="H169" s="31"/>
      <c r="I169" s="31"/>
      <c r="J169" s="31"/>
      <c r="K169" s="95"/>
      <c r="L169" s="27"/>
      <c r="M169" s="15"/>
    </row>
    <row r="170" spans="1:13" ht="15.75">
      <c r="A170" s="50"/>
      <c r="B170" s="50"/>
      <c r="C170" s="162" t="s">
        <v>196</v>
      </c>
      <c r="D170" s="50"/>
      <c r="E170" s="50"/>
      <c r="F170" s="50"/>
      <c r="G170" s="50"/>
      <c r="H170" s="50"/>
      <c r="I170" s="50"/>
      <c r="J170" s="50"/>
      <c r="K170" s="95"/>
      <c r="L170" s="27"/>
      <c r="M170" s="15"/>
    </row>
    <row r="171" spans="1:13">
      <c r="A171" s="50"/>
      <c r="B171" s="50"/>
      <c r="C171" s="50" t="s">
        <v>106</v>
      </c>
      <c r="D171" s="50"/>
      <c r="E171" s="32">
        <f t="shared" ref="E171:J171" si="31">E143+E165</f>
        <v>127657.6746267683</v>
      </c>
      <c r="F171" s="32">
        <f t="shared" si="31"/>
        <v>131917.93921203737</v>
      </c>
      <c r="G171" s="32">
        <f t="shared" si="31"/>
        <v>150305.6761243777</v>
      </c>
      <c r="H171" s="32">
        <f t="shared" si="31"/>
        <v>166770.18067007302</v>
      </c>
      <c r="I171" s="32">
        <f t="shared" si="31"/>
        <v>189599.8794334236</v>
      </c>
      <c r="J171" s="32">
        <f t="shared" si="31"/>
        <v>202267.10061631456</v>
      </c>
      <c r="K171" s="95"/>
      <c r="L171" s="50"/>
      <c r="M171" s="15"/>
    </row>
    <row r="172" spans="1:13">
      <c r="A172" s="50"/>
      <c r="B172" s="50"/>
      <c r="C172" s="50" t="s">
        <v>98</v>
      </c>
      <c r="D172" s="50"/>
      <c r="E172" s="32">
        <f t="shared" ref="E172:J172" si="32">E29</f>
        <v>9981.0630000000001</v>
      </c>
      <c r="F172" s="32">
        <f t="shared" si="32"/>
        <v>24098.562386393281</v>
      </c>
      <c r="G172" s="32">
        <f t="shared" si="32"/>
        <v>22169.397532783973</v>
      </c>
      <c r="H172" s="32">
        <f t="shared" si="32"/>
        <v>29340.295849899445</v>
      </c>
      <c r="I172" s="32">
        <f t="shared" si="32"/>
        <v>20179.4801416298</v>
      </c>
      <c r="J172" s="32">
        <f t="shared" si="32"/>
        <v>13595.831009777021</v>
      </c>
      <c r="K172" s="95"/>
      <c r="L172" s="50"/>
      <c r="M172" s="15"/>
    </row>
    <row r="173" spans="1:13">
      <c r="A173" s="50"/>
      <c r="B173" s="50"/>
      <c r="C173" s="50" t="s">
        <v>111</v>
      </c>
      <c r="D173" s="50"/>
      <c r="E173" s="96">
        <f t="shared" ref="E173:J173" si="33">E152</f>
        <v>0</v>
      </c>
      <c r="F173" s="96">
        <f t="shared" si="33"/>
        <v>0</v>
      </c>
      <c r="G173" s="96">
        <f t="shared" si="33"/>
        <v>0</v>
      </c>
      <c r="H173" s="96">
        <f t="shared" si="33"/>
        <v>0</v>
      </c>
      <c r="I173" s="96">
        <f t="shared" si="33"/>
        <v>0</v>
      </c>
      <c r="J173" s="96">
        <f t="shared" si="33"/>
        <v>0</v>
      </c>
      <c r="K173" s="95"/>
      <c r="L173" s="50"/>
      <c r="M173" s="15"/>
    </row>
    <row r="174" spans="1:13">
      <c r="A174" s="50"/>
      <c r="B174" s="50"/>
      <c r="C174" s="50" t="s">
        <v>44</v>
      </c>
      <c r="D174" s="50"/>
      <c r="E174" s="96">
        <f t="shared" ref="E174:J174" si="34">E144</f>
        <v>2196.9193950536342</v>
      </c>
      <c r="F174" s="96">
        <f t="shared" si="34"/>
        <v>2614.4406665456991</v>
      </c>
      <c r="G174" s="96">
        <f t="shared" si="34"/>
        <v>3666.0945780186557</v>
      </c>
      <c r="H174" s="96">
        <f t="shared" si="34"/>
        <v>3839.2277570016845</v>
      </c>
      <c r="I174" s="96">
        <f t="shared" si="34"/>
        <v>4105.1107288434596</v>
      </c>
      <c r="J174" s="96">
        <f t="shared" si="34"/>
        <v>4106.9176546990693</v>
      </c>
      <c r="K174" s="95"/>
      <c r="L174" s="50"/>
      <c r="M174" s="15"/>
    </row>
    <row r="175" spans="1:13">
      <c r="A175" s="50"/>
      <c r="B175" s="50"/>
      <c r="C175" s="50" t="s">
        <v>196</v>
      </c>
      <c r="D175" s="50"/>
      <c r="E175" s="32">
        <f t="shared" ref="E175:J175" si="35">E171*WACC+E172*($D$48-1)+E173-E174</f>
        <v>9425.93274842957</v>
      </c>
      <c r="F175" s="32">
        <f t="shared" si="35"/>
        <v>9986.3852904361247</v>
      </c>
      <c r="G175" s="32">
        <f t="shared" si="35"/>
        <v>10464.75130215914</v>
      </c>
      <c r="H175" s="32">
        <f t="shared" si="35"/>
        <v>12042.530388001342</v>
      </c>
      <c r="I175" s="32">
        <f t="shared" si="35"/>
        <v>13386.651454080498</v>
      </c>
      <c r="J175" s="32">
        <f t="shared" si="35"/>
        <v>14213.923851439538</v>
      </c>
      <c r="K175" s="95"/>
      <c r="L175" s="50"/>
      <c r="M175" s="15"/>
    </row>
    <row r="176" spans="1:13">
      <c r="A176" s="50"/>
      <c r="B176" s="50"/>
      <c r="C176" s="50"/>
      <c r="D176" s="50"/>
      <c r="E176" s="31"/>
      <c r="F176" s="31"/>
      <c r="G176" s="31"/>
      <c r="H176" s="31"/>
      <c r="I176" s="31"/>
      <c r="J176" s="31"/>
      <c r="K176" s="95"/>
      <c r="L176" s="27"/>
      <c r="M176" s="15"/>
    </row>
    <row r="177" spans="1:13" ht="15.75">
      <c r="A177" s="50"/>
      <c r="B177" s="50"/>
      <c r="C177" s="162" t="s">
        <v>49</v>
      </c>
      <c r="D177" s="50"/>
      <c r="E177" s="50"/>
      <c r="F177" s="50"/>
      <c r="G177" s="50"/>
      <c r="H177" s="50"/>
      <c r="I177" s="50"/>
      <c r="J177" s="50"/>
      <c r="K177" s="95"/>
      <c r="L177" s="27"/>
      <c r="M177" s="15"/>
    </row>
    <row r="178" spans="1:13">
      <c r="A178" s="50"/>
      <c r="B178" s="50"/>
      <c r="C178" s="50" t="s">
        <v>50</v>
      </c>
      <c r="D178" s="50"/>
      <c r="E178" s="31">
        <f t="shared" ref="E178:J178" si="36">E171*Leverage*Debt+E152</f>
        <v>4454.2315830771995</v>
      </c>
      <c r="F178" s="31">
        <f t="shared" si="36"/>
        <v>4602.8807349864073</v>
      </c>
      <c r="G178" s="31">
        <f t="shared" si="36"/>
        <v>5244.4656513317868</v>
      </c>
      <c r="H178" s="31">
        <f t="shared" si="36"/>
        <v>5818.9451439401873</v>
      </c>
      <c r="I178" s="31">
        <f t="shared" si="36"/>
        <v>6615.5189931910163</v>
      </c>
      <c r="J178" s="31">
        <f t="shared" si="36"/>
        <v>7057.5036747044478</v>
      </c>
      <c r="K178" s="95"/>
      <c r="L178" s="50"/>
      <c r="M178" s="15"/>
    </row>
    <row r="179" spans="1:13">
      <c r="A179" s="50"/>
      <c r="B179" s="50"/>
      <c r="C179" s="50" t="s">
        <v>51</v>
      </c>
      <c r="D179" s="50"/>
      <c r="E179" s="31">
        <f t="shared" ref="E179:J179" si="37">E145-E147</f>
        <v>0</v>
      </c>
      <c r="F179" s="31">
        <f t="shared" si="37"/>
        <v>139.92781995897894</v>
      </c>
      <c r="G179" s="31">
        <f t="shared" si="37"/>
        <v>308.8187979831182</v>
      </c>
      <c r="H179" s="31">
        <f t="shared" si="37"/>
        <v>534.87390899752063</v>
      </c>
      <c r="I179" s="31">
        <f t="shared" si="37"/>
        <v>765.52439358736592</v>
      </c>
      <c r="J179" s="31">
        <f t="shared" si="37"/>
        <v>1002.3006787912818</v>
      </c>
      <c r="K179" s="95"/>
      <c r="L179" s="50"/>
      <c r="M179" s="15"/>
    </row>
    <row r="180" spans="1:13">
      <c r="A180" s="50"/>
      <c r="B180" s="50"/>
      <c r="C180" s="50" t="s">
        <v>52</v>
      </c>
      <c r="D180" s="50"/>
      <c r="E180" s="31">
        <f t="shared" ref="E180:J180" si="38">E167+E179-E178</f>
        <v>-2506.5822171286645</v>
      </c>
      <c r="F180" s="31">
        <f t="shared" si="38"/>
        <v>-2515.3035490788934</v>
      </c>
      <c r="G180" s="31">
        <f t="shared" si="38"/>
        <v>-2987.9974874001337</v>
      </c>
      <c r="H180" s="31">
        <f t="shared" si="38"/>
        <v>-3336.4218689941317</v>
      </c>
      <c r="I180" s="31">
        <f t="shared" si="38"/>
        <v>-3902.3452336551154</v>
      </c>
      <c r="J180" s="31">
        <f t="shared" si="38"/>
        <v>-4107.553629964631</v>
      </c>
      <c r="K180" s="95"/>
      <c r="L180" s="50"/>
      <c r="M180" s="15"/>
    </row>
    <row r="181" spans="1:13">
      <c r="A181" s="50"/>
      <c r="B181" s="50"/>
      <c r="C181" s="50"/>
      <c r="D181" s="50"/>
      <c r="E181" s="50"/>
      <c r="F181" s="167"/>
      <c r="G181" s="32"/>
      <c r="H181" s="32"/>
      <c r="I181" s="32"/>
      <c r="J181" s="32"/>
      <c r="K181" s="95"/>
      <c r="L181" s="50"/>
      <c r="M181" s="15"/>
    </row>
    <row r="182" spans="1:13" ht="15.75">
      <c r="A182" s="50"/>
      <c r="B182" s="50"/>
      <c r="C182" s="162" t="s">
        <v>107</v>
      </c>
      <c r="D182" s="50"/>
      <c r="E182" s="50"/>
      <c r="F182" s="167"/>
      <c r="G182" s="32"/>
      <c r="H182" s="32"/>
      <c r="I182" s="32"/>
      <c r="J182" s="32"/>
      <c r="K182" s="95"/>
      <c r="L182" s="27"/>
      <c r="M182" s="15"/>
    </row>
    <row r="183" spans="1:13">
      <c r="A183" s="50"/>
      <c r="B183" s="50"/>
      <c r="C183" s="50" t="s">
        <v>153</v>
      </c>
      <c r="D183" s="50"/>
      <c r="E183" s="32">
        <f t="shared" ref="E183:J183" si="39">E145</f>
        <v>7644</v>
      </c>
      <c r="F183" s="32">
        <f t="shared" si="39"/>
        <v>8002.3520397063094</v>
      </c>
      <c r="G183" s="32">
        <f t="shared" si="39"/>
        <v>8702.9986007472999</v>
      </c>
      <c r="H183" s="32">
        <f t="shared" si="39"/>
        <v>9417.6004303817572</v>
      </c>
      <c r="I183" s="32">
        <f t="shared" si="39"/>
        <v>10295.74766702691</v>
      </c>
      <c r="J183" s="32">
        <f t="shared" si="39"/>
        <v>10975.974827834307</v>
      </c>
      <c r="K183" s="95"/>
      <c r="L183" s="50"/>
      <c r="M183" s="15"/>
    </row>
    <row r="184" spans="1:13">
      <c r="A184" s="50"/>
      <c r="B184" s="50"/>
      <c r="C184" s="50" t="s">
        <v>107</v>
      </c>
      <c r="D184" s="50"/>
      <c r="E184" s="96">
        <f t="shared" ref="E184:J184" si="40">E183</f>
        <v>7644</v>
      </c>
      <c r="F184" s="96">
        <f t="shared" si="40"/>
        <v>8002.3520397063094</v>
      </c>
      <c r="G184" s="96">
        <f t="shared" si="40"/>
        <v>8702.9986007472999</v>
      </c>
      <c r="H184" s="96">
        <f t="shared" si="40"/>
        <v>9417.6004303817572</v>
      </c>
      <c r="I184" s="96">
        <f t="shared" si="40"/>
        <v>10295.74766702691</v>
      </c>
      <c r="J184" s="96">
        <f t="shared" si="40"/>
        <v>10975.974827834307</v>
      </c>
      <c r="K184" s="95"/>
      <c r="L184" s="50"/>
      <c r="M184" s="15"/>
    </row>
    <row r="185" spans="1:13">
      <c r="A185" s="50"/>
      <c r="B185" s="50"/>
      <c r="C185" s="50"/>
      <c r="D185" s="50"/>
      <c r="E185" s="50"/>
      <c r="F185" s="96"/>
      <c r="G185" s="96"/>
      <c r="H185" s="96"/>
      <c r="I185" s="96"/>
      <c r="J185" s="96"/>
      <c r="K185" s="95"/>
      <c r="L185" s="50"/>
      <c r="M185" s="15"/>
    </row>
    <row r="186" spans="1:13" ht="15.75">
      <c r="A186" s="50"/>
      <c r="B186" s="50"/>
      <c r="C186" s="121" t="s">
        <v>122</v>
      </c>
      <c r="D186" s="50"/>
      <c r="E186" s="50"/>
      <c r="F186" s="96"/>
      <c r="G186" s="96"/>
      <c r="H186" s="96"/>
      <c r="I186" s="96"/>
      <c r="J186" s="96"/>
      <c r="K186" s="95"/>
      <c r="L186" s="27"/>
      <c r="M186" s="15"/>
    </row>
    <row r="187" spans="1:13">
      <c r="A187" s="50"/>
      <c r="B187" s="50"/>
      <c r="C187" s="50" t="s">
        <v>122</v>
      </c>
      <c r="D187" s="50"/>
      <c r="E187" s="32">
        <f t="shared" ref="E187:J187" si="41">E43</f>
        <v>6.1865778081198419</v>
      </c>
      <c r="F187" s="32">
        <f t="shared" si="41"/>
        <v>6.4629153765773371</v>
      </c>
      <c r="G187" s="32">
        <f t="shared" si="41"/>
        <v>6.5644271364188667</v>
      </c>
      <c r="H187" s="32">
        <f t="shared" si="41"/>
        <v>6.6828575229006502</v>
      </c>
      <c r="I187" s="32">
        <f t="shared" si="41"/>
        <v>6.8012879093824345</v>
      </c>
      <c r="J187" s="32">
        <f t="shared" si="41"/>
        <v>6.9591950913581453</v>
      </c>
      <c r="K187" s="95"/>
      <c r="L187" s="125"/>
      <c r="M187" s="15"/>
    </row>
    <row r="188" spans="1:13">
      <c r="A188" s="50"/>
      <c r="B188" s="50"/>
      <c r="C188" s="50"/>
      <c r="D188" s="50"/>
      <c r="E188" s="50"/>
      <c r="F188" s="96"/>
      <c r="G188" s="96"/>
      <c r="H188" s="96"/>
      <c r="I188" s="96"/>
      <c r="J188" s="96"/>
      <c r="K188" s="95"/>
      <c r="L188" s="27"/>
      <c r="M188" s="15"/>
    </row>
    <row r="189" spans="1:13" ht="15.75">
      <c r="A189" s="50"/>
      <c r="B189" s="50"/>
      <c r="C189" s="162" t="s">
        <v>179</v>
      </c>
      <c r="D189" s="50"/>
      <c r="E189" s="32">
        <f t="shared" ref="E189:J189" si="42">E28</f>
        <v>10160.846</v>
      </c>
      <c r="F189" s="32">
        <f t="shared" si="42"/>
        <v>10486.056315275446</v>
      </c>
      <c r="G189" s="32">
        <f t="shared" si="42"/>
        <v>10769.677272781286</v>
      </c>
      <c r="H189" s="32">
        <f t="shared" si="42"/>
        <v>10999.83098946927</v>
      </c>
      <c r="I189" s="32">
        <f t="shared" si="42"/>
        <v>11280.770356096045</v>
      </c>
      <c r="J189" s="32">
        <f t="shared" si="42"/>
        <v>11594.623029314122</v>
      </c>
      <c r="K189" s="95"/>
      <c r="L189" s="125"/>
      <c r="M189" s="15"/>
    </row>
    <row r="190" spans="1:13">
      <c r="A190" s="50"/>
      <c r="B190" s="50"/>
      <c r="C190" s="50" t="s">
        <v>180</v>
      </c>
      <c r="D190" s="50"/>
      <c r="E190" s="32">
        <f t="shared" ref="E190:J190" si="43">E189*$D$46</f>
        <v>10595.81631464698</v>
      </c>
      <c r="F190" s="32">
        <f t="shared" si="43"/>
        <v>10934.94838733926</v>
      </c>
      <c r="G190" s="32">
        <f t="shared" si="43"/>
        <v>11230.71072530956</v>
      </c>
      <c r="H190" s="32">
        <f t="shared" si="43"/>
        <v>11470.716971458669</v>
      </c>
      <c r="I190" s="32">
        <f t="shared" si="43"/>
        <v>11763.682923735731</v>
      </c>
      <c r="J190" s="32">
        <f t="shared" si="43"/>
        <v>12090.971151042753</v>
      </c>
      <c r="K190" s="95"/>
      <c r="L190" s="125"/>
      <c r="M190" s="15"/>
    </row>
    <row r="191" spans="1:13">
      <c r="A191" s="50"/>
      <c r="B191" s="50"/>
      <c r="C191" s="50"/>
      <c r="D191" s="50"/>
      <c r="E191" s="50"/>
      <c r="F191" s="96"/>
      <c r="G191" s="32"/>
      <c r="H191" s="32"/>
      <c r="I191" s="32"/>
      <c r="J191" s="32"/>
      <c r="K191" s="95"/>
      <c r="L191" s="27"/>
      <c r="M191" s="15"/>
    </row>
    <row r="192" spans="1:13" ht="15.75">
      <c r="A192" s="50"/>
      <c r="B192" s="50"/>
      <c r="C192" s="162" t="s">
        <v>229</v>
      </c>
      <c r="D192" s="50"/>
      <c r="E192" s="50"/>
      <c r="F192" s="50"/>
      <c r="G192" s="50"/>
      <c r="H192" s="50"/>
      <c r="I192" s="50"/>
      <c r="J192" s="50"/>
      <c r="K192" s="95"/>
      <c r="L192" s="125"/>
      <c r="M192" s="15"/>
    </row>
    <row r="193" spans="1:15">
      <c r="A193" s="50"/>
      <c r="B193" s="50"/>
      <c r="C193" s="50" t="s">
        <v>169</v>
      </c>
      <c r="D193" s="50"/>
      <c r="E193" s="31">
        <f t="shared" ref="E193:J193" si="44">E168-E165</f>
        <v>-220.69480978456022</v>
      </c>
      <c r="F193" s="31">
        <f t="shared" si="44"/>
        <v>-267.52270800263739</v>
      </c>
      <c r="G193" s="31">
        <f t="shared" si="44"/>
        <v>-611.7275495924581</v>
      </c>
      <c r="H193" s="31">
        <f t="shared" si="44"/>
        <v>-874.94797287707752</v>
      </c>
      <c r="I193" s="31">
        <f t="shared" si="44"/>
        <v>-1263.3305547395105</v>
      </c>
      <c r="J193" s="31">
        <f t="shared" si="44"/>
        <v>-1378.0536343400277</v>
      </c>
      <c r="K193" s="95"/>
      <c r="L193" s="125"/>
      <c r="M193" s="15"/>
    </row>
    <row r="194" spans="1:15">
      <c r="A194" s="50"/>
      <c r="B194" s="50"/>
      <c r="C194" s="50" t="s">
        <v>170</v>
      </c>
      <c r="D194" s="50"/>
      <c r="E194" s="50"/>
      <c r="F194" s="31">
        <f>(F175+F184+F190+((F187-F189-F145-F152+F180)*F53+F193)*$D47-F193-F187*$D49)/($D50-F53*$D47)</f>
        <v>30944.410504917338</v>
      </c>
      <c r="G194" s="31">
        <f>(G175+G184+G190+((G187-G189-G145-G152+G180)*G53+G193)*$D47-G193-G187*$D49)/($D50-G53*$D47)</f>
        <v>32058.056084146167</v>
      </c>
      <c r="H194" s="31">
        <f>(H175+H184+H190+((H187-H189-H145-H152+H180)*H53+H193)*$D47-H193-H187*$D49)/($D50-H53*$D47)</f>
        <v>34944.112137939075</v>
      </c>
      <c r="I194" s="31">
        <f>(I175+I184+I190+((I187-I189-I145-I152+I180)*I53+I193)*$D47-I193-I187*$D49)/($D50-I53*$D47)</f>
        <v>37630.08499335048</v>
      </c>
      <c r="J194" s="31">
        <f>(J175+J184+J190+((J187-J189-J145-J152+J180)*J53+J193)*$D47-J193-J187*$D49)/($D50-J53*$D47)</f>
        <v>39622.28392793786</v>
      </c>
      <c r="K194" s="95"/>
      <c r="L194" s="125"/>
      <c r="M194" s="15"/>
    </row>
    <row r="195" spans="1:15">
      <c r="A195" s="50"/>
      <c r="B195" s="50"/>
      <c r="C195" s="50" t="s">
        <v>177</v>
      </c>
      <c r="D195" s="50"/>
      <c r="E195" s="50"/>
      <c r="F195" s="31">
        <f>(F194+F187-F189-F183-F152+F180)*F53</f>
        <v>2984.1484548699796</v>
      </c>
      <c r="G195" s="31">
        <f>(G194+G187-G189-G183-G152+G180)*G53</f>
        <v>2689.1052020990828</v>
      </c>
      <c r="H195" s="31">
        <f>(H194+H187-H189-H183-H152+H180)*H53</f>
        <v>3135.1436778527086</v>
      </c>
      <c r="I195" s="31">
        <f>(I194+I187-I189-I183-I152+I180)*I53</f>
        <v>3404.2464468549015</v>
      </c>
      <c r="J195" s="31">
        <f>(J194+J187-J189-J183-J152+J180)*J53</f>
        <v>3626.3056580565262</v>
      </c>
      <c r="K195" s="95"/>
      <c r="L195" s="125"/>
      <c r="M195" s="15"/>
    </row>
    <row r="196" spans="1:15">
      <c r="A196" s="50"/>
      <c r="B196" s="50"/>
      <c r="C196" s="50" t="s">
        <v>162</v>
      </c>
      <c r="D196" s="50"/>
      <c r="E196" s="50"/>
      <c r="F196" s="31">
        <f>IF(F195&lt;0,#N/A,F195)</f>
        <v>2984.1484548699796</v>
      </c>
      <c r="G196" s="31">
        <f>IF(G195&lt;0,#N/A,G195)</f>
        <v>2689.1052020990828</v>
      </c>
      <c r="H196" s="31">
        <f>IF(H195&lt;0,#N/A,H195)</f>
        <v>3135.1436778527086</v>
      </c>
      <c r="I196" s="31">
        <f>IF(I195&lt;0,#N/A,I195)</f>
        <v>3404.2464468549015</v>
      </c>
      <c r="J196" s="31">
        <f>IF(J195&lt;0,#N/A,J195)</f>
        <v>3626.3056580565262</v>
      </c>
      <c r="K196" s="95"/>
      <c r="L196" s="50"/>
      <c r="M196" s="15"/>
    </row>
    <row r="197" spans="1:15">
      <c r="A197" s="50"/>
      <c r="B197" s="50"/>
      <c r="C197" s="50" t="s">
        <v>171</v>
      </c>
      <c r="D197" s="50"/>
      <c r="E197" s="50"/>
      <c r="F197" s="31">
        <f>F175+F184+F190+(F196+F193)*$D$47-F193-F187*$D$49</f>
        <v>32017.389192839699</v>
      </c>
      <c r="G197" s="31">
        <f>G175+G184+G190+(G196+G193)*$D$47-G193-G187*$D$49</f>
        <v>33169.649757874169</v>
      </c>
      <c r="H197" s="31">
        <f>H175+H184+H190+(H196+H193)*$D$47-H193-H187*$D$49</f>
        <v>36155.778056939838</v>
      </c>
      <c r="I197" s="31">
        <f>I175+I184+I190+(I196+I193)*$D$47-I193-I187*$D$49</f>
        <v>38934.885393931901</v>
      </c>
      <c r="J197" s="31">
        <f>J175+J184+J190+(J196+J193)*$D$47-J193-J187*$D$49</f>
        <v>40996.162619688352</v>
      </c>
      <c r="K197" s="95"/>
      <c r="L197" s="27"/>
      <c r="M197" s="15"/>
    </row>
    <row r="198" spans="1:15">
      <c r="A198" s="50"/>
      <c r="B198" s="50"/>
      <c r="C198" s="50" t="s">
        <v>172</v>
      </c>
      <c r="D198" s="50"/>
      <c r="E198" s="50"/>
      <c r="F198" s="31">
        <f>F197/$D$50</f>
        <v>30944.410504917338</v>
      </c>
      <c r="G198" s="31">
        <f>G197/$D$50</f>
        <v>32058.056084146163</v>
      </c>
      <c r="H198" s="31">
        <f>H197/$D$50</f>
        <v>34944.112137939068</v>
      </c>
      <c r="I198" s="31">
        <f>I197/$D$50</f>
        <v>37630.08499335048</v>
      </c>
      <c r="J198" s="31">
        <f>J197/$D$50</f>
        <v>39622.28392793786</v>
      </c>
      <c r="K198" s="95"/>
      <c r="L198" s="50"/>
      <c r="M198" s="15"/>
    </row>
    <row r="199" spans="1:15">
      <c r="A199" s="50"/>
      <c r="B199" s="50"/>
      <c r="C199" s="50" t="s">
        <v>173</v>
      </c>
      <c r="D199" s="50"/>
      <c r="E199" s="50"/>
      <c r="F199" s="31">
        <f>F194-F198</f>
        <v>0</v>
      </c>
      <c r="G199" s="31">
        <f>G194-G198</f>
        <v>0</v>
      </c>
      <c r="H199" s="31">
        <f>H194-H198</f>
        <v>0</v>
      </c>
      <c r="I199" s="31">
        <f>I194-I198</f>
        <v>0</v>
      </c>
      <c r="J199" s="31">
        <f>J194-J198</f>
        <v>0</v>
      </c>
      <c r="K199" s="95"/>
      <c r="L199" s="27"/>
      <c r="M199" s="15"/>
    </row>
    <row r="200" spans="1:15">
      <c r="A200" s="50"/>
      <c r="B200" s="50"/>
      <c r="C200" s="50"/>
      <c r="D200" s="50"/>
      <c r="E200" s="50"/>
      <c r="F200" s="50"/>
      <c r="G200" s="50"/>
      <c r="H200" s="50"/>
      <c r="I200" s="50"/>
      <c r="J200" s="50"/>
      <c r="K200" s="50"/>
      <c r="L200" s="50"/>
      <c r="M200" s="15"/>
    </row>
    <row r="201" spans="1:15" ht="15.75">
      <c r="A201" s="50"/>
      <c r="B201" s="50"/>
      <c r="C201" s="162" t="s">
        <v>174</v>
      </c>
      <c r="D201" s="50"/>
      <c r="E201" s="50"/>
      <c r="F201" s="31"/>
      <c r="G201" s="31"/>
      <c r="H201" s="31"/>
      <c r="I201" s="31"/>
      <c r="J201" s="50"/>
      <c r="K201" s="95"/>
      <c r="L201" s="27"/>
      <c r="M201" s="15"/>
    </row>
    <row r="202" spans="1:15">
      <c r="A202" s="50"/>
      <c r="B202" s="50"/>
      <c r="C202" s="95" t="s">
        <v>103</v>
      </c>
      <c r="D202" s="50"/>
      <c r="E202" s="50"/>
      <c r="F202" s="31"/>
      <c r="G202" s="31"/>
      <c r="H202" s="31"/>
      <c r="I202" s="31"/>
      <c r="J202" s="50"/>
      <c r="K202" s="95"/>
      <c r="L202" s="50"/>
      <c r="M202" s="15"/>
      <c r="O202" s="8"/>
    </row>
    <row r="203" spans="1:15">
      <c r="A203" s="50"/>
      <c r="B203" s="50"/>
      <c r="C203" s="50" t="s">
        <v>175</v>
      </c>
      <c r="D203" s="50"/>
      <c r="E203" s="50"/>
      <c r="F203" s="50"/>
      <c r="G203" s="50"/>
      <c r="H203" s="31">
        <v>1</v>
      </c>
      <c r="I203" s="31">
        <v>2</v>
      </c>
      <c r="J203" s="31">
        <v>3</v>
      </c>
      <c r="K203" s="95"/>
      <c r="L203" s="27"/>
      <c r="M203" s="15"/>
    </row>
    <row r="204" spans="1:15">
      <c r="A204" s="50"/>
      <c r="B204" s="50" t="s">
        <v>135</v>
      </c>
      <c r="C204" s="50" t="s">
        <v>136</v>
      </c>
      <c r="D204" s="50"/>
      <c r="E204" s="50"/>
      <c r="F204" s="31"/>
      <c r="G204" s="31"/>
      <c r="H204" s="31">
        <f>H197</f>
        <v>36155.778056939838</v>
      </c>
      <c r="I204" s="31">
        <f>I197</f>
        <v>38934.885393931901</v>
      </c>
      <c r="J204" s="31">
        <f>J197</f>
        <v>40996.162619688352</v>
      </c>
      <c r="K204" s="95"/>
      <c r="L204" s="50"/>
      <c r="M204" s="15"/>
    </row>
    <row r="205" spans="1:15">
      <c r="A205" s="50"/>
      <c r="B205" s="50" t="s">
        <v>135</v>
      </c>
      <c r="C205" s="50" t="s">
        <v>137</v>
      </c>
      <c r="D205" s="50"/>
      <c r="E205" s="50"/>
      <c r="F205" s="31"/>
      <c r="G205" s="31"/>
      <c r="H205" s="31">
        <f>H204/(1+WACC)^H$203</f>
        <v>33240.579256173434</v>
      </c>
      <c r="I205" s="31">
        <f>I204/(1+WACC)^I$203</f>
        <v>32909.451470927415</v>
      </c>
      <c r="J205" s="31">
        <f>J204/(1+WACC)^J$203</f>
        <v>31857.802941576094</v>
      </c>
      <c r="K205" s="95"/>
      <c r="L205" s="50"/>
      <c r="M205" s="15"/>
    </row>
    <row r="206" spans="1:15">
      <c r="A206" s="50"/>
      <c r="B206" s="50" t="s">
        <v>135</v>
      </c>
      <c r="C206" s="50" t="s">
        <v>101</v>
      </c>
      <c r="D206" s="31">
        <f>SUM(H205:J205)</f>
        <v>98007.833668676947</v>
      </c>
      <c r="E206" s="50"/>
      <c r="F206" s="31"/>
      <c r="G206" s="31"/>
      <c r="H206" s="31"/>
      <c r="I206" s="31"/>
      <c r="J206" s="31"/>
      <c r="K206" s="95"/>
      <c r="L206" s="50"/>
      <c r="M206" s="15"/>
    </row>
    <row r="207" spans="1:15">
      <c r="A207" s="50"/>
      <c r="B207" s="50"/>
      <c r="C207" s="50"/>
      <c r="D207" s="50"/>
      <c r="E207" s="50"/>
      <c r="F207" s="123"/>
      <c r="G207" s="50"/>
      <c r="H207" s="50"/>
      <c r="I207" s="50"/>
      <c r="J207" s="50"/>
      <c r="K207" s="95"/>
      <c r="L207" s="50"/>
      <c r="M207" s="15"/>
    </row>
    <row r="208" spans="1:15" ht="21">
      <c r="A208" s="50"/>
      <c r="B208" s="50"/>
      <c r="C208" s="155" t="s">
        <v>104</v>
      </c>
      <c r="D208" s="50"/>
      <c r="E208" s="50"/>
      <c r="F208" s="123"/>
      <c r="G208" s="50"/>
      <c r="H208" s="50"/>
      <c r="I208" s="50"/>
      <c r="J208" s="50"/>
      <c r="K208" s="95"/>
      <c r="L208" s="50"/>
      <c r="M208" s="15"/>
    </row>
    <row r="209" spans="1:13" ht="15.75">
      <c r="A209" s="50"/>
      <c r="B209" s="50"/>
      <c r="C209" s="50"/>
      <c r="D209" s="50"/>
      <c r="E209" s="162" t="str">
        <f>Inputs!D$11</f>
        <v>2009/10</v>
      </c>
      <c r="F209" s="168" t="str">
        <f>Inputs!E$11</f>
        <v>2010/11</v>
      </c>
      <c r="G209" s="162" t="str">
        <f>Inputs!F$11</f>
        <v>2011/12</v>
      </c>
      <c r="H209" s="162" t="str">
        <f>Inputs!G$11</f>
        <v>2012/13</v>
      </c>
      <c r="I209" s="162" t="str">
        <f>Inputs!H$11</f>
        <v>2013/14</v>
      </c>
      <c r="J209" s="162" t="str">
        <f>Inputs!I$11</f>
        <v>2014/15</v>
      </c>
      <c r="K209" s="95"/>
      <c r="L209" s="50"/>
      <c r="M209" s="15"/>
    </row>
    <row r="210" spans="1:13">
      <c r="A210" s="50"/>
      <c r="B210" s="50"/>
      <c r="C210" s="50" t="s">
        <v>53</v>
      </c>
      <c r="D210" s="32">
        <f>D206</f>
        <v>98007.833668676947</v>
      </c>
      <c r="E210" s="50"/>
      <c r="F210" s="169"/>
      <c r="G210" s="32"/>
      <c r="H210" s="32"/>
      <c r="I210" s="32"/>
      <c r="J210" s="32"/>
      <c r="K210" s="95"/>
      <c r="L210" s="50"/>
      <c r="M210" s="15"/>
    </row>
    <row r="211" spans="1:13">
      <c r="A211" s="50"/>
      <c r="B211" s="50"/>
      <c r="C211" s="50" t="s">
        <v>143</v>
      </c>
      <c r="D211" s="50"/>
      <c r="E211" s="50"/>
      <c r="F211" s="113"/>
      <c r="G211" s="113"/>
      <c r="H211" s="170">
        <v>1</v>
      </c>
      <c r="I211" s="113">
        <f>H211*(1+I$35)*(1+I$30)*(1-X_industry_wide)</f>
        <v>1.0293703540589514</v>
      </c>
      <c r="J211" s="113">
        <f>I211*(1+J$35)*(1+J$30)*(1-X_industry_wide)</f>
        <v>1.0579520942262348</v>
      </c>
      <c r="K211" s="95"/>
      <c r="L211" s="50" t="s">
        <v>290</v>
      </c>
    </row>
    <row r="212" spans="1:13">
      <c r="A212" s="50"/>
      <c r="B212" s="50"/>
      <c r="C212" s="50" t="s">
        <v>102</v>
      </c>
      <c r="D212" s="50"/>
      <c r="E212" s="50"/>
      <c r="F212" s="171"/>
      <c r="G212" s="113"/>
      <c r="H212" s="113">
        <f>H211/(1+WACC)^H$203</f>
        <v>0.91937115013330895</v>
      </c>
      <c r="I212" s="113">
        <f>I211/(1+WACC)^I$203</f>
        <v>0.87006840702795785</v>
      </c>
      <c r="J212" s="113">
        <f>J211/(1+WACC)^J$203</f>
        <v>0.82212644271492907</v>
      </c>
      <c r="K212" s="95"/>
      <c r="L212" s="50" t="s">
        <v>165</v>
      </c>
    </row>
    <row r="213" spans="1:13">
      <c r="A213" s="50"/>
      <c r="B213" s="50"/>
      <c r="C213" s="50" t="s">
        <v>91</v>
      </c>
      <c r="D213" s="113">
        <f>SUM(H212:J212)</f>
        <v>2.6115659998761958</v>
      </c>
      <c r="E213" s="50"/>
      <c r="F213" s="171"/>
      <c r="G213" s="113"/>
      <c r="H213" s="113"/>
      <c r="I213" s="113"/>
      <c r="J213" s="113"/>
      <c r="K213" s="95"/>
      <c r="L213" s="50" t="s">
        <v>279</v>
      </c>
    </row>
    <row r="214" spans="1:13">
      <c r="A214" s="50"/>
      <c r="B214" s="50"/>
      <c r="C214" s="50" t="s">
        <v>142</v>
      </c>
      <c r="D214" s="32">
        <f>D210/D213</f>
        <v>37528.377101449136</v>
      </c>
      <c r="E214" s="50"/>
      <c r="F214" s="171"/>
      <c r="G214" s="113"/>
      <c r="H214" s="31"/>
      <c r="I214" s="31"/>
      <c r="J214" s="31"/>
      <c r="K214" s="95"/>
      <c r="L214" s="31"/>
    </row>
    <row r="215" spans="1:13">
      <c r="A215" s="50"/>
      <c r="B215" s="50"/>
      <c r="C215" s="50" t="s">
        <v>138</v>
      </c>
      <c r="D215" s="32"/>
      <c r="E215" s="50"/>
      <c r="F215" s="171"/>
      <c r="G215" s="113"/>
      <c r="H215" s="31">
        <f>$D214*H211</f>
        <v>37528.377101449136</v>
      </c>
      <c r="I215" s="31">
        <f>$D214*I211</f>
        <v>38630.598824176537</v>
      </c>
      <c r="J215" s="31">
        <f>$D214*J211</f>
        <v>39703.225147389989</v>
      </c>
      <c r="K215" s="95"/>
      <c r="L215" s="50" t="s">
        <v>131</v>
      </c>
    </row>
    <row r="216" spans="1:13">
      <c r="A216" s="50"/>
      <c r="B216" s="50"/>
      <c r="C216" s="50" t="s">
        <v>139</v>
      </c>
      <c r="D216" s="32"/>
      <c r="E216" s="50"/>
      <c r="F216" s="171"/>
      <c r="G216" s="113"/>
      <c r="H216" s="54">
        <f>H215/$D$50</f>
        <v>36270.712131340522</v>
      </c>
      <c r="I216" s="54">
        <f>I215/$D$50</f>
        <v>37335.995788608299</v>
      </c>
      <c r="J216" s="54">
        <f>J215/$D$50</f>
        <v>38372.675858428607</v>
      </c>
      <c r="K216" s="95"/>
      <c r="L216" s="50" t="s">
        <v>133</v>
      </c>
    </row>
    <row r="217" spans="1:13">
      <c r="A217" s="50"/>
      <c r="B217" s="50"/>
      <c r="C217" s="50" t="s">
        <v>140</v>
      </c>
      <c r="D217" s="50"/>
      <c r="E217" s="50"/>
      <c r="F217" s="171"/>
      <c r="G217" s="113"/>
      <c r="H217" s="31">
        <f>H215/(1+WACC)^H$203</f>
        <v>34502.507218395825</v>
      </c>
      <c r="I217" s="31">
        <f>I215/(1+WACC)^I$203</f>
        <v>32652.255283002334</v>
      </c>
      <c r="J217" s="31">
        <f>J215/(1+WACC)^J$203</f>
        <v>30853.07116727878</v>
      </c>
      <c r="K217" s="95"/>
      <c r="L217" s="50" t="s">
        <v>181</v>
      </c>
    </row>
    <row r="218" spans="1:13">
      <c r="A218" s="50"/>
      <c r="B218" s="50"/>
      <c r="C218" s="50" t="s">
        <v>141</v>
      </c>
      <c r="D218" s="32">
        <f>SUM(H217:J217)</f>
        <v>98007.833668676933</v>
      </c>
      <c r="E218" s="50"/>
      <c r="F218" s="171"/>
      <c r="G218" s="113"/>
      <c r="H218" s="31"/>
      <c r="I218" s="31"/>
      <c r="J218" s="31"/>
      <c r="K218" s="95"/>
      <c r="L218" s="50" t="s">
        <v>134</v>
      </c>
      <c r="M218" s="15"/>
    </row>
    <row r="219" spans="1:13">
      <c r="A219" s="50"/>
      <c r="B219" s="50"/>
      <c r="C219" s="50" t="s">
        <v>132</v>
      </c>
      <c r="D219" s="172">
        <f>D210-D218</f>
        <v>0</v>
      </c>
      <c r="E219" s="50"/>
      <c r="F219" s="171"/>
      <c r="G219" s="113"/>
      <c r="H219" s="31"/>
      <c r="I219" s="31"/>
      <c r="J219" s="31"/>
      <c r="K219" s="95"/>
      <c r="L219" s="50"/>
      <c r="M219" s="15"/>
    </row>
    <row r="220" spans="1:13">
      <c r="A220" s="50"/>
      <c r="B220" s="50"/>
      <c r="C220" s="50" t="s">
        <v>202</v>
      </c>
      <c r="D220" s="32">
        <f>SUM(I217:J217)</f>
        <v>63505.326450281114</v>
      </c>
      <c r="E220" s="50"/>
      <c r="F220" s="171"/>
      <c r="G220" s="113"/>
      <c r="H220" s="31"/>
      <c r="I220" s="31"/>
      <c r="J220" s="31"/>
      <c r="K220" s="95"/>
      <c r="L220" s="27"/>
      <c r="M220" s="15"/>
    </row>
    <row r="221" spans="1:13">
      <c r="A221" s="50"/>
      <c r="B221" s="50"/>
      <c r="C221" s="50"/>
      <c r="D221" s="31"/>
      <c r="E221" s="50"/>
      <c r="F221" s="123"/>
      <c r="G221" s="50"/>
      <c r="H221" s="50"/>
      <c r="I221" s="50"/>
      <c r="J221" s="50"/>
      <c r="K221" s="95"/>
      <c r="L221" s="50"/>
      <c r="M221" s="15"/>
    </row>
    <row r="222" spans="1:13" ht="21">
      <c r="A222" s="50"/>
      <c r="B222" s="50"/>
      <c r="C222" s="155" t="s">
        <v>113</v>
      </c>
      <c r="D222" s="155"/>
      <c r="E222" s="155"/>
      <c r="F222" s="155"/>
      <c r="G222" s="155"/>
      <c r="H222" s="50"/>
      <c r="I222" s="50"/>
      <c r="J222" s="50"/>
      <c r="K222" s="173"/>
      <c r="L222" s="174"/>
      <c r="M222" s="53"/>
    </row>
    <row r="223" spans="1:13" ht="15.75">
      <c r="A223" s="50"/>
      <c r="B223" s="50"/>
      <c r="C223" s="50"/>
      <c r="D223" s="50"/>
      <c r="E223" s="162" t="str">
        <f>Inputs!D$11</f>
        <v>2009/10</v>
      </c>
      <c r="F223" s="168" t="str">
        <f>Inputs!E$11</f>
        <v>2010/11</v>
      </c>
      <c r="G223" s="162" t="str">
        <f>Inputs!F$11</f>
        <v>2011/12</v>
      </c>
      <c r="H223" s="162" t="str">
        <f>Inputs!G$11</f>
        <v>2012/13</v>
      </c>
      <c r="I223" s="162" t="str">
        <f>Inputs!H$11</f>
        <v>2013/14</v>
      </c>
      <c r="J223" s="162" t="str">
        <f>Inputs!I$11</f>
        <v>2014/15</v>
      </c>
      <c r="K223" s="95"/>
      <c r="L223" s="50"/>
      <c r="M223" s="15"/>
    </row>
    <row r="224" spans="1:13" ht="15.75">
      <c r="A224" s="50"/>
      <c r="B224" s="50"/>
      <c r="C224" s="175" t="s">
        <v>318</v>
      </c>
      <c r="D224" s="50"/>
      <c r="E224" s="162"/>
      <c r="F224" s="95"/>
      <c r="G224" s="95"/>
      <c r="H224" s="95"/>
      <c r="I224" s="95"/>
      <c r="J224" s="95"/>
      <c r="K224" s="95"/>
      <c r="L224" s="50"/>
      <c r="M224" s="15"/>
    </row>
    <row r="225" spans="1:13" ht="15.75">
      <c r="A225" s="50"/>
      <c r="B225" s="50"/>
      <c r="C225" s="175" t="s">
        <v>204</v>
      </c>
      <c r="D225" s="50"/>
      <c r="E225" s="162"/>
      <c r="F225" s="95"/>
      <c r="G225" s="95"/>
      <c r="H225" s="95"/>
      <c r="I225" s="95"/>
      <c r="J225" s="95"/>
      <c r="K225" s="95"/>
      <c r="L225" s="50"/>
      <c r="M225" s="15"/>
    </row>
    <row r="226" spans="1:13">
      <c r="A226" s="50"/>
      <c r="B226" s="50" t="s">
        <v>150</v>
      </c>
      <c r="C226" s="50" t="s">
        <v>203</v>
      </c>
      <c r="D226" s="32">
        <f>D220</f>
        <v>63505.326450281114</v>
      </c>
      <c r="E226" s="50"/>
      <c r="F226" s="169"/>
      <c r="G226" s="32"/>
      <c r="H226" s="32"/>
      <c r="I226" s="32"/>
      <c r="J226" s="32"/>
      <c r="K226" s="95"/>
      <c r="L226" s="50"/>
      <c r="M226" s="15"/>
    </row>
    <row r="227" spans="1:13">
      <c r="A227" s="32"/>
      <c r="B227" s="50" t="s">
        <v>150</v>
      </c>
      <c r="C227" s="50" t="s">
        <v>319</v>
      </c>
      <c r="D227" s="49">
        <f>IF(E26="IWX",X_industry_wide,E26)</f>
        <v>-0.1</v>
      </c>
      <c r="E227" s="32"/>
      <c r="F227" s="49"/>
      <c r="G227" s="49"/>
      <c r="H227" s="49"/>
      <c r="I227" s="49"/>
      <c r="J227" s="49"/>
      <c r="K227" s="95"/>
      <c r="L227" s="50"/>
      <c r="M227" s="15"/>
    </row>
    <row r="228" spans="1:13">
      <c r="A228" s="50"/>
      <c r="B228" s="50" t="s">
        <v>150</v>
      </c>
      <c r="C228" s="50" t="s">
        <v>143</v>
      </c>
      <c r="D228" s="50"/>
      <c r="E228" s="50"/>
      <c r="F228" s="171"/>
      <c r="G228" s="113"/>
      <c r="H228" s="113"/>
      <c r="I228" s="113">
        <v>1</v>
      </c>
      <c r="J228" s="113">
        <f>I228*(1+J$35)*(1+J$30)*(1-D227)</f>
        <v>1.1305428595840554</v>
      </c>
      <c r="K228" s="95"/>
      <c r="L228" s="50" t="s">
        <v>278</v>
      </c>
    </row>
    <row r="229" spans="1:13">
      <c r="A229" s="50"/>
      <c r="B229" s="50" t="s">
        <v>150</v>
      </c>
      <c r="C229" s="50" t="s">
        <v>102</v>
      </c>
      <c r="D229" s="50"/>
      <c r="E229" s="50"/>
      <c r="F229" s="171"/>
      <c r="G229" s="113"/>
      <c r="H229" s="113"/>
      <c r="I229" s="113">
        <f>I228/(1+WACC)^I$203</f>
        <v>0.84524331169744327</v>
      </c>
      <c r="J229" s="113">
        <f>J228/(1+WACC)^J$203</f>
        <v>0.87853616865930384</v>
      </c>
      <c r="K229" s="95"/>
      <c r="L229" s="50" t="s">
        <v>165</v>
      </c>
    </row>
    <row r="230" spans="1:13">
      <c r="A230" s="50"/>
      <c r="B230" s="50" t="s">
        <v>150</v>
      </c>
      <c r="C230" s="50" t="s">
        <v>91</v>
      </c>
      <c r="D230" s="113">
        <f>SUM(I229:J229)</f>
        <v>1.7237794803567472</v>
      </c>
      <c r="E230" s="50"/>
      <c r="F230" s="171"/>
      <c r="G230" s="113"/>
      <c r="H230" s="113"/>
      <c r="I230" s="113"/>
      <c r="J230" s="113"/>
      <c r="K230" s="95"/>
      <c r="L230" s="50" t="s">
        <v>279</v>
      </c>
    </row>
    <row r="231" spans="1:13">
      <c r="A231" s="50"/>
      <c r="B231" s="50" t="s">
        <v>150</v>
      </c>
      <c r="C231" s="50" t="s">
        <v>142</v>
      </c>
      <c r="D231" s="32">
        <f>D226/D230</f>
        <v>36840.748584116038</v>
      </c>
      <c r="E231" s="50"/>
      <c r="F231" s="171"/>
      <c r="G231" s="113"/>
      <c r="H231" s="31"/>
      <c r="I231" s="31"/>
      <c r="J231" s="31"/>
      <c r="K231" s="95"/>
      <c r="L231" s="50"/>
    </row>
    <row r="232" spans="1:13">
      <c r="A232" s="50"/>
      <c r="B232" s="50" t="s">
        <v>150</v>
      </c>
      <c r="C232" s="50" t="s">
        <v>138</v>
      </c>
      <c r="D232" s="32"/>
      <c r="E232" s="50"/>
      <c r="F232" s="171"/>
      <c r="G232" s="113"/>
      <c r="H232" s="31">
        <f>H215</f>
        <v>37528.377101449136</v>
      </c>
      <c r="I232" s="31">
        <f>$D231*I228</f>
        <v>36840.748584116038</v>
      </c>
      <c r="J232" s="31">
        <f>$D231*J228</f>
        <v>41650.045253503784</v>
      </c>
      <c r="K232" s="95"/>
      <c r="L232" s="50" t="s">
        <v>131</v>
      </c>
    </row>
    <row r="233" spans="1:13">
      <c r="A233" s="50"/>
      <c r="B233" s="50" t="s">
        <v>150</v>
      </c>
      <c r="C233" s="50" t="s">
        <v>139</v>
      </c>
      <c r="D233" s="32"/>
      <c r="E233" s="50"/>
      <c r="F233" s="171"/>
      <c r="G233" s="113"/>
      <c r="H233" s="54">
        <f>H232/$D$50</f>
        <v>36270.712131340522</v>
      </c>
      <c r="I233" s="54">
        <f>I232/$D$50</f>
        <v>35606.127677340082</v>
      </c>
      <c r="J233" s="54">
        <f>J232/$D$50</f>
        <v>40254.253403055038</v>
      </c>
      <c r="K233" s="95"/>
      <c r="L233" s="50" t="s">
        <v>133</v>
      </c>
    </row>
    <row r="234" spans="1:13">
      <c r="A234" s="50"/>
      <c r="B234" s="50" t="s">
        <v>150</v>
      </c>
      <c r="C234" s="50" t="s">
        <v>209</v>
      </c>
      <c r="D234" s="50"/>
      <c r="E234" s="50"/>
      <c r="F234" s="171"/>
      <c r="G234" s="113"/>
      <c r="H234" s="31"/>
      <c r="I234" s="31">
        <f>I232/(1+WACC)^I$203</f>
        <v>31139.396338651135</v>
      </c>
      <c r="J234" s="31">
        <f>J232/(1+WACC)^J$203</f>
        <v>32365.930111629972</v>
      </c>
      <c r="K234" s="95"/>
      <c r="L234" s="50" t="s">
        <v>181</v>
      </c>
    </row>
    <row r="235" spans="1:13">
      <c r="A235" s="50"/>
      <c r="B235" s="50" t="s">
        <v>150</v>
      </c>
      <c r="C235" s="50" t="s">
        <v>390</v>
      </c>
      <c r="D235" s="32">
        <f>SUM(I234:J234)</f>
        <v>63505.326450281107</v>
      </c>
      <c r="E235" s="50"/>
      <c r="F235" s="50"/>
      <c r="G235" s="113"/>
      <c r="H235" s="31"/>
      <c r="I235" s="31"/>
      <c r="J235" s="31"/>
      <c r="K235" s="95"/>
      <c r="L235" s="50" t="s">
        <v>134</v>
      </c>
    </row>
    <row r="236" spans="1:13">
      <c r="A236" s="50"/>
      <c r="B236" s="50" t="s">
        <v>150</v>
      </c>
      <c r="C236" s="50" t="s">
        <v>132</v>
      </c>
      <c r="D236" s="172">
        <f>D226-D235</f>
        <v>0</v>
      </c>
      <c r="E236" s="50"/>
      <c r="F236" s="171"/>
      <c r="G236" s="113"/>
      <c r="H236" s="31"/>
      <c r="I236" s="31"/>
      <c r="J236" s="31"/>
      <c r="K236" s="95"/>
      <c r="L236" s="50"/>
      <c r="M236" s="15"/>
    </row>
    <row r="237" spans="1:13">
      <c r="A237" s="50"/>
      <c r="B237" s="119" t="s">
        <v>150</v>
      </c>
      <c r="C237" s="119" t="s">
        <v>190</v>
      </c>
      <c r="D237" s="119"/>
      <c r="E237" s="50"/>
      <c r="F237" s="176"/>
      <c r="G237" s="177"/>
      <c r="H237" s="178">
        <f>(H233+H187-H$189-H$183-H152+H$180)*H$53</f>
        <v>3506.5916760051136</v>
      </c>
      <c r="I237" s="178">
        <f>(I233+I187-I$189-I$183-I152+I$180)*I$53</f>
        <v>2837.5383983719903</v>
      </c>
      <c r="J237" s="178">
        <f>(J233+J187-J$189-J$183-J152+J$180)*J$53</f>
        <v>3803.2571110893359</v>
      </c>
      <c r="K237" s="54"/>
      <c r="L237" s="50"/>
      <c r="M237" s="15"/>
    </row>
    <row r="238" spans="1:13">
      <c r="A238" s="50"/>
      <c r="B238" s="119"/>
      <c r="C238" s="119"/>
      <c r="D238" s="119"/>
      <c r="E238" s="178"/>
      <c r="F238" s="176"/>
      <c r="G238" s="177"/>
      <c r="H238" s="178"/>
      <c r="I238" s="178"/>
      <c r="J238" s="178"/>
      <c r="K238" s="95"/>
      <c r="L238" s="50"/>
      <c r="M238" s="15"/>
    </row>
    <row r="239" spans="1:13" ht="21">
      <c r="A239" s="50"/>
      <c r="B239" s="50"/>
      <c r="C239" s="155" t="s">
        <v>199</v>
      </c>
      <c r="D239" s="155"/>
      <c r="E239" s="155"/>
      <c r="F239" s="155"/>
      <c r="G239" s="155"/>
      <c r="H239" s="155"/>
      <c r="I239" s="155"/>
      <c r="J239" s="50"/>
      <c r="K239" s="50"/>
      <c r="L239" s="50"/>
      <c r="M239" s="15"/>
    </row>
    <row r="240" spans="1:13">
      <c r="A240" s="50"/>
      <c r="B240" s="50"/>
      <c r="C240" s="50" t="s">
        <v>197</v>
      </c>
      <c r="D240" s="179"/>
      <c r="E240" s="50"/>
      <c r="F240" s="31">
        <f>G240/((1+G35)*(1+G30)*(1-X_industry_wide))</f>
        <v>34560.155413691413</v>
      </c>
      <c r="G240" s="31">
        <f>H240/((1+H35)*(1+H30)*(1-X_industry_wide))</f>
        <v>35340.014882128286</v>
      </c>
      <c r="H240" s="31">
        <f>H233</f>
        <v>36270.712131340522</v>
      </c>
      <c r="I240" s="50"/>
      <c r="J240" s="50"/>
      <c r="K240" s="50"/>
      <c r="L240" s="50"/>
      <c r="M240" s="15"/>
    </row>
    <row r="241" spans="1:13">
      <c r="A241" s="50"/>
      <c r="B241" s="50"/>
      <c r="C241" s="50"/>
      <c r="D241" s="179"/>
      <c r="E241" s="50"/>
      <c r="F241" s="31"/>
      <c r="G241" s="31"/>
      <c r="H241" s="31"/>
      <c r="I241" s="50"/>
      <c r="J241" s="50"/>
      <c r="K241" s="50"/>
      <c r="L241" s="50"/>
      <c r="M241" s="15"/>
    </row>
    <row r="242" spans="1:13" ht="21">
      <c r="A242" s="50"/>
      <c r="B242" s="50"/>
      <c r="C242" s="155" t="s">
        <v>198</v>
      </c>
      <c r="D242" s="179"/>
      <c r="E242" s="50"/>
      <c r="F242" s="123"/>
      <c r="G242" s="50"/>
      <c r="H242" s="50"/>
      <c r="I242" s="50"/>
      <c r="J242" s="50"/>
      <c r="K242" s="50"/>
      <c r="L242" s="27"/>
      <c r="M242" s="15"/>
    </row>
    <row r="243" spans="1:13">
      <c r="A243" s="50"/>
      <c r="B243" s="50"/>
      <c r="C243" s="180" t="s">
        <v>212</v>
      </c>
      <c r="D243" s="179"/>
      <c r="E243" s="181">
        <f>(1+H30)*(1+I30)</f>
        <v>1.0109906814431548</v>
      </c>
      <c r="F243" s="123"/>
      <c r="G243" s="50"/>
      <c r="H243" s="50"/>
      <c r="I243" s="50"/>
      <c r="J243" s="50"/>
      <c r="K243" s="50"/>
      <c r="L243" s="27"/>
      <c r="M243" s="15"/>
    </row>
    <row r="244" spans="1:13">
      <c r="A244" s="50"/>
      <c r="B244" s="50"/>
      <c r="C244" s="50"/>
      <c r="D244" s="127"/>
      <c r="E244" s="50"/>
      <c r="F244" s="123"/>
      <c r="G244" s="50"/>
      <c r="H244" s="50"/>
      <c r="I244" s="50"/>
      <c r="J244" s="50"/>
      <c r="K244" s="50"/>
      <c r="L244" s="27"/>
    </row>
    <row r="245" spans="1:13" ht="21">
      <c r="A245" s="50"/>
      <c r="B245" s="50"/>
      <c r="C245" s="155" t="s">
        <v>315</v>
      </c>
      <c r="D245" s="162" t="s">
        <v>342</v>
      </c>
      <c r="E245" s="50"/>
      <c r="F245" s="123"/>
      <c r="G245" s="50"/>
      <c r="H245" s="50"/>
      <c r="I245" s="50"/>
      <c r="J245" s="50"/>
      <c r="K245" s="50"/>
      <c r="L245" s="27"/>
    </row>
    <row r="246" spans="1:13">
      <c r="A246" s="50"/>
      <c r="B246" s="50"/>
      <c r="C246" s="50"/>
      <c r="D246" s="50"/>
      <c r="E246" s="99" t="str">
        <f>Inputs!D$11</f>
        <v>2009/10</v>
      </c>
      <c r="F246" s="99" t="str">
        <f>Inputs!E$11</f>
        <v>2010/11</v>
      </c>
      <c r="G246" s="99" t="str">
        <f>Inputs!F$11</f>
        <v>2011/12</v>
      </c>
      <c r="H246" s="99" t="str">
        <f>Inputs!G$11</f>
        <v>2012/13</v>
      </c>
      <c r="I246" s="99" t="str">
        <f>Inputs!H$11</f>
        <v>2013/14</v>
      </c>
      <c r="J246" s="99" t="str">
        <f>Inputs!I$11</f>
        <v>2014/15</v>
      </c>
      <c r="K246" s="50"/>
      <c r="L246" s="27"/>
    </row>
    <row r="247" spans="1:13">
      <c r="A247" s="50"/>
      <c r="B247" s="50"/>
      <c r="C247" s="122" t="str">
        <f>C35</f>
        <v>2009 ΔCPI, 8 index, lagged, no GST adjustment</v>
      </c>
      <c r="D247" s="50"/>
      <c r="E247" s="50"/>
      <c r="F247" s="50"/>
      <c r="G247" s="50"/>
      <c r="H247" s="50"/>
      <c r="I247" s="100">
        <f>I35</f>
        <v>2.3759818812291389E-2</v>
      </c>
      <c r="J247" s="100">
        <f>J35</f>
        <v>2.2164443909808984E-2</v>
      </c>
      <c r="K247" s="50"/>
      <c r="L247" s="27"/>
    </row>
    <row r="248" spans="1:13">
      <c r="A248" s="50"/>
      <c r="B248" s="50"/>
      <c r="C248" s="122" t="str">
        <f>C37</f>
        <v>2012 ΔCPI, 8 index, lagged, with GST adjustment</v>
      </c>
      <c r="D248" s="50"/>
      <c r="E248" s="99"/>
      <c r="F248" s="100"/>
      <c r="G248" s="100"/>
      <c r="H248" s="100"/>
      <c r="I248" s="100">
        <f>I$37</f>
        <v>1.2820512820512775E-2</v>
      </c>
      <c r="J248" s="101">
        <f>J$37</f>
        <v>1.9725095732576747E-2</v>
      </c>
      <c r="K248" s="50"/>
      <c r="L248" s="27"/>
    </row>
    <row r="249" spans="1:13">
      <c r="A249" s="50"/>
      <c r="B249" s="50"/>
      <c r="C249" s="50" t="s">
        <v>200</v>
      </c>
      <c r="D249" s="50"/>
      <c r="E249" s="99"/>
      <c r="F249" s="100"/>
      <c r="G249" s="100">
        <f>G$30</f>
        <v>5.4803237473893323E-3</v>
      </c>
      <c r="H249" s="100">
        <f>H$30</f>
        <v>5.4803237473893323E-3</v>
      </c>
      <c r="I249" s="100">
        <f>I$30</f>
        <v>5.4803237473893323E-3</v>
      </c>
      <c r="J249" s="100">
        <f>J$30</f>
        <v>5.4803237473893323E-3</v>
      </c>
      <c r="K249" s="50"/>
      <c r="L249" s="27"/>
    </row>
    <row r="250" spans="1:13">
      <c r="A250" s="50"/>
      <c r="B250" s="50"/>
      <c r="C250" s="50" t="s">
        <v>309</v>
      </c>
      <c r="D250" s="54">
        <f>E25</f>
        <v>12419.433000000001</v>
      </c>
      <c r="E250" s="50"/>
      <c r="F250" s="123"/>
      <c r="G250" s="50"/>
      <c r="H250" s="50"/>
      <c r="I250" s="50"/>
      <c r="J250" s="50"/>
      <c r="K250" s="50"/>
      <c r="L250" s="27"/>
    </row>
    <row r="251" spans="1:13">
      <c r="A251" s="50"/>
      <c r="B251" s="50"/>
      <c r="C251" s="119" t="s">
        <v>335</v>
      </c>
      <c r="D251" s="32">
        <f>E24</f>
        <v>26118.569</v>
      </c>
      <c r="E251" s="50"/>
      <c r="F251" s="123"/>
      <c r="G251" s="50"/>
      <c r="H251" s="50"/>
      <c r="I251" s="50"/>
      <c r="J251" s="50"/>
      <c r="K251" s="50"/>
      <c r="L251" s="27"/>
    </row>
    <row r="252" spans="1:13">
      <c r="A252" s="50"/>
      <c r="B252" s="50"/>
      <c r="C252" s="50" t="s">
        <v>383</v>
      </c>
      <c r="D252" s="50"/>
      <c r="E252" s="50"/>
      <c r="F252" s="123"/>
      <c r="G252" s="50"/>
      <c r="H252" s="124">
        <f>(D251+D250)*(1+G$249)*(1+H$249)-D250</f>
        <v>26542.12790343766</v>
      </c>
      <c r="I252" s="124">
        <f>H252*(1+I249)*(1+I248)</f>
        <v>27029.735913155844</v>
      </c>
      <c r="J252" s="124">
        <f>I252*(1+J249)*(1+J248)</f>
        <v>27713.953657314385</v>
      </c>
      <c r="K252" s="50"/>
      <c r="L252" s="27"/>
    </row>
    <row r="253" spans="1:13">
      <c r="A253" s="50"/>
      <c r="B253" s="50"/>
      <c r="C253" s="50" t="s">
        <v>314</v>
      </c>
      <c r="D253" s="50"/>
      <c r="E253" s="50"/>
      <c r="F253" s="123"/>
      <c r="G253" s="50"/>
      <c r="H253" s="124">
        <f>$D$250</f>
        <v>12419.433000000001</v>
      </c>
      <c r="I253" s="124">
        <f>H253*(1+I34)</f>
        <v>12639.52421772152</v>
      </c>
      <c r="J253" s="124"/>
      <c r="K253" s="50"/>
      <c r="L253" s="27"/>
    </row>
    <row r="254" spans="1:13">
      <c r="A254" s="50"/>
      <c r="B254" s="50"/>
      <c r="C254" s="119" t="s">
        <v>336</v>
      </c>
      <c r="D254" s="50"/>
      <c r="E254" s="50"/>
      <c r="F254" s="123"/>
      <c r="G254" s="50"/>
      <c r="H254" s="124">
        <f>D251</f>
        <v>26118.569</v>
      </c>
      <c r="I254" s="124">
        <f>((H254+H253)*(1+G249)-H253)*(1+I248)*(1-X_industry_wide)</f>
        <v>26667.330877890581</v>
      </c>
      <c r="J254" s="97"/>
      <c r="K254" s="50"/>
      <c r="L254" s="27"/>
    </row>
    <row r="255" spans="1:13">
      <c r="A255" s="50"/>
      <c r="B255" s="50"/>
      <c r="C255" s="50" t="s">
        <v>337</v>
      </c>
      <c r="D255" s="50"/>
      <c r="E255" s="50"/>
      <c r="F255" s="123"/>
      <c r="G255" s="50"/>
      <c r="H255" s="124">
        <f>H216</f>
        <v>36270.712131340522</v>
      </c>
      <c r="I255" s="124">
        <f>I216</f>
        <v>37335.995788608299</v>
      </c>
      <c r="J255" s="124">
        <f>J216</f>
        <v>38372.675858428607</v>
      </c>
      <c r="K255" s="50"/>
      <c r="L255" s="27"/>
    </row>
    <row r="256" spans="1:13">
      <c r="A256" s="50"/>
      <c r="B256" s="50"/>
      <c r="C256" s="119" t="s">
        <v>371</v>
      </c>
      <c r="D256" s="50"/>
      <c r="E256" s="50"/>
      <c r="F256" s="123"/>
      <c r="G256" s="50"/>
      <c r="H256" s="124"/>
      <c r="I256" s="124">
        <f>(I255+I253)/((1+H249)*(1+I249))-I253</f>
        <v>36792.701937905811</v>
      </c>
      <c r="J256" s="124"/>
      <c r="K256" s="50"/>
      <c r="L256" s="27"/>
    </row>
    <row r="257" spans="1:12">
      <c r="A257" s="50"/>
      <c r="B257" s="50"/>
      <c r="C257" s="50" t="s">
        <v>344</v>
      </c>
      <c r="D257" s="50"/>
      <c r="E257" s="50"/>
      <c r="F257" s="123"/>
      <c r="G257" s="50"/>
      <c r="H257" s="124">
        <f>H255</f>
        <v>36270.712131340522</v>
      </c>
      <c r="I257" s="124">
        <f>I255*(1+I248)/(1+I247)</f>
        <v>36937.04490683489</v>
      </c>
      <c r="J257" s="124">
        <f>I257*(1+J$248)*(1+J$249)*(1-X_industry_wide)</f>
        <v>37872.051509312885</v>
      </c>
      <c r="K257" s="50"/>
      <c r="L257" s="27"/>
    </row>
    <row r="258" spans="1:12">
      <c r="A258" s="50"/>
      <c r="B258" s="50"/>
      <c r="C258" s="119" t="s">
        <v>346</v>
      </c>
      <c r="D258" s="50"/>
      <c r="E258" s="50"/>
      <c r="F258" s="123"/>
      <c r="G258" s="50"/>
      <c r="H258" s="124"/>
      <c r="I258" s="124">
        <f>(I257+I253)/((1+H249)*(1+I249))-I253</f>
        <v>36398.088130779601</v>
      </c>
      <c r="J258" s="97"/>
      <c r="K258" s="50"/>
      <c r="L258" s="27"/>
    </row>
    <row r="259" spans="1:12">
      <c r="A259" s="50"/>
      <c r="B259" s="50"/>
      <c r="C259" s="50" t="s">
        <v>338</v>
      </c>
      <c r="D259" s="50"/>
      <c r="E259" s="50"/>
      <c r="F259" s="123"/>
      <c r="G259" s="50"/>
      <c r="H259" s="124">
        <f>H233</f>
        <v>36270.712131340522</v>
      </c>
      <c r="I259" s="124">
        <f>I233</f>
        <v>35606.127677340082</v>
      </c>
      <c r="J259" s="124">
        <f>J233</f>
        <v>40254.253403055038</v>
      </c>
      <c r="K259" s="50"/>
      <c r="L259" s="27"/>
    </row>
    <row r="260" spans="1:12">
      <c r="A260" s="50"/>
      <c r="B260" s="50"/>
      <c r="C260" s="50" t="s">
        <v>345</v>
      </c>
      <c r="D260" s="50"/>
      <c r="E260" s="50"/>
      <c r="F260" s="123"/>
      <c r="G260" s="50"/>
      <c r="H260" s="124">
        <f>H259</f>
        <v>36270.712131340522</v>
      </c>
      <c r="I260" s="124">
        <f>I259*(1+I248)/(1+I247)</f>
        <v>35225.661166848739</v>
      </c>
      <c r="J260" s="124">
        <f>I260*(1+J$248)*(1+J$249)*(1-D227)</f>
        <v>39729.081286223962</v>
      </c>
      <c r="K260" s="50"/>
      <c r="L260" s="27"/>
    </row>
    <row r="261" spans="1:12">
      <c r="A261" s="50"/>
      <c r="B261" s="50"/>
      <c r="C261" s="119" t="s">
        <v>347</v>
      </c>
      <c r="D261" s="50"/>
      <c r="E261" s="50"/>
      <c r="F261" s="123"/>
      <c r="G261" s="50"/>
      <c r="H261" s="97"/>
      <c r="I261" s="124">
        <f>(I260+I253)/((1+H249)*(1+I249))-I253</f>
        <v>34705.309184940837</v>
      </c>
      <c r="J261" s="97"/>
      <c r="K261" s="50"/>
      <c r="L261" s="27"/>
    </row>
    <row r="262" spans="1:12">
      <c r="A262" s="50"/>
      <c r="B262" s="50"/>
      <c r="C262" s="50" t="s">
        <v>317</v>
      </c>
      <c r="D262" s="126">
        <f>E27</f>
        <v>0.1</v>
      </c>
      <c r="E262" s="50"/>
      <c r="F262" s="123"/>
      <c r="G262" s="50"/>
      <c r="H262" s="125"/>
      <c r="I262" s="125"/>
      <c r="J262" s="125"/>
      <c r="K262" s="50"/>
      <c r="L262" s="27"/>
    </row>
    <row r="263" spans="1:12" ht="18">
      <c r="A263" s="50"/>
      <c r="B263" s="50"/>
      <c r="C263" s="50" t="s">
        <v>339</v>
      </c>
      <c r="D263" s="127"/>
      <c r="E263" s="50"/>
      <c r="F263" s="123"/>
      <c r="G263" s="50"/>
      <c r="H263" s="124">
        <f>(D251+H253)*(1+G$249)*(1+H$249)-H253</f>
        <v>26542.12790343766</v>
      </c>
      <c r="I263" s="124">
        <f>H263*(1+$D262)*(1+I$247)*(1+I$249)</f>
        <v>30053.847557183559</v>
      </c>
      <c r="J263" s="124">
        <f>I264*(1+$D262)*(1+J247)*(1+J249)</f>
        <v>33977.162758801584</v>
      </c>
      <c r="K263" s="50"/>
      <c r="L263" s="27"/>
    </row>
    <row r="264" spans="1:12">
      <c r="A264" s="50"/>
      <c r="B264" s="50"/>
      <c r="C264" s="50" t="s">
        <v>367</v>
      </c>
      <c r="D264" s="127"/>
      <c r="E264" s="50"/>
      <c r="F264" s="123"/>
      <c r="G264" s="50"/>
      <c r="H264" s="124">
        <f>H260</f>
        <v>36270.712131340522</v>
      </c>
      <c r="I264" s="124">
        <f>MIN(I260,I263)</f>
        <v>30053.847557183559</v>
      </c>
      <c r="J264" s="124">
        <f>MIN(J260,J263)</f>
        <v>33977.162758801584</v>
      </c>
      <c r="K264" s="50"/>
      <c r="L264" s="27"/>
    </row>
    <row r="265" spans="1:12">
      <c r="A265" s="50"/>
      <c r="B265" s="50"/>
      <c r="C265" s="50" t="s">
        <v>373</v>
      </c>
      <c r="D265" s="31">
        <f>NPV(WACC,H255:J255)*D50</f>
        <v>98007.833668676933</v>
      </c>
      <c r="E265" s="50"/>
      <c r="F265" s="123"/>
      <c r="G265" s="50"/>
      <c r="H265" s="50"/>
      <c r="I265" s="50"/>
      <c r="J265" s="50"/>
      <c r="K265" s="50"/>
      <c r="L265" s="27"/>
    </row>
    <row r="266" spans="1:12">
      <c r="A266" s="50"/>
      <c r="B266" s="50"/>
      <c r="C266" s="50" t="s">
        <v>372</v>
      </c>
      <c r="D266" s="31">
        <f>NPV(WACC,H252:J252)*D50</f>
        <v>71170.151229409632</v>
      </c>
      <c r="E266" s="50"/>
      <c r="F266" s="123"/>
      <c r="G266" s="50"/>
      <c r="H266" s="50"/>
      <c r="I266" s="50"/>
      <c r="J266" s="50"/>
      <c r="K266" s="50"/>
      <c r="L266" s="27"/>
    </row>
    <row r="267" spans="1:12">
      <c r="A267" s="50"/>
      <c r="B267" s="50"/>
      <c r="C267" s="50" t="s">
        <v>340</v>
      </c>
      <c r="D267" s="31">
        <f>NPV(WACC,H259:J259)*D50</f>
        <v>98007.833668676933</v>
      </c>
      <c r="E267" s="50"/>
      <c r="F267" s="123"/>
      <c r="G267" s="50"/>
      <c r="H267" s="50"/>
      <c r="I267" s="50"/>
      <c r="J267" s="50"/>
      <c r="K267" s="50"/>
      <c r="L267" s="27"/>
    </row>
    <row r="268" spans="1:12">
      <c r="A268" s="50"/>
      <c r="B268" s="50"/>
      <c r="C268" s="50" t="s">
        <v>351</v>
      </c>
      <c r="D268" s="31">
        <f>NPV(WACC,H264:J264)*D50</f>
        <v>88105.06174219356</v>
      </c>
      <c r="E268" s="50"/>
      <c r="F268" s="123"/>
      <c r="G268" s="50"/>
      <c r="H268" s="50"/>
      <c r="I268" s="50"/>
      <c r="J268" s="50"/>
      <c r="K268" s="50"/>
      <c r="L268" s="27"/>
    </row>
    <row r="269" spans="1:12">
      <c r="A269" s="50"/>
      <c r="B269" s="50"/>
      <c r="C269" s="50" t="s">
        <v>348</v>
      </c>
      <c r="D269" s="31">
        <f>NPV(WACC,H257:J257)*D50</f>
        <v>97256.40977155992</v>
      </c>
      <c r="E269" s="50"/>
      <c r="F269" s="123"/>
      <c r="G269" s="50"/>
      <c r="H269" s="50"/>
      <c r="I269" s="50"/>
      <c r="J269" s="50"/>
      <c r="K269" s="50"/>
      <c r="L269" s="27"/>
    </row>
    <row r="270" spans="1:12">
      <c r="A270" s="50"/>
      <c r="B270" s="50"/>
      <c r="C270" s="50" t="s">
        <v>349</v>
      </c>
      <c r="D270" s="31">
        <f>NPV(WACC,H260:J260)*D50</f>
        <v>97252.837981954435</v>
      </c>
      <c r="E270" s="50"/>
      <c r="F270" s="123"/>
      <c r="G270" s="50"/>
      <c r="H270" s="50"/>
      <c r="I270" s="50"/>
      <c r="J270" s="50"/>
      <c r="K270" s="50"/>
      <c r="L270" s="27"/>
    </row>
    <row r="271" spans="1:12">
      <c r="A271" s="50"/>
      <c r="B271" s="50"/>
      <c r="C271" s="50" t="s">
        <v>368</v>
      </c>
      <c r="D271" s="31" t="b">
        <f>OR(I260&gt;I263,J260&gt;J263)</f>
        <v>1</v>
      </c>
      <c r="E271" s="50"/>
      <c r="F271" s="123"/>
      <c r="G271" s="50"/>
      <c r="H271" s="50"/>
      <c r="I271" s="50"/>
      <c r="J271" s="50"/>
      <c r="K271" s="50"/>
      <c r="L271" s="27"/>
    </row>
    <row r="272" spans="1:12">
      <c r="A272" s="50"/>
      <c r="B272" s="50"/>
      <c r="C272" s="50"/>
      <c r="D272" s="31"/>
      <c r="E272" s="50"/>
      <c r="F272" s="123"/>
      <c r="G272" s="50"/>
      <c r="H272" s="50"/>
      <c r="I272" s="50"/>
      <c r="J272" s="50"/>
      <c r="K272" s="50"/>
      <c r="L272" s="27"/>
    </row>
    <row r="273" spans="1:12" ht="21">
      <c r="A273" s="50"/>
      <c r="B273" s="50"/>
      <c r="C273" s="155" t="s">
        <v>343</v>
      </c>
      <c r="D273" s="127"/>
      <c r="E273" s="50"/>
      <c r="F273" s="123"/>
      <c r="G273" s="50"/>
      <c r="H273" s="50"/>
      <c r="I273" s="50"/>
      <c r="J273" s="50"/>
      <c r="K273" s="50"/>
      <c r="L273" s="27"/>
    </row>
    <row r="274" spans="1:12" ht="30">
      <c r="A274" s="50"/>
      <c r="B274" s="50"/>
      <c r="C274" s="123" t="s">
        <v>370</v>
      </c>
      <c r="D274" s="126">
        <f>I$261/(D$251*(1+I$249)*(1+I$248))-1</f>
        <v>0.30478956278791403</v>
      </c>
      <c r="E274" s="50"/>
      <c r="F274" s="123"/>
      <c r="G274" s="50"/>
      <c r="H274" s="50"/>
      <c r="I274" s="50"/>
      <c r="J274" s="50"/>
      <c r="K274" s="50"/>
      <c r="L274" s="27"/>
    </row>
    <row r="275" spans="1:12" ht="30">
      <c r="A275" s="50"/>
      <c r="B275" s="50"/>
      <c r="C275" s="123" t="s">
        <v>350</v>
      </c>
      <c r="D275" s="31">
        <f>D265-D268</f>
        <v>9902.7719264833722</v>
      </c>
      <c r="E275" s="50"/>
      <c r="F275" s="123"/>
      <c r="G275" s="50"/>
      <c r="H275" s="50"/>
      <c r="I275" s="50"/>
      <c r="J275" s="50"/>
      <c r="K275" s="50"/>
      <c r="L275" s="27"/>
    </row>
    <row r="276" spans="1:12">
      <c r="A276" s="50"/>
      <c r="B276" s="50"/>
      <c r="C276" s="123" t="s">
        <v>366</v>
      </c>
      <c r="D276" s="31">
        <f>ROUNDUP(I264,0)</f>
        <v>30054</v>
      </c>
      <c r="E276" s="50"/>
      <c r="F276" s="123"/>
      <c r="G276" s="50"/>
      <c r="H276" s="50"/>
      <c r="I276" s="50"/>
      <c r="J276" s="50"/>
      <c r="K276" s="50"/>
      <c r="L276" s="27"/>
    </row>
    <row r="277" spans="1:12">
      <c r="A277" s="50"/>
      <c r="B277" s="50"/>
      <c r="C277" s="123" t="s">
        <v>378</v>
      </c>
      <c r="D277" s="31">
        <f>ROUNDUP(H233,0)</f>
        <v>36271</v>
      </c>
      <c r="E277" s="50"/>
      <c r="F277" s="123"/>
      <c r="G277" s="50"/>
      <c r="H277" s="50"/>
      <c r="I277" s="50"/>
      <c r="J277" s="50"/>
      <c r="K277" s="50"/>
      <c r="L277" s="27"/>
    </row>
    <row r="278" spans="1:12">
      <c r="A278" s="50"/>
      <c r="B278" s="50"/>
      <c r="C278" s="114" t="s">
        <v>382</v>
      </c>
      <c r="D278" s="31">
        <f>D269-D266</f>
        <v>26086.258542150288</v>
      </c>
      <c r="E278" s="50"/>
      <c r="F278" s="123"/>
      <c r="G278" s="50"/>
      <c r="H278" s="50"/>
      <c r="I278" s="50"/>
      <c r="J278" s="50"/>
      <c r="K278" s="50"/>
      <c r="L278" s="27"/>
    </row>
    <row r="279" spans="1:12">
      <c r="A279" s="15"/>
      <c r="B279" s="15"/>
      <c r="C279" s="15"/>
      <c r="D279" s="15"/>
      <c r="E279" s="120"/>
      <c r="F279" s="15"/>
      <c r="G279" s="15"/>
      <c r="H279" s="15"/>
      <c r="I279" s="15"/>
      <c r="J279" s="15"/>
      <c r="K279" s="15"/>
    </row>
    <row r="280" spans="1:12">
      <c r="A280" s="15"/>
      <c r="B280" s="15"/>
      <c r="C280" s="15"/>
      <c r="D280" s="15"/>
      <c r="E280" s="120"/>
      <c r="F280" s="15"/>
      <c r="G280" s="15"/>
      <c r="H280" s="15"/>
      <c r="I280" s="15"/>
      <c r="J280" s="15"/>
      <c r="K280" s="15"/>
    </row>
    <row r="281" spans="1:12">
      <c r="A281" s="15"/>
      <c r="B281" s="15"/>
      <c r="C281" s="15"/>
      <c r="D281" s="15"/>
      <c r="E281" s="120"/>
      <c r="F281" s="15"/>
      <c r="G281" s="15"/>
      <c r="H281" s="15"/>
      <c r="I281" s="15"/>
      <c r="J281" s="15"/>
      <c r="K281" s="15"/>
    </row>
    <row r="282" spans="1:12">
      <c r="A282" s="15"/>
      <c r="B282" s="15"/>
      <c r="C282" s="15"/>
      <c r="D282" s="15"/>
      <c r="E282" s="120"/>
      <c r="F282" s="15"/>
      <c r="G282" s="15"/>
      <c r="H282" s="15"/>
      <c r="I282" s="15"/>
      <c r="J282" s="15"/>
      <c r="K282" s="15"/>
    </row>
    <row r="283" spans="1:12">
      <c r="A283" s="15"/>
      <c r="B283" s="15"/>
      <c r="C283" s="15"/>
      <c r="D283" s="15"/>
      <c r="E283" s="120"/>
      <c r="F283" s="15"/>
      <c r="G283" s="15"/>
      <c r="H283" s="15"/>
      <c r="I283" s="15"/>
      <c r="J283" s="15"/>
      <c r="K283" s="15"/>
    </row>
    <row r="284" spans="1:12">
      <c r="A284" s="15"/>
      <c r="B284" s="15"/>
      <c r="C284" s="15"/>
      <c r="D284" s="15"/>
      <c r="E284" s="120"/>
      <c r="F284" s="15"/>
      <c r="G284" s="15"/>
      <c r="H284" s="15"/>
      <c r="I284" s="15"/>
      <c r="J284" s="15"/>
      <c r="K284" s="15"/>
    </row>
    <row r="285" spans="1:12">
      <c r="A285" s="15"/>
      <c r="B285" s="15"/>
      <c r="C285" s="15"/>
      <c r="D285" s="15"/>
      <c r="E285" s="120"/>
      <c r="F285" s="15"/>
      <c r="G285" s="15"/>
      <c r="H285" s="15"/>
      <c r="I285" s="15"/>
      <c r="J285" s="15"/>
      <c r="K285" s="15"/>
    </row>
    <row r="286" spans="1:12">
      <c r="A286" s="15"/>
      <c r="B286" s="15"/>
      <c r="C286" s="15"/>
      <c r="D286" s="15"/>
      <c r="E286" s="120"/>
      <c r="F286" s="15"/>
      <c r="G286" s="15"/>
      <c r="H286" s="15"/>
      <c r="I286" s="15"/>
      <c r="J286" s="15"/>
      <c r="K286" s="15"/>
    </row>
    <row r="287" spans="1:12">
      <c r="A287" s="15"/>
      <c r="B287" s="15"/>
      <c r="C287" s="15"/>
      <c r="D287" s="15"/>
      <c r="E287" s="120"/>
      <c r="F287" s="15"/>
      <c r="G287" s="15"/>
      <c r="H287" s="15"/>
      <c r="I287" s="15"/>
      <c r="J287" s="15"/>
      <c r="K287" s="15"/>
    </row>
    <row r="288" spans="1:12">
      <c r="A288" s="15"/>
      <c r="B288" s="15"/>
      <c r="C288" s="15"/>
      <c r="D288" s="15"/>
      <c r="E288" s="120"/>
      <c r="F288" s="15"/>
      <c r="G288" s="15"/>
      <c r="H288" s="15"/>
      <c r="I288" s="15"/>
      <c r="J288" s="15"/>
      <c r="K288" s="15"/>
    </row>
    <row r="289" spans="1:11">
      <c r="A289" s="15"/>
      <c r="B289" s="15"/>
      <c r="C289" s="15"/>
      <c r="D289" s="15"/>
      <c r="E289" s="120"/>
      <c r="F289" s="15"/>
      <c r="G289" s="15"/>
      <c r="H289" s="15"/>
      <c r="I289" s="15"/>
      <c r="J289" s="15"/>
      <c r="K289" s="15"/>
    </row>
    <row r="290" spans="1:11">
      <c r="A290" s="15"/>
      <c r="B290" s="15"/>
      <c r="C290" s="15"/>
      <c r="D290" s="15"/>
      <c r="E290" s="120"/>
      <c r="F290" s="15"/>
      <c r="G290" s="15"/>
      <c r="H290" s="15"/>
      <c r="I290" s="15"/>
      <c r="J290" s="15"/>
      <c r="K290" s="15"/>
    </row>
    <row r="291" spans="1:11">
      <c r="A291" s="15"/>
      <c r="B291" s="15"/>
      <c r="C291" s="15"/>
      <c r="D291" s="15"/>
      <c r="E291" s="120"/>
      <c r="F291" s="15"/>
      <c r="G291" s="15"/>
      <c r="H291" s="15"/>
      <c r="I291" s="15"/>
      <c r="J291" s="15"/>
      <c r="K291" s="15"/>
    </row>
    <row r="292" spans="1:11">
      <c r="A292" s="15"/>
      <c r="B292" s="15"/>
      <c r="C292" s="15"/>
      <c r="D292" s="15"/>
      <c r="E292" s="120"/>
      <c r="F292" s="15"/>
      <c r="G292" s="15"/>
      <c r="H292" s="15"/>
      <c r="I292" s="15"/>
      <c r="J292" s="15"/>
      <c r="K292" s="15"/>
    </row>
    <row r="293" spans="1:11">
      <c r="A293" s="15"/>
      <c r="B293" s="15"/>
      <c r="C293" s="15"/>
      <c r="D293" s="15"/>
      <c r="E293" s="120"/>
      <c r="F293" s="15"/>
      <c r="G293" s="15"/>
      <c r="H293" s="15"/>
      <c r="I293" s="15"/>
      <c r="J293" s="15"/>
      <c r="K293" s="15"/>
    </row>
    <row r="294" spans="1:11">
      <c r="A294" s="15"/>
      <c r="B294" s="15"/>
      <c r="C294" s="15"/>
      <c r="D294" s="15"/>
      <c r="E294" s="120"/>
      <c r="F294" s="15"/>
      <c r="G294" s="15"/>
      <c r="H294" s="15"/>
      <c r="I294" s="15"/>
      <c r="J294" s="15"/>
      <c r="K294" s="15"/>
    </row>
    <row r="295" spans="1:11">
      <c r="A295" s="15"/>
      <c r="B295" s="15"/>
      <c r="C295" s="15"/>
      <c r="D295" s="15"/>
      <c r="E295" s="120"/>
      <c r="F295" s="15"/>
      <c r="G295" s="15"/>
      <c r="H295" s="15"/>
      <c r="I295" s="15"/>
      <c r="J295" s="15"/>
      <c r="K295" s="15"/>
    </row>
    <row r="296" spans="1:11">
      <c r="A296" s="15"/>
      <c r="B296" s="15"/>
      <c r="C296" s="15"/>
      <c r="D296" s="15"/>
      <c r="E296" s="120"/>
      <c r="F296" s="15"/>
      <c r="G296" s="15"/>
      <c r="H296" s="15"/>
      <c r="I296" s="15"/>
      <c r="J296" s="15"/>
      <c r="K296" s="15"/>
    </row>
    <row r="297" spans="1:11">
      <c r="A297" s="15"/>
      <c r="B297" s="15"/>
      <c r="C297" s="15"/>
      <c r="D297" s="15"/>
      <c r="E297" s="120"/>
      <c r="F297" s="15"/>
      <c r="G297" s="15"/>
      <c r="H297" s="15"/>
      <c r="I297" s="15"/>
      <c r="J297" s="15"/>
      <c r="K297" s="15"/>
    </row>
    <row r="298" spans="1:11">
      <c r="A298" s="15"/>
      <c r="B298" s="15"/>
      <c r="C298" s="15"/>
      <c r="D298" s="15"/>
      <c r="E298" s="120"/>
      <c r="F298" s="15"/>
      <c r="G298" s="15"/>
      <c r="H298" s="15"/>
      <c r="I298" s="15"/>
      <c r="J298" s="15"/>
      <c r="K298" s="15"/>
    </row>
    <row r="299" spans="1:11">
      <c r="A299" s="15"/>
      <c r="B299" s="15"/>
      <c r="C299" s="15"/>
      <c r="D299" s="15"/>
      <c r="E299" s="120"/>
      <c r="F299" s="15"/>
      <c r="G299" s="15"/>
      <c r="H299" s="15"/>
      <c r="I299" s="15"/>
      <c r="J299" s="15"/>
    </row>
    <row r="300" spans="1:11">
      <c r="A300" s="15"/>
      <c r="B300" s="15"/>
      <c r="C300" s="15"/>
      <c r="D300" s="15"/>
      <c r="E300" s="120"/>
      <c r="F300" s="15"/>
      <c r="G300" s="15"/>
      <c r="H300" s="15"/>
      <c r="I300" s="15"/>
      <c r="J300" s="15"/>
    </row>
    <row r="301" spans="1:11">
      <c r="A301" s="15"/>
      <c r="B301" s="15"/>
      <c r="C301" s="15"/>
      <c r="D301" s="15"/>
      <c r="E301" s="120"/>
      <c r="F301" s="15"/>
      <c r="G301" s="15"/>
      <c r="H301" s="15"/>
      <c r="I301" s="15"/>
      <c r="J301" s="15"/>
    </row>
    <row r="302" spans="1:11">
      <c r="A302" s="15"/>
      <c r="B302" s="15"/>
      <c r="C302" s="15"/>
      <c r="D302" s="15"/>
      <c r="E302" s="120"/>
      <c r="F302" s="15"/>
      <c r="G302" s="15"/>
      <c r="H302" s="15"/>
      <c r="I302" s="15"/>
      <c r="J302" s="15"/>
    </row>
    <row r="303" spans="1:11">
      <c r="A303" s="15"/>
      <c r="B303" s="15"/>
      <c r="C303" s="15"/>
      <c r="D303" s="15"/>
      <c r="E303" s="120"/>
      <c r="F303" s="15"/>
      <c r="G303" s="15"/>
      <c r="H303" s="15"/>
      <c r="I303" s="15"/>
      <c r="J303" s="15"/>
    </row>
    <row r="304" spans="1:11">
      <c r="A304" s="15"/>
      <c r="B304" s="15"/>
      <c r="C304" s="15"/>
      <c r="D304" s="15"/>
      <c r="E304" s="120"/>
      <c r="F304" s="15"/>
      <c r="G304" s="15"/>
      <c r="H304" s="15"/>
      <c r="I304" s="15"/>
      <c r="J304" s="15"/>
    </row>
    <row r="305" spans="1:10">
      <c r="A305" s="15"/>
      <c r="B305" s="15"/>
      <c r="C305" s="15"/>
      <c r="D305" s="15"/>
      <c r="E305" s="120"/>
      <c r="F305" s="15"/>
      <c r="G305" s="15"/>
      <c r="H305" s="15"/>
      <c r="I305" s="15"/>
      <c r="J305" s="15"/>
    </row>
    <row r="306" spans="1:10">
      <c r="A306" s="15"/>
      <c r="B306" s="15"/>
      <c r="C306" s="15"/>
      <c r="D306" s="15"/>
      <c r="E306" s="120"/>
      <c r="F306" s="15"/>
      <c r="G306" s="15"/>
      <c r="H306" s="15"/>
      <c r="I306" s="15"/>
      <c r="J306" s="15"/>
    </row>
    <row r="307" spans="1:10">
      <c r="A307" s="15"/>
      <c r="B307" s="15"/>
      <c r="C307" s="15"/>
      <c r="D307" s="15"/>
      <c r="E307" s="120"/>
      <c r="F307" s="15"/>
      <c r="G307" s="15"/>
      <c r="H307" s="15"/>
      <c r="I307" s="15"/>
      <c r="J307" s="15"/>
    </row>
    <row r="308" spans="1:10">
      <c r="A308" s="15"/>
      <c r="B308" s="15"/>
      <c r="C308" s="15"/>
      <c r="D308" s="15"/>
      <c r="E308" s="120"/>
      <c r="F308" s="15"/>
      <c r="G308" s="15"/>
      <c r="H308" s="15"/>
      <c r="I308" s="15"/>
      <c r="J308" s="15"/>
    </row>
    <row r="309" spans="1:10">
      <c r="A309" s="15"/>
      <c r="B309" s="15"/>
      <c r="C309" s="15"/>
      <c r="D309" s="15"/>
      <c r="E309" s="120"/>
      <c r="F309" s="15"/>
      <c r="G309" s="15"/>
      <c r="H309" s="15"/>
      <c r="I309" s="15"/>
      <c r="J309" s="15"/>
    </row>
    <row r="310" spans="1:10">
      <c r="A310" s="15"/>
      <c r="B310" s="15"/>
      <c r="C310" s="15"/>
      <c r="D310" s="15"/>
      <c r="E310" s="120"/>
      <c r="F310" s="15"/>
      <c r="G310" s="15"/>
      <c r="H310" s="15"/>
      <c r="I310" s="15"/>
      <c r="J310" s="15"/>
    </row>
    <row r="311" spans="1:10">
      <c r="A311" s="15"/>
      <c r="B311" s="15"/>
      <c r="C311" s="15"/>
      <c r="D311" s="15"/>
      <c r="E311" s="120"/>
      <c r="F311" s="15"/>
      <c r="G311" s="15"/>
      <c r="H311" s="15"/>
      <c r="I311" s="15"/>
      <c r="J311" s="15"/>
    </row>
    <row r="312" spans="1:10">
      <c r="A312" s="15"/>
      <c r="B312" s="15"/>
      <c r="C312" s="15"/>
      <c r="D312" s="15"/>
      <c r="E312" s="120"/>
      <c r="F312" s="15"/>
      <c r="G312" s="15"/>
      <c r="H312" s="15"/>
      <c r="I312" s="15"/>
      <c r="J312" s="15"/>
    </row>
    <row r="313" spans="1:10">
      <c r="E313" s="19"/>
    </row>
    <row r="314" spans="1:10">
      <c r="E314" s="19"/>
    </row>
    <row r="315" spans="1:10">
      <c r="E315" s="19"/>
    </row>
    <row r="316" spans="1:10">
      <c r="E316" s="19"/>
    </row>
    <row r="317" spans="1:10">
      <c r="E317" s="19"/>
    </row>
    <row r="318" spans="1:10">
      <c r="E318" s="19"/>
    </row>
    <row r="319" spans="1:10">
      <c r="E319" s="19"/>
    </row>
    <row r="320" spans="1:10">
      <c r="E320" s="19"/>
    </row>
    <row r="321" spans="5:5">
      <c r="E321" s="19"/>
    </row>
    <row r="322" spans="5:5">
      <c r="E322" s="19"/>
    </row>
    <row r="323" spans="5:5">
      <c r="E323" s="19"/>
    </row>
    <row r="324" spans="5:5">
      <c r="E324" s="19"/>
    </row>
    <row r="325" spans="5:5">
      <c r="E325" s="19"/>
    </row>
    <row r="326" spans="5:5">
      <c r="E326" s="19"/>
    </row>
    <row r="327" spans="5:5">
      <c r="E327" s="19"/>
    </row>
    <row r="328" spans="5:5">
      <c r="E328" s="19"/>
    </row>
    <row r="329" spans="5:5">
      <c r="E329" s="19"/>
    </row>
    <row r="330" spans="5:5">
      <c r="E330" s="19"/>
    </row>
    <row r="331" spans="5:5">
      <c r="E331" s="19"/>
    </row>
    <row r="332" spans="5:5">
      <c r="E332" s="19"/>
    </row>
    <row r="333" spans="5:5">
      <c r="E333" s="19"/>
    </row>
    <row r="334" spans="5:5">
      <c r="E334" s="19"/>
    </row>
    <row r="335" spans="5:5">
      <c r="E335" s="19"/>
    </row>
    <row r="336" spans="5:5">
      <c r="E336" s="19"/>
    </row>
    <row r="337" spans="5:5">
      <c r="E337" s="19"/>
    </row>
    <row r="338" spans="5:5">
      <c r="E338" s="19"/>
    </row>
    <row r="339" spans="5:5">
      <c r="E339" s="19"/>
    </row>
    <row r="340" spans="5:5">
      <c r="E340" s="19"/>
    </row>
    <row r="341" spans="5:5">
      <c r="E341" s="19"/>
    </row>
    <row r="342" spans="5:5">
      <c r="E342" s="19"/>
    </row>
    <row r="343" spans="5:5">
      <c r="E343" s="19"/>
    </row>
    <row r="344" spans="5:5">
      <c r="E344" s="19"/>
    </row>
    <row r="345" spans="5:5">
      <c r="E345" s="19"/>
    </row>
    <row r="346" spans="5:5">
      <c r="E346" s="19"/>
    </row>
    <row r="347" spans="5:5">
      <c r="E347" s="19"/>
    </row>
    <row r="348" spans="5:5">
      <c r="E348" s="19"/>
    </row>
    <row r="349" spans="5:5">
      <c r="E349" s="19"/>
    </row>
    <row r="350" spans="5:5">
      <c r="E350" s="19"/>
    </row>
    <row r="351" spans="5:5">
      <c r="E351" s="19"/>
    </row>
    <row r="352" spans="5:5">
      <c r="E352" s="19"/>
    </row>
    <row r="353" spans="5:5">
      <c r="E353" s="19"/>
    </row>
    <row r="354" spans="5:5">
      <c r="E354" s="19"/>
    </row>
    <row r="355" spans="5:5">
      <c r="E355" s="19"/>
    </row>
    <row r="356" spans="5:5">
      <c r="E356" s="19"/>
    </row>
    <row r="357" spans="5:5">
      <c r="E357" s="19"/>
    </row>
    <row r="358" spans="5:5">
      <c r="E358" s="19"/>
    </row>
    <row r="359" spans="5:5">
      <c r="E359" s="19"/>
    </row>
    <row r="360" spans="5:5">
      <c r="E360" s="19"/>
    </row>
    <row r="361" spans="5:5">
      <c r="E361" s="19"/>
    </row>
    <row r="362" spans="5:5">
      <c r="E362" s="19"/>
    </row>
    <row r="363" spans="5:5">
      <c r="E363" s="19"/>
    </row>
    <row r="364" spans="5:5">
      <c r="E364" s="19"/>
    </row>
    <row r="365" spans="5:5">
      <c r="E365" s="19"/>
    </row>
    <row r="366" spans="5:5">
      <c r="E366" s="19"/>
    </row>
    <row r="367" spans="5:5">
      <c r="E367" s="19"/>
    </row>
    <row r="368" spans="5:5">
      <c r="E368" s="19"/>
    </row>
    <row r="369" spans="5:5">
      <c r="E369" s="19"/>
    </row>
    <row r="370" spans="5:5">
      <c r="E370" s="19"/>
    </row>
    <row r="371" spans="5:5">
      <c r="E371" s="19"/>
    </row>
    <row r="372" spans="5:5">
      <c r="E372" s="19"/>
    </row>
    <row r="373" spans="5:5">
      <c r="E373" s="19"/>
    </row>
    <row r="374" spans="5:5">
      <c r="E374" s="19"/>
    </row>
    <row r="375" spans="5:5">
      <c r="E375" s="19"/>
    </row>
    <row r="376" spans="5:5">
      <c r="E376" s="19"/>
    </row>
    <row r="377" spans="5:5">
      <c r="E377" s="19"/>
    </row>
    <row r="378" spans="5:5">
      <c r="E378" s="19"/>
    </row>
    <row r="379" spans="5:5">
      <c r="E379" s="19"/>
    </row>
    <row r="380" spans="5:5">
      <c r="E380" s="19"/>
    </row>
    <row r="381" spans="5:5">
      <c r="E381" s="19"/>
    </row>
    <row r="382" spans="5:5">
      <c r="E382" s="19"/>
    </row>
    <row r="383" spans="5:5">
      <c r="E383" s="19"/>
    </row>
    <row r="384" spans="5:5">
      <c r="E384" s="19"/>
    </row>
    <row r="385" spans="5:5">
      <c r="E385" s="19"/>
    </row>
    <row r="386" spans="5:5">
      <c r="E386" s="19"/>
    </row>
    <row r="387" spans="5:5">
      <c r="E387" s="19"/>
    </row>
    <row r="388" spans="5:5">
      <c r="E388" s="19"/>
    </row>
    <row r="389" spans="5:5">
      <c r="E389" s="19"/>
    </row>
    <row r="390" spans="5:5">
      <c r="E390" s="19"/>
    </row>
    <row r="391" spans="5:5">
      <c r="E391" s="19"/>
    </row>
    <row r="392" spans="5:5">
      <c r="E392" s="19"/>
    </row>
    <row r="393" spans="5:5">
      <c r="E393" s="19"/>
    </row>
    <row r="394" spans="5:5">
      <c r="E394" s="19"/>
    </row>
    <row r="395" spans="5:5">
      <c r="E395" s="19"/>
    </row>
    <row r="396" spans="5:5">
      <c r="E396" s="19"/>
    </row>
    <row r="397" spans="5:5">
      <c r="E397" s="19"/>
    </row>
    <row r="398" spans="5:5">
      <c r="E398" s="19"/>
    </row>
    <row r="399" spans="5:5">
      <c r="E399" s="19"/>
    </row>
    <row r="400" spans="5:5">
      <c r="E400" s="19"/>
    </row>
    <row r="401" spans="5:5">
      <c r="E401" s="19"/>
    </row>
    <row r="402" spans="5:5">
      <c r="E402" s="19"/>
    </row>
    <row r="403" spans="5:5">
      <c r="E403" s="19"/>
    </row>
    <row r="404" spans="5:5">
      <c r="E404" s="19"/>
    </row>
    <row r="405" spans="5:5">
      <c r="E405" s="19"/>
    </row>
    <row r="406" spans="5:5">
      <c r="E406" s="19"/>
    </row>
    <row r="407" spans="5:5">
      <c r="E407" s="19"/>
    </row>
    <row r="408" spans="5:5">
      <c r="E408" s="19"/>
    </row>
    <row r="409" spans="5:5">
      <c r="E409" s="19"/>
    </row>
    <row r="410" spans="5:5">
      <c r="E410" s="19"/>
    </row>
    <row r="411" spans="5:5">
      <c r="E411" s="19"/>
    </row>
    <row r="412" spans="5:5">
      <c r="E412" s="19"/>
    </row>
    <row r="413" spans="5:5">
      <c r="E413" s="19"/>
    </row>
    <row r="414" spans="5:5">
      <c r="E414" s="19"/>
    </row>
    <row r="415" spans="5:5">
      <c r="E415" s="19"/>
    </row>
    <row r="416" spans="5:5">
      <c r="E416" s="19"/>
    </row>
    <row r="417" spans="5:5">
      <c r="E417" s="19"/>
    </row>
    <row r="418" spans="5:5">
      <c r="E418" s="19"/>
    </row>
    <row r="419" spans="5:5">
      <c r="E419" s="19"/>
    </row>
    <row r="420" spans="5:5">
      <c r="E420" s="19"/>
    </row>
    <row r="421" spans="5:5">
      <c r="E421" s="19"/>
    </row>
    <row r="422" spans="5:5">
      <c r="E422" s="19"/>
    </row>
    <row r="423" spans="5:5">
      <c r="E423" s="19"/>
    </row>
    <row r="424" spans="5:5">
      <c r="E424" s="19"/>
    </row>
    <row r="425" spans="5:5">
      <c r="E425" s="19"/>
    </row>
    <row r="426" spans="5:5">
      <c r="E426" s="19"/>
    </row>
    <row r="427" spans="5:5">
      <c r="E427" s="19"/>
    </row>
    <row r="428" spans="5:5">
      <c r="E428" s="19"/>
    </row>
    <row r="429" spans="5:5">
      <c r="E429" s="19"/>
    </row>
    <row r="430" spans="5:5">
      <c r="E430" s="19"/>
    </row>
    <row r="431" spans="5:5">
      <c r="E431" s="19"/>
    </row>
    <row r="432" spans="5:5">
      <c r="E432" s="19"/>
    </row>
    <row r="433" spans="5:5">
      <c r="E433" s="19"/>
    </row>
    <row r="434" spans="5:5">
      <c r="E434" s="19"/>
    </row>
    <row r="435" spans="5:5">
      <c r="E435" s="19"/>
    </row>
    <row r="436" spans="5:5">
      <c r="E436" s="19"/>
    </row>
    <row r="437" spans="5:5">
      <c r="E437" s="19"/>
    </row>
    <row r="438" spans="5:5">
      <c r="E438" s="19"/>
    </row>
    <row r="439" spans="5:5">
      <c r="E439" s="19"/>
    </row>
    <row r="440" spans="5:5">
      <c r="E440" s="19"/>
    </row>
    <row r="441" spans="5:5">
      <c r="E441" s="19"/>
    </row>
    <row r="442" spans="5:5">
      <c r="E442" s="19"/>
    </row>
    <row r="443" spans="5:5">
      <c r="E443" s="19"/>
    </row>
    <row r="444" spans="5:5">
      <c r="E444" s="19"/>
    </row>
    <row r="445" spans="5:5">
      <c r="E445" s="19"/>
    </row>
    <row r="446" spans="5:5">
      <c r="E446" s="19"/>
    </row>
    <row r="447" spans="5:5">
      <c r="E447" s="19"/>
    </row>
    <row r="448" spans="5:5">
      <c r="E448" s="19"/>
    </row>
    <row r="449" spans="5:5">
      <c r="E449" s="19"/>
    </row>
    <row r="450" spans="5:5">
      <c r="E450" s="19"/>
    </row>
    <row r="451" spans="5:5">
      <c r="E451" s="19"/>
    </row>
    <row r="452" spans="5:5">
      <c r="E452" s="19"/>
    </row>
    <row r="453" spans="5:5">
      <c r="E453" s="19"/>
    </row>
    <row r="454" spans="5:5">
      <c r="E454" s="19"/>
    </row>
    <row r="455" spans="5:5">
      <c r="E455" s="19"/>
    </row>
    <row r="456" spans="5:5">
      <c r="E456" s="19"/>
    </row>
    <row r="457" spans="5:5">
      <c r="E457" s="19"/>
    </row>
    <row r="458" spans="5:5">
      <c r="E458" s="19"/>
    </row>
    <row r="459" spans="5:5">
      <c r="E459" s="19"/>
    </row>
    <row r="460" spans="5:5">
      <c r="E460" s="19"/>
    </row>
    <row r="461" spans="5:5">
      <c r="E461" s="19"/>
    </row>
    <row r="462" spans="5:5">
      <c r="E462" s="19"/>
    </row>
    <row r="463" spans="5:5">
      <c r="E463" s="19"/>
    </row>
    <row r="464" spans="5:5">
      <c r="E464" s="19"/>
    </row>
    <row r="465" spans="5:5">
      <c r="E465" s="19"/>
    </row>
    <row r="466" spans="5:5">
      <c r="E466" s="19"/>
    </row>
    <row r="467" spans="5:5">
      <c r="E467" s="19"/>
    </row>
    <row r="468" spans="5:5">
      <c r="E468" s="19"/>
    </row>
    <row r="469" spans="5:5">
      <c r="E469" s="19"/>
    </row>
    <row r="470" spans="5:5">
      <c r="E470" s="19"/>
    </row>
    <row r="471" spans="5:5">
      <c r="E471" s="19"/>
    </row>
    <row r="472" spans="5:5">
      <c r="E472" s="19"/>
    </row>
    <row r="473" spans="5:5">
      <c r="E473" s="19"/>
    </row>
    <row r="474" spans="5:5">
      <c r="E474" s="19"/>
    </row>
    <row r="475" spans="5:5">
      <c r="E475" s="19"/>
    </row>
    <row r="476" spans="5:5">
      <c r="E476" s="19"/>
    </row>
    <row r="477" spans="5:5">
      <c r="E477" s="19"/>
    </row>
    <row r="478" spans="5:5">
      <c r="E478" s="19"/>
    </row>
    <row r="479" spans="5:5">
      <c r="E479" s="19"/>
    </row>
    <row r="480" spans="5:5">
      <c r="E480" s="19"/>
    </row>
    <row r="481" spans="5:5">
      <c r="E481" s="19"/>
    </row>
    <row r="482" spans="5:5">
      <c r="E482" s="19"/>
    </row>
    <row r="483" spans="5:5">
      <c r="E483" s="19"/>
    </row>
    <row r="484" spans="5:5">
      <c r="E484" s="19"/>
    </row>
    <row r="485" spans="5:5">
      <c r="E485" s="19"/>
    </row>
    <row r="486" spans="5:5">
      <c r="E486" s="19"/>
    </row>
    <row r="487" spans="5:5">
      <c r="E487" s="19"/>
    </row>
    <row r="488" spans="5:5">
      <c r="E488" s="19"/>
    </row>
    <row r="489" spans="5:5">
      <c r="E489" s="19"/>
    </row>
    <row r="490" spans="5:5">
      <c r="E490" s="19"/>
    </row>
    <row r="491" spans="5:5">
      <c r="E491" s="19"/>
    </row>
    <row r="492" spans="5:5">
      <c r="E492" s="19"/>
    </row>
    <row r="493" spans="5:5">
      <c r="E493" s="19"/>
    </row>
    <row r="494" spans="5:5">
      <c r="E494" s="19"/>
    </row>
    <row r="495" spans="5:5">
      <c r="E495" s="19"/>
    </row>
    <row r="496" spans="5:5">
      <c r="E496" s="19"/>
    </row>
    <row r="497" spans="5:5">
      <c r="E497" s="19"/>
    </row>
    <row r="498" spans="5:5">
      <c r="E498" s="19"/>
    </row>
    <row r="499" spans="5:5">
      <c r="E499" s="19"/>
    </row>
    <row r="500" spans="5:5">
      <c r="E500" s="19"/>
    </row>
    <row r="501" spans="5:5">
      <c r="E501" s="19"/>
    </row>
    <row r="502" spans="5:5">
      <c r="E502" s="19"/>
    </row>
    <row r="503" spans="5:5">
      <c r="E503" s="19"/>
    </row>
    <row r="504" spans="5:5">
      <c r="E504" s="19"/>
    </row>
    <row r="505" spans="5:5">
      <c r="E505" s="19"/>
    </row>
    <row r="506" spans="5:5">
      <c r="E506" s="19"/>
    </row>
    <row r="507" spans="5:5">
      <c r="E507" s="19"/>
    </row>
    <row r="508" spans="5:5">
      <c r="E508" s="19"/>
    </row>
    <row r="509" spans="5:5">
      <c r="E509" s="19"/>
    </row>
    <row r="510" spans="5:5">
      <c r="E510" s="19"/>
    </row>
    <row r="511" spans="5:5">
      <c r="E511" s="19"/>
    </row>
    <row r="512" spans="5:5">
      <c r="E512" s="19"/>
    </row>
    <row r="513" spans="5:5">
      <c r="E513" s="19"/>
    </row>
    <row r="514" spans="5:5">
      <c r="E514" s="19"/>
    </row>
    <row r="515" spans="5:5">
      <c r="E515" s="19"/>
    </row>
    <row r="516" spans="5:5">
      <c r="E516" s="19"/>
    </row>
    <row r="517" spans="5:5">
      <c r="E517" s="19"/>
    </row>
    <row r="518" spans="5:5">
      <c r="E518" s="19"/>
    </row>
    <row r="519" spans="5:5">
      <c r="E519" s="19"/>
    </row>
    <row r="520" spans="5:5">
      <c r="E520" s="19"/>
    </row>
    <row r="521" spans="5:5">
      <c r="E521" s="19"/>
    </row>
    <row r="522" spans="5:5">
      <c r="E522" s="19"/>
    </row>
    <row r="523" spans="5:5">
      <c r="E523" s="19"/>
    </row>
    <row r="524" spans="5:5">
      <c r="E524" s="19"/>
    </row>
    <row r="525" spans="5:5">
      <c r="E525" s="19"/>
    </row>
    <row r="526" spans="5:5">
      <c r="E526" s="19"/>
    </row>
    <row r="527" spans="5:5">
      <c r="E527" s="19"/>
    </row>
    <row r="528" spans="5:5">
      <c r="E528" s="19"/>
    </row>
    <row r="529" spans="5:5">
      <c r="E529" s="19"/>
    </row>
    <row r="530" spans="5:5">
      <c r="E530" s="19"/>
    </row>
    <row r="531" spans="5:5">
      <c r="E531" s="19"/>
    </row>
    <row r="532" spans="5:5">
      <c r="E532" s="19"/>
    </row>
    <row r="533" spans="5:5">
      <c r="E533" s="19"/>
    </row>
    <row r="534" spans="5:5">
      <c r="E534" s="19"/>
    </row>
    <row r="535" spans="5:5">
      <c r="E535" s="19"/>
    </row>
    <row r="536" spans="5:5">
      <c r="E536" s="19"/>
    </row>
    <row r="537" spans="5:5">
      <c r="E537" s="19"/>
    </row>
    <row r="538" spans="5:5">
      <c r="E538" s="19"/>
    </row>
    <row r="539" spans="5:5">
      <c r="E539" s="19"/>
    </row>
    <row r="540" spans="5:5">
      <c r="E540" s="19"/>
    </row>
    <row r="541" spans="5:5">
      <c r="E541" s="19"/>
    </row>
    <row r="542" spans="5:5">
      <c r="E542" s="19"/>
    </row>
    <row r="543" spans="5:5">
      <c r="E543" s="19"/>
    </row>
    <row r="544" spans="5:5">
      <c r="E544" s="19"/>
    </row>
    <row r="545" spans="5:5">
      <c r="E545" s="19"/>
    </row>
    <row r="546" spans="5:5">
      <c r="E546" s="19"/>
    </row>
    <row r="547" spans="5:5">
      <c r="E547" s="19"/>
    </row>
    <row r="548" spans="5:5">
      <c r="E548" s="19"/>
    </row>
    <row r="549" spans="5:5">
      <c r="E549" s="19"/>
    </row>
    <row r="550" spans="5:5">
      <c r="E550" s="19"/>
    </row>
    <row r="551" spans="5:5">
      <c r="E551" s="19"/>
    </row>
    <row r="552" spans="5:5">
      <c r="E552" s="19"/>
    </row>
    <row r="553" spans="5:5">
      <c r="E553" s="19"/>
    </row>
    <row r="554" spans="5:5">
      <c r="E554" s="19"/>
    </row>
    <row r="555" spans="5:5">
      <c r="E555" s="19"/>
    </row>
    <row r="556" spans="5:5">
      <c r="E556" s="19"/>
    </row>
    <row r="557" spans="5:5">
      <c r="E557" s="19"/>
    </row>
    <row r="558" spans="5:5">
      <c r="E558" s="19"/>
    </row>
    <row r="559" spans="5:5">
      <c r="E559" s="19"/>
    </row>
    <row r="560" spans="5:5">
      <c r="E560" s="19"/>
    </row>
    <row r="561" spans="5:5">
      <c r="E561" s="19"/>
    </row>
    <row r="562" spans="5:5">
      <c r="E562" s="19"/>
    </row>
    <row r="563" spans="5:5">
      <c r="E563" s="19"/>
    </row>
    <row r="564" spans="5:5">
      <c r="E564" s="19"/>
    </row>
    <row r="565" spans="5:5">
      <c r="E565" s="19"/>
    </row>
    <row r="566" spans="5:5">
      <c r="E566" s="19"/>
    </row>
    <row r="567" spans="5:5">
      <c r="E567" s="19"/>
    </row>
    <row r="568" spans="5:5">
      <c r="E568" s="19"/>
    </row>
    <row r="569" spans="5:5">
      <c r="E569" s="19"/>
    </row>
    <row r="570" spans="5:5">
      <c r="E570" s="19"/>
    </row>
    <row r="571" spans="5:5">
      <c r="E571" s="19"/>
    </row>
    <row r="572" spans="5:5">
      <c r="E572" s="19"/>
    </row>
    <row r="573" spans="5:5">
      <c r="E573" s="19"/>
    </row>
    <row r="574" spans="5:5">
      <c r="E574" s="19"/>
    </row>
    <row r="575" spans="5:5">
      <c r="E575" s="19"/>
    </row>
    <row r="576" spans="5:5">
      <c r="E576" s="19"/>
    </row>
    <row r="577" spans="5:5">
      <c r="E577" s="19"/>
    </row>
    <row r="578" spans="5:5">
      <c r="E578" s="19"/>
    </row>
    <row r="579" spans="5:5">
      <c r="E579" s="19"/>
    </row>
    <row r="580" spans="5:5">
      <c r="E580" s="19"/>
    </row>
    <row r="581" spans="5:5">
      <c r="E581" s="19"/>
    </row>
    <row r="582" spans="5:5">
      <c r="E582" s="19"/>
    </row>
    <row r="583" spans="5:5">
      <c r="E583" s="19"/>
    </row>
    <row r="584" spans="5:5">
      <c r="E584" s="19"/>
    </row>
    <row r="585" spans="5:5">
      <c r="E585" s="19"/>
    </row>
    <row r="586" spans="5:5">
      <c r="E586" s="19"/>
    </row>
    <row r="587" spans="5:5">
      <c r="E587" s="19"/>
    </row>
    <row r="588" spans="5:5">
      <c r="E588" s="19"/>
    </row>
    <row r="589" spans="5:5">
      <c r="E589" s="19"/>
    </row>
    <row r="590" spans="5:5">
      <c r="E590" s="19"/>
    </row>
    <row r="591" spans="5:5">
      <c r="E591" s="19"/>
    </row>
    <row r="592" spans="5:5">
      <c r="E592" s="19"/>
    </row>
    <row r="593" spans="5:5">
      <c r="E593" s="19"/>
    </row>
    <row r="594" spans="5:5">
      <c r="E594" s="19"/>
    </row>
    <row r="595" spans="5:5">
      <c r="E595" s="19"/>
    </row>
    <row r="596" spans="5:5">
      <c r="E596" s="19"/>
    </row>
    <row r="597" spans="5:5">
      <c r="E597" s="19"/>
    </row>
    <row r="598" spans="5:5">
      <c r="E598" s="19"/>
    </row>
    <row r="599" spans="5:5">
      <c r="E599" s="19"/>
    </row>
    <row r="600" spans="5:5">
      <c r="E600" s="19"/>
    </row>
    <row r="601" spans="5:5">
      <c r="E601" s="19"/>
    </row>
    <row r="602" spans="5:5">
      <c r="E602" s="19"/>
    </row>
    <row r="603" spans="5:5">
      <c r="E603" s="19"/>
    </row>
    <row r="604" spans="5:5">
      <c r="E604" s="19"/>
    </row>
    <row r="605" spans="5:5">
      <c r="E605" s="19"/>
    </row>
    <row r="606" spans="5:5">
      <c r="E606" s="19"/>
    </row>
    <row r="607" spans="5:5">
      <c r="E607" s="19"/>
    </row>
    <row r="608" spans="5:5">
      <c r="E608" s="19"/>
    </row>
    <row r="609" spans="5:5">
      <c r="E609" s="19"/>
    </row>
    <row r="610" spans="5:5">
      <c r="E610" s="19"/>
    </row>
    <row r="611" spans="5:5">
      <c r="E611" s="19"/>
    </row>
    <row r="612" spans="5:5">
      <c r="E612" s="19"/>
    </row>
    <row r="613" spans="5:5">
      <c r="E613" s="19"/>
    </row>
    <row r="614" spans="5:5">
      <c r="E614" s="19"/>
    </row>
    <row r="615" spans="5:5">
      <c r="E615" s="19"/>
    </row>
    <row r="616" spans="5:5">
      <c r="E616" s="19"/>
    </row>
    <row r="617" spans="5:5">
      <c r="E617" s="19"/>
    </row>
    <row r="618" spans="5:5">
      <c r="E618" s="19"/>
    </row>
    <row r="619" spans="5:5">
      <c r="E619" s="19"/>
    </row>
    <row r="620" spans="5:5">
      <c r="E620" s="19"/>
    </row>
    <row r="621" spans="5:5">
      <c r="E621" s="19"/>
    </row>
    <row r="622" spans="5:5">
      <c r="E622" s="19"/>
    </row>
    <row r="623" spans="5:5">
      <c r="E623" s="19"/>
    </row>
    <row r="624" spans="5:5">
      <c r="E624" s="19"/>
    </row>
    <row r="625" spans="5:5">
      <c r="E625" s="19"/>
    </row>
    <row r="626" spans="5:5">
      <c r="E626" s="19"/>
    </row>
    <row r="627" spans="5:5">
      <c r="E627" s="19"/>
    </row>
    <row r="628" spans="5:5">
      <c r="E628" s="19"/>
    </row>
    <row r="629" spans="5:5">
      <c r="E629" s="19"/>
    </row>
    <row r="630" spans="5:5">
      <c r="E630" s="19"/>
    </row>
    <row r="631" spans="5:5">
      <c r="E631" s="19"/>
    </row>
    <row r="632" spans="5:5">
      <c r="E632" s="19"/>
    </row>
    <row r="633" spans="5:5">
      <c r="E633" s="19"/>
    </row>
    <row r="634" spans="5:5">
      <c r="E634" s="19"/>
    </row>
    <row r="635" spans="5:5">
      <c r="E635" s="19"/>
    </row>
    <row r="636" spans="5:5">
      <c r="E636" s="19"/>
    </row>
    <row r="637" spans="5:5">
      <c r="E637" s="19"/>
    </row>
    <row r="638" spans="5:5">
      <c r="E638" s="19"/>
    </row>
    <row r="639" spans="5:5">
      <c r="E639" s="19"/>
    </row>
    <row r="640" spans="5:5">
      <c r="E640" s="19"/>
    </row>
    <row r="641" spans="5:5">
      <c r="E641" s="19"/>
    </row>
    <row r="642" spans="5:5">
      <c r="E642" s="19"/>
    </row>
    <row r="643" spans="5:5">
      <c r="E643" s="19"/>
    </row>
    <row r="644" spans="5:5">
      <c r="E644" s="19"/>
    </row>
    <row r="645" spans="5:5">
      <c r="E645" s="19"/>
    </row>
    <row r="646" spans="5:5">
      <c r="E646" s="19"/>
    </row>
    <row r="647" spans="5:5">
      <c r="E647" s="19"/>
    </row>
    <row r="648" spans="5:5">
      <c r="E648" s="19"/>
    </row>
    <row r="649" spans="5:5">
      <c r="E649" s="19"/>
    </row>
    <row r="650" spans="5:5">
      <c r="E650" s="19"/>
    </row>
    <row r="651" spans="5:5">
      <c r="E651" s="19"/>
    </row>
    <row r="652" spans="5:5">
      <c r="E652" s="19"/>
    </row>
    <row r="653" spans="5:5">
      <c r="E653" s="19"/>
    </row>
    <row r="654" spans="5:5">
      <c r="E654" s="19"/>
    </row>
    <row r="655" spans="5:5">
      <c r="E655" s="19"/>
    </row>
    <row r="656" spans="5:5">
      <c r="E656" s="19"/>
    </row>
    <row r="657" spans="5:5">
      <c r="E657" s="19"/>
    </row>
    <row r="658" spans="5:5">
      <c r="E658" s="19"/>
    </row>
    <row r="659" spans="5:5">
      <c r="E659" s="19"/>
    </row>
    <row r="660" spans="5:5">
      <c r="E660" s="19"/>
    </row>
    <row r="661" spans="5:5">
      <c r="E661" s="19"/>
    </row>
    <row r="662" spans="5:5">
      <c r="E662" s="19"/>
    </row>
    <row r="663" spans="5:5">
      <c r="E663" s="19"/>
    </row>
    <row r="664" spans="5:5">
      <c r="E664" s="19"/>
    </row>
    <row r="665" spans="5:5">
      <c r="E665" s="19"/>
    </row>
    <row r="666" spans="5:5">
      <c r="E666" s="19"/>
    </row>
    <row r="667" spans="5:5">
      <c r="E667" s="19"/>
    </row>
    <row r="668" spans="5:5">
      <c r="E668" s="19"/>
    </row>
    <row r="669" spans="5:5">
      <c r="E669" s="19"/>
    </row>
    <row r="670" spans="5:5">
      <c r="E670" s="19"/>
    </row>
    <row r="671" spans="5:5">
      <c r="E671" s="19"/>
    </row>
    <row r="672" spans="5:5">
      <c r="E672" s="19"/>
    </row>
    <row r="673" spans="5:5">
      <c r="E673" s="19"/>
    </row>
    <row r="674" spans="5:5">
      <c r="E674" s="19"/>
    </row>
    <row r="675" spans="5:5">
      <c r="E675" s="19"/>
    </row>
    <row r="676" spans="5:5">
      <c r="E676" s="19"/>
    </row>
    <row r="677" spans="5:5">
      <c r="E677" s="19"/>
    </row>
    <row r="678" spans="5:5">
      <c r="E678" s="19"/>
    </row>
    <row r="679" spans="5:5">
      <c r="E679" s="19"/>
    </row>
    <row r="680" spans="5:5">
      <c r="E680" s="19"/>
    </row>
    <row r="681" spans="5:5">
      <c r="E681" s="19"/>
    </row>
    <row r="682" spans="5:5">
      <c r="E682" s="19"/>
    </row>
    <row r="683" spans="5:5">
      <c r="E683" s="19"/>
    </row>
    <row r="684" spans="5:5">
      <c r="E684" s="19"/>
    </row>
    <row r="685" spans="5:5">
      <c r="E685" s="19"/>
    </row>
    <row r="686" spans="5:5">
      <c r="E686" s="19"/>
    </row>
    <row r="687" spans="5:5">
      <c r="E687" s="19"/>
    </row>
    <row r="688" spans="5:5">
      <c r="E688" s="19"/>
    </row>
    <row r="689" spans="5:5">
      <c r="E689" s="19"/>
    </row>
    <row r="690" spans="5:5">
      <c r="E690" s="19"/>
    </row>
    <row r="691" spans="5:5">
      <c r="E691" s="19"/>
    </row>
    <row r="692" spans="5:5">
      <c r="E692" s="19"/>
    </row>
    <row r="693" spans="5:5">
      <c r="E693" s="19"/>
    </row>
    <row r="694" spans="5:5">
      <c r="E694" s="19"/>
    </row>
    <row r="695" spans="5:5">
      <c r="E695" s="19"/>
    </row>
    <row r="696" spans="5:5">
      <c r="E696" s="19"/>
    </row>
    <row r="697" spans="5:5">
      <c r="E697" s="19"/>
    </row>
    <row r="698" spans="5:5">
      <c r="E698" s="19"/>
    </row>
    <row r="699" spans="5:5">
      <c r="E699" s="19"/>
    </row>
    <row r="700" spans="5:5">
      <c r="E700" s="19"/>
    </row>
    <row r="701" spans="5:5">
      <c r="E701" s="19"/>
    </row>
    <row r="702" spans="5:5">
      <c r="E702" s="19"/>
    </row>
    <row r="703" spans="5:5">
      <c r="E703" s="19"/>
    </row>
    <row r="704" spans="5:5">
      <c r="E704" s="19"/>
    </row>
    <row r="705" spans="5:5">
      <c r="E705" s="19"/>
    </row>
    <row r="706" spans="5:5">
      <c r="E706" s="19"/>
    </row>
    <row r="707" spans="5:5">
      <c r="E707" s="19"/>
    </row>
    <row r="708" spans="5:5">
      <c r="E708" s="19"/>
    </row>
    <row r="709" spans="5:5">
      <c r="E709" s="19"/>
    </row>
    <row r="710" spans="5:5">
      <c r="E710" s="19"/>
    </row>
    <row r="711" spans="5:5">
      <c r="E711" s="19"/>
    </row>
    <row r="712" spans="5:5">
      <c r="E712" s="19"/>
    </row>
    <row r="713" spans="5:5">
      <c r="E713" s="19"/>
    </row>
    <row r="714" spans="5:5">
      <c r="E714" s="19"/>
    </row>
    <row r="715" spans="5:5">
      <c r="E715" s="19"/>
    </row>
    <row r="716" spans="5:5">
      <c r="E716" s="19"/>
    </row>
    <row r="717" spans="5:5">
      <c r="E717" s="19"/>
    </row>
    <row r="718" spans="5:5">
      <c r="E718" s="19"/>
    </row>
    <row r="719" spans="5:5">
      <c r="E719" s="19"/>
    </row>
    <row r="720" spans="5:5">
      <c r="E720" s="19"/>
    </row>
    <row r="721" spans="5:5">
      <c r="E721" s="19"/>
    </row>
    <row r="722" spans="5:5">
      <c r="E722" s="19"/>
    </row>
    <row r="723" spans="5:5">
      <c r="E723" s="19"/>
    </row>
    <row r="724" spans="5:5">
      <c r="E724" s="19"/>
    </row>
    <row r="725" spans="5:5">
      <c r="E725" s="19"/>
    </row>
    <row r="726" spans="5:5">
      <c r="E726" s="19"/>
    </row>
    <row r="727" spans="5:5">
      <c r="E727" s="19"/>
    </row>
    <row r="728" spans="5:5">
      <c r="E728" s="19"/>
    </row>
    <row r="729" spans="5:5">
      <c r="E729" s="19"/>
    </row>
    <row r="730" spans="5:5">
      <c r="E730" s="19"/>
    </row>
    <row r="731" spans="5:5">
      <c r="E731" s="19"/>
    </row>
    <row r="732" spans="5:5">
      <c r="E732" s="19"/>
    </row>
    <row r="733" spans="5:5">
      <c r="E733" s="19"/>
    </row>
    <row r="734" spans="5:5">
      <c r="E734" s="19"/>
    </row>
    <row r="735" spans="5:5">
      <c r="E735" s="19"/>
    </row>
    <row r="736" spans="5:5">
      <c r="E736" s="19"/>
    </row>
    <row r="737" spans="5:5">
      <c r="E737" s="19"/>
    </row>
    <row r="738" spans="5:5">
      <c r="E738" s="19"/>
    </row>
    <row r="739" spans="5:5">
      <c r="E739" s="19"/>
    </row>
    <row r="740" spans="5:5">
      <c r="E740" s="19"/>
    </row>
    <row r="741" spans="5:5">
      <c r="E741" s="19"/>
    </row>
    <row r="742" spans="5:5">
      <c r="E742" s="19"/>
    </row>
    <row r="743" spans="5:5">
      <c r="E743" s="19"/>
    </row>
    <row r="744" spans="5:5">
      <c r="E744" s="19"/>
    </row>
    <row r="745" spans="5:5">
      <c r="E745" s="19"/>
    </row>
    <row r="746" spans="5:5">
      <c r="E746" s="19"/>
    </row>
    <row r="747" spans="5:5">
      <c r="E747" s="19"/>
    </row>
    <row r="748" spans="5:5">
      <c r="E748" s="19"/>
    </row>
    <row r="749" spans="5:5">
      <c r="E749" s="19"/>
    </row>
    <row r="750" spans="5:5">
      <c r="E750" s="19"/>
    </row>
    <row r="751" spans="5:5">
      <c r="E751" s="19"/>
    </row>
    <row r="752" spans="5:5">
      <c r="E752" s="19"/>
    </row>
    <row r="753" spans="5:5">
      <c r="E753" s="19"/>
    </row>
    <row r="754" spans="5:5">
      <c r="E754" s="19"/>
    </row>
    <row r="755" spans="5:5">
      <c r="E755" s="19"/>
    </row>
    <row r="756" spans="5:5">
      <c r="E756" s="19"/>
    </row>
    <row r="757" spans="5:5">
      <c r="E757" s="19"/>
    </row>
    <row r="758" spans="5:5">
      <c r="E758" s="19"/>
    </row>
    <row r="759" spans="5:5">
      <c r="E759" s="19"/>
    </row>
    <row r="760" spans="5:5">
      <c r="E760" s="19"/>
    </row>
    <row r="761" spans="5:5">
      <c r="E761" s="19"/>
    </row>
    <row r="762" spans="5:5">
      <c r="E762" s="19"/>
    </row>
    <row r="763" spans="5:5">
      <c r="E763" s="19"/>
    </row>
    <row r="764" spans="5:5">
      <c r="E764" s="19"/>
    </row>
    <row r="765" spans="5:5">
      <c r="E765" s="19"/>
    </row>
    <row r="766" spans="5:5">
      <c r="E766" s="19"/>
    </row>
    <row r="767" spans="5:5">
      <c r="E767" s="19"/>
    </row>
    <row r="768" spans="5:5">
      <c r="E768" s="19"/>
    </row>
    <row r="769" spans="5:5">
      <c r="E769" s="19"/>
    </row>
    <row r="770" spans="5:5">
      <c r="E770" s="19"/>
    </row>
    <row r="771" spans="5:5">
      <c r="E771" s="19"/>
    </row>
    <row r="772" spans="5:5">
      <c r="E772" s="19"/>
    </row>
    <row r="773" spans="5:5">
      <c r="E773" s="19"/>
    </row>
    <row r="774" spans="5:5">
      <c r="E774" s="19"/>
    </row>
    <row r="775" spans="5:5">
      <c r="E775" s="19"/>
    </row>
    <row r="776" spans="5:5">
      <c r="E776" s="19"/>
    </row>
    <row r="777" spans="5:5">
      <c r="E777" s="19"/>
    </row>
    <row r="778" spans="5:5">
      <c r="E778" s="19"/>
    </row>
    <row r="779" spans="5:5">
      <c r="E779" s="19"/>
    </row>
    <row r="780" spans="5:5">
      <c r="E780" s="19"/>
    </row>
    <row r="781" spans="5:5">
      <c r="E781" s="19"/>
    </row>
    <row r="782" spans="5:5">
      <c r="E782" s="19"/>
    </row>
    <row r="783" spans="5:5">
      <c r="E783" s="19"/>
    </row>
    <row r="784" spans="5:5">
      <c r="E784" s="19"/>
    </row>
    <row r="785" spans="5:5">
      <c r="E785" s="19"/>
    </row>
    <row r="786" spans="5:5">
      <c r="E786" s="19"/>
    </row>
    <row r="787" spans="5:5">
      <c r="E787" s="19"/>
    </row>
    <row r="788" spans="5:5">
      <c r="E788" s="19"/>
    </row>
    <row r="789" spans="5:5">
      <c r="E789" s="19"/>
    </row>
    <row r="790" spans="5:5">
      <c r="E790" s="19"/>
    </row>
    <row r="791" spans="5:5">
      <c r="E791" s="19"/>
    </row>
    <row r="792" spans="5:5">
      <c r="E792" s="19"/>
    </row>
    <row r="793" spans="5:5">
      <c r="E793" s="19"/>
    </row>
    <row r="794" spans="5:5">
      <c r="E794" s="19"/>
    </row>
    <row r="795" spans="5:5">
      <c r="E795" s="19"/>
    </row>
    <row r="796" spans="5:5">
      <c r="E796" s="19"/>
    </row>
    <row r="797" spans="5:5">
      <c r="E797" s="19"/>
    </row>
    <row r="798" spans="5:5">
      <c r="E798" s="19"/>
    </row>
    <row r="799" spans="5:5">
      <c r="E799" s="19"/>
    </row>
    <row r="800" spans="5:5">
      <c r="E800" s="19"/>
    </row>
    <row r="801" spans="5:5">
      <c r="E801" s="19"/>
    </row>
    <row r="802" spans="5:5">
      <c r="E802" s="19"/>
    </row>
    <row r="803" spans="5:5">
      <c r="E803" s="19"/>
    </row>
    <row r="804" spans="5:5">
      <c r="E804" s="19"/>
    </row>
    <row r="805" spans="5:5">
      <c r="E805" s="19"/>
    </row>
    <row r="806" spans="5:5">
      <c r="E806" s="19"/>
    </row>
    <row r="807" spans="5:5">
      <c r="E807" s="19"/>
    </row>
    <row r="808" spans="5:5">
      <c r="E808" s="19"/>
    </row>
    <row r="809" spans="5:5">
      <c r="E809" s="19"/>
    </row>
    <row r="810" spans="5:5">
      <c r="E810" s="19"/>
    </row>
    <row r="811" spans="5:5">
      <c r="E811" s="19"/>
    </row>
    <row r="812" spans="5:5">
      <c r="E812" s="19"/>
    </row>
    <row r="813" spans="5:5">
      <c r="E813" s="19"/>
    </row>
    <row r="814" spans="5:5">
      <c r="E814" s="19"/>
    </row>
    <row r="815" spans="5:5">
      <c r="E815" s="19"/>
    </row>
    <row r="816" spans="5:5">
      <c r="E816" s="19"/>
    </row>
    <row r="817" spans="5:5">
      <c r="E817" s="19"/>
    </row>
    <row r="818" spans="5:5">
      <c r="E818" s="19"/>
    </row>
    <row r="819" spans="5:5">
      <c r="E819" s="19"/>
    </row>
    <row r="820" spans="5:5">
      <c r="E820" s="19"/>
    </row>
    <row r="821" spans="5:5">
      <c r="E821" s="19"/>
    </row>
    <row r="822" spans="5:5">
      <c r="E822" s="19"/>
    </row>
    <row r="823" spans="5:5">
      <c r="E823" s="19"/>
    </row>
    <row r="824" spans="5:5">
      <c r="E824" s="19"/>
    </row>
    <row r="825" spans="5:5">
      <c r="E825" s="19"/>
    </row>
    <row r="826" spans="5:5">
      <c r="E826" s="19"/>
    </row>
    <row r="827" spans="5:5">
      <c r="E827" s="19"/>
    </row>
    <row r="828" spans="5:5">
      <c r="E828" s="19"/>
    </row>
    <row r="829" spans="5:5">
      <c r="E829" s="19"/>
    </row>
    <row r="830" spans="5:5">
      <c r="E830" s="19"/>
    </row>
    <row r="831" spans="5:5">
      <c r="E831" s="19"/>
    </row>
    <row r="832" spans="5:5">
      <c r="E832" s="19"/>
    </row>
    <row r="833" spans="5:5">
      <c r="E833" s="19"/>
    </row>
    <row r="834" spans="5:5">
      <c r="E834" s="19"/>
    </row>
    <row r="835" spans="5:5">
      <c r="E835" s="19"/>
    </row>
    <row r="836" spans="5:5">
      <c r="E836" s="19"/>
    </row>
    <row r="837" spans="5:5">
      <c r="E837" s="19"/>
    </row>
    <row r="838" spans="5:5">
      <c r="E838" s="19"/>
    </row>
    <row r="839" spans="5:5">
      <c r="E839" s="19"/>
    </row>
    <row r="840" spans="5:5">
      <c r="E840" s="19"/>
    </row>
    <row r="841" spans="5:5">
      <c r="E841" s="19"/>
    </row>
    <row r="842" spans="5:5">
      <c r="E842" s="19"/>
    </row>
    <row r="843" spans="5:5">
      <c r="E843" s="19"/>
    </row>
    <row r="844" spans="5:5">
      <c r="E844" s="19"/>
    </row>
    <row r="845" spans="5:5">
      <c r="E845" s="19"/>
    </row>
    <row r="846" spans="5:5">
      <c r="E846" s="19"/>
    </row>
    <row r="847" spans="5:5">
      <c r="E847" s="19"/>
    </row>
    <row r="848" spans="5:5">
      <c r="E848" s="19"/>
    </row>
    <row r="849" spans="5:5">
      <c r="E849" s="19"/>
    </row>
    <row r="850" spans="5:5">
      <c r="E850" s="19"/>
    </row>
    <row r="851" spans="5:5">
      <c r="E851" s="19"/>
    </row>
    <row r="852" spans="5:5">
      <c r="E852" s="19"/>
    </row>
    <row r="853" spans="5:5">
      <c r="E853" s="19"/>
    </row>
    <row r="854" spans="5:5">
      <c r="E854" s="19"/>
    </row>
    <row r="855" spans="5:5">
      <c r="E855" s="19"/>
    </row>
    <row r="856" spans="5:5">
      <c r="E856" s="19"/>
    </row>
    <row r="857" spans="5:5">
      <c r="E857" s="19"/>
    </row>
    <row r="858" spans="5:5">
      <c r="E858" s="19"/>
    </row>
  </sheetData>
  <conditionalFormatting sqref="G229:G237 F229:F234 F236:F237 F227:J227 H237:K237 H229:H231 E238:J238 H233:H236 I229:J236 F212:J220">
    <cfRule type="expression" dxfId="15" priority="1">
      <formula>#REF!=0</formula>
    </cfRule>
  </conditionalFormatting>
  <printOptions headings="1"/>
  <pageMargins left="0.23622047244094491" right="0.27559055118110237" top="0.74803149606299213" bottom="0.74803149606299213" header="0.31496062992125984" footer="0.31496062992125984"/>
  <pageSetup paperSize="8" scale="53" fitToHeight="0" orientation="portrait" r:id="rId1"/>
  <drawing r:id="rId2"/>
  <legacyDrawing r:id="rId3"/>
</worksheet>
</file>

<file path=xl/worksheets/sheet6.xml><?xml version="1.0" encoding="utf-8"?>
<worksheet xmlns="http://schemas.openxmlformats.org/spreadsheetml/2006/main" xmlns:r="http://schemas.openxmlformats.org/officeDocument/2006/relationships">
  <sheetPr codeName="Sheet45">
    <tabColor theme="9" tint="0.79998168889431442"/>
    <pageSetUpPr fitToPage="1"/>
  </sheetPr>
  <dimension ref="A1:Z858"/>
  <sheetViews>
    <sheetView zoomScaleNormal="100" workbookViewId="0"/>
  </sheetViews>
  <sheetFormatPr defaultRowHeight="15"/>
  <cols>
    <col min="1" max="2" width="4.140625" style="22" customWidth="1"/>
    <col min="3" max="3" width="47.5703125" style="22" customWidth="1"/>
    <col min="4" max="4" width="13.5703125" style="22" customWidth="1"/>
    <col min="5" max="5" width="10.5703125" style="22" customWidth="1"/>
    <col min="6" max="6" width="13.42578125" style="22" customWidth="1"/>
    <col min="7" max="7" width="10.42578125" style="22" customWidth="1"/>
    <col min="8" max="8" width="11.5703125" style="22" customWidth="1"/>
    <col min="9" max="9" width="10.28515625" style="22" customWidth="1"/>
    <col min="10" max="10" width="13.7109375" style="22" customWidth="1"/>
    <col min="11" max="11" width="11.28515625" style="22" customWidth="1"/>
    <col min="12" max="12" width="19.5703125" style="22" bestFit="1" customWidth="1"/>
    <col min="13" max="13" width="11.5703125" style="22" bestFit="1" customWidth="1"/>
    <col min="14" max="16384" width="9.140625" style="22"/>
  </cols>
  <sheetData>
    <row r="1" spans="1:16" ht="23.25">
      <c r="A1" s="27"/>
      <c r="C1" s="1" t="str">
        <f ca="1">OFFSET(Inputs_Anchor,0,G1+1)</f>
        <v>Aurora Energy</v>
      </c>
      <c r="D1" s="1"/>
      <c r="E1" s="1"/>
      <c r="F1" s="4" t="s">
        <v>109</v>
      </c>
      <c r="G1" s="5">
        <v>2</v>
      </c>
      <c r="H1" s="1"/>
      <c r="I1" s="1"/>
      <c r="J1" s="1"/>
      <c r="K1" s="1"/>
      <c r="L1" s="1"/>
      <c r="M1" s="1"/>
      <c r="N1" s="1"/>
      <c r="O1" s="1"/>
      <c r="P1" s="1"/>
    </row>
    <row r="2" spans="1:16">
      <c r="A2" s="27"/>
      <c r="L2" s="26"/>
    </row>
    <row r="3" spans="1:16" ht="23.25">
      <c r="C3" s="1" t="s">
        <v>3</v>
      </c>
      <c r="D3" s="1"/>
      <c r="E3" s="1"/>
      <c r="F3" s="1"/>
      <c r="G3" s="1"/>
      <c r="H3" s="1"/>
      <c r="I3" s="1"/>
      <c r="J3" s="1"/>
      <c r="K3" s="1"/>
      <c r="L3" s="1"/>
      <c r="M3" s="1"/>
      <c r="N3" s="1"/>
      <c r="O3" s="1"/>
      <c r="P3" s="1"/>
    </row>
    <row r="4" spans="1:16">
      <c r="A4" s="27"/>
      <c r="B4" s="27"/>
      <c r="C4" s="27"/>
      <c r="D4" s="147" t="s">
        <v>57</v>
      </c>
      <c r="E4" s="147" t="s">
        <v>58</v>
      </c>
      <c r="F4" s="27"/>
      <c r="G4" s="27"/>
      <c r="H4" s="148" t="s">
        <v>5</v>
      </c>
      <c r="I4" s="27"/>
      <c r="J4" s="27"/>
      <c r="K4" s="27"/>
      <c r="L4" s="27"/>
    </row>
    <row r="5" spans="1:16">
      <c r="A5" s="30"/>
      <c r="B5" s="27"/>
      <c r="C5" s="27"/>
      <c r="D5" s="147" t="s">
        <v>56</v>
      </c>
      <c r="E5" s="147"/>
      <c r="F5" s="27"/>
      <c r="G5" s="27"/>
      <c r="H5" s="27"/>
      <c r="I5" s="27"/>
      <c r="J5" s="27"/>
      <c r="K5" s="27"/>
      <c r="L5" s="27"/>
    </row>
    <row r="6" spans="1:16">
      <c r="A6" s="119"/>
      <c r="B6" s="50"/>
      <c r="C6" s="99" t="s">
        <v>1</v>
      </c>
      <c r="D6" s="50"/>
      <c r="E6" s="99" t="str">
        <f>Inputs!D11</f>
        <v>2009/10</v>
      </c>
      <c r="F6" s="99" t="str">
        <f>Inputs!E11</f>
        <v>2010/11</v>
      </c>
      <c r="G6" s="99" t="str">
        <f>Inputs!F11</f>
        <v>2011/12</v>
      </c>
      <c r="H6" s="99" t="str">
        <f>Inputs!G11</f>
        <v>2012/13</v>
      </c>
      <c r="I6" s="99" t="str">
        <f>Inputs!H11</f>
        <v>2013/14</v>
      </c>
      <c r="J6" s="99" t="str">
        <f>Inputs!I11</f>
        <v>2014/15</v>
      </c>
      <c r="K6" s="99"/>
      <c r="L6" s="67"/>
    </row>
    <row r="7" spans="1:16">
      <c r="A7" s="119"/>
      <c r="B7" s="50"/>
      <c r="C7" s="50" t="s">
        <v>59</v>
      </c>
      <c r="D7" s="50"/>
      <c r="E7" s="125">
        <v>1</v>
      </c>
      <c r="F7" s="125">
        <v>2</v>
      </c>
      <c r="G7" s="125">
        <v>3</v>
      </c>
      <c r="H7" s="125">
        <v>4</v>
      </c>
      <c r="I7" s="125">
        <v>5</v>
      </c>
      <c r="J7" s="125">
        <v>6</v>
      </c>
      <c r="K7" s="125"/>
      <c r="L7" s="67"/>
    </row>
    <row r="8" spans="1:16">
      <c r="A8" s="119">
        <v>1</v>
      </c>
      <c r="B8" s="149"/>
      <c r="C8" s="50" t="str">
        <f>Inputs!B20</f>
        <v>Line Revenue through Prices</v>
      </c>
      <c r="D8" s="50"/>
      <c r="E8" s="47">
        <f t="shared" ref="E8:E27" si="0">INDEX(InputsBlock,A8+1,$G$1+2)</f>
        <v>72951</v>
      </c>
      <c r="F8" s="50"/>
      <c r="G8" s="50"/>
      <c r="H8" s="50"/>
      <c r="I8" s="50"/>
      <c r="J8" s="50"/>
      <c r="K8" s="50"/>
      <c r="L8" s="27"/>
    </row>
    <row r="9" spans="1:16">
      <c r="A9" s="119">
        <f t="shared" ref="A9:A27" si="1">A8+1</f>
        <v>2</v>
      </c>
      <c r="B9" s="149"/>
      <c r="C9" s="50" t="str">
        <f>Inputs!B21</f>
        <v>Pass-through costs</v>
      </c>
      <c r="D9" s="50"/>
      <c r="E9" s="47">
        <f t="shared" si="0"/>
        <v>859</v>
      </c>
      <c r="F9" s="50"/>
      <c r="G9" s="50"/>
      <c r="H9" s="50"/>
      <c r="I9" s="50"/>
      <c r="J9" s="50"/>
      <c r="K9" s="50"/>
      <c r="L9" s="27"/>
    </row>
    <row r="10" spans="1:16">
      <c r="A10" s="119">
        <f t="shared" si="1"/>
        <v>3</v>
      </c>
      <c r="B10" s="149"/>
      <c r="C10" s="50" t="str">
        <f>Inputs!B22</f>
        <v>Recoverable costs</v>
      </c>
      <c r="D10" s="50"/>
      <c r="E10" s="47">
        <f t="shared" si="0"/>
        <v>20979</v>
      </c>
      <c r="F10" s="50"/>
      <c r="G10" s="50"/>
      <c r="H10" s="50"/>
      <c r="I10" s="50"/>
      <c r="J10" s="50"/>
      <c r="K10" s="50"/>
      <c r="L10" s="27"/>
    </row>
    <row r="11" spans="1:16">
      <c r="A11" s="119">
        <f t="shared" si="1"/>
        <v>4</v>
      </c>
      <c r="B11" s="149"/>
      <c r="C11" s="50" t="str">
        <f>Inputs!B23</f>
        <v>Opening RAB</v>
      </c>
      <c r="D11" s="50"/>
      <c r="E11" s="47">
        <f t="shared" si="0"/>
        <v>278174.86</v>
      </c>
      <c r="F11" s="50"/>
      <c r="G11" s="50"/>
      <c r="H11" s="50"/>
      <c r="I11" s="50"/>
      <c r="J11" s="50"/>
      <c r="K11" s="50"/>
      <c r="L11" s="150"/>
    </row>
    <row r="12" spans="1:16">
      <c r="A12" s="119">
        <f t="shared" si="1"/>
        <v>5</v>
      </c>
      <c r="B12" s="149"/>
      <c r="C12" s="50" t="str">
        <f>Inputs!B24</f>
        <v>Lost assets</v>
      </c>
      <c r="D12" s="50"/>
      <c r="E12" s="47">
        <f t="shared" si="0"/>
        <v>0</v>
      </c>
      <c r="F12" s="50"/>
      <c r="G12" s="50"/>
      <c r="H12" s="50"/>
      <c r="I12" s="50"/>
      <c r="J12" s="50"/>
      <c r="K12" s="50"/>
      <c r="L12" s="150"/>
    </row>
    <row r="13" spans="1:16">
      <c r="A13" s="119">
        <f t="shared" si="1"/>
        <v>6</v>
      </c>
      <c r="B13" s="149"/>
      <c r="C13" s="50" t="str">
        <f>Inputs!B25</f>
        <v>Found Assets</v>
      </c>
      <c r="D13" s="50"/>
      <c r="E13" s="47">
        <f t="shared" si="0"/>
        <v>0</v>
      </c>
      <c r="F13" s="50"/>
      <c r="G13" s="50"/>
      <c r="H13" s="50"/>
      <c r="I13" s="50"/>
      <c r="J13" s="50"/>
      <c r="K13" s="50"/>
      <c r="L13" s="150"/>
    </row>
    <row r="14" spans="1:16">
      <c r="A14" s="119">
        <f t="shared" si="1"/>
        <v>7</v>
      </c>
      <c r="B14" s="149"/>
      <c r="C14" s="50" t="str">
        <f>Inputs!B26</f>
        <v>Total Depreciation</v>
      </c>
      <c r="D14" s="50"/>
      <c r="E14" s="47">
        <f t="shared" si="0"/>
        <v>7786</v>
      </c>
      <c r="F14" s="47"/>
      <c r="G14" s="191" t="s">
        <v>280</v>
      </c>
      <c r="H14" s="50"/>
      <c r="I14" s="50"/>
      <c r="J14" s="50"/>
      <c r="K14" s="50"/>
      <c r="L14" s="27"/>
    </row>
    <row r="15" spans="1:16">
      <c r="A15" s="119">
        <f t="shared" si="1"/>
        <v>8</v>
      </c>
      <c r="B15" s="149"/>
      <c r="C15" s="50" t="str">
        <f>Inputs!B27</f>
        <v>RAB of disposed assets</v>
      </c>
      <c r="D15" s="50"/>
      <c r="E15" s="47">
        <f t="shared" si="0"/>
        <v>452</v>
      </c>
      <c r="F15" s="50"/>
      <c r="G15" s="175" t="s">
        <v>281</v>
      </c>
      <c r="H15" s="50"/>
      <c r="I15" s="50"/>
      <c r="J15" s="50"/>
      <c r="K15" s="50"/>
      <c r="L15" s="27"/>
    </row>
    <row r="16" spans="1:16">
      <c r="A16" s="119">
        <f t="shared" si="1"/>
        <v>9</v>
      </c>
      <c r="B16" s="149"/>
      <c r="C16" s="50" t="str">
        <f>Inputs!B28</f>
        <v>Discretionary discounts &amp;  rebates</v>
      </c>
      <c r="D16" s="50"/>
      <c r="E16" s="47">
        <f t="shared" si="0"/>
        <v>0</v>
      </c>
      <c r="F16" s="50"/>
      <c r="G16" s="175" t="s">
        <v>282</v>
      </c>
      <c r="H16" s="50"/>
      <c r="I16" s="50"/>
      <c r="J16" s="50"/>
      <c r="K16" s="50"/>
      <c r="L16" s="27"/>
    </row>
    <row r="17" spans="1:22">
      <c r="A17" s="119">
        <f t="shared" si="1"/>
        <v>10</v>
      </c>
      <c r="B17" s="149"/>
      <c r="C17" s="50" t="str">
        <f>Inputs!B29</f>
        <v>Tax Depreciation</v>
      </c>
      <c r="D17" s="50"/>
      <c r="E17" s="47">
        <f t="shared" si="0"/>
        <v>13769</v>
      </c>
      <c r="F17" s="50"/>
      <c r="G17" s="175" t="s">
        <v>283</v>
      </c>
      <c r="H17" s="50"/>
      <c r="I17" s="50"/>
      <c r="J17" s="50"/>
      <c r="K17" s="50"/>
      <c r="L17" s="27"/>
    </row>
    <row r="18" spans="1:22">
      <c r="A18" s="119">
        <f t="shared" si="1"/>
        <v>11</v>
      </c>
      <c r="B18" s="149"/>
      <c r="C18" s="50" t="str">
        <f>Inputs!B30</f>
        <v>Opening regulatory tax asset value</v>
      </c>
      <c r="D18" s="50"/>
      <c r="E18" s="47">
        <f t="shared" si="0"/>
        <v>150682</v>
      </c>
      <c r="F18" s="50"/>
      <c r="G18" s="50"/>
      <c r="H18" s="50"/>
      <c r="I18" s="50"/>
      <c r="J18" s="50"/>
      <c r="K18" s="50"/>
      <c r="L18" s="27"/>
    </row>
    <row r="19" spans="1:22">
      <c r="A19" s="119">
        <f t="shared" si="1"/>
        <v>12</v>
      </c>
      <c r="B19" s="149"/>
      <c r="C19" s="50" t="str">
        <f>Inputs!B31</f>
        <v>Weighted Average Remaining Life at year-end</v>
      </c>
      <c r="D19" s="50"/>
      <c r="E19" s="47">
        <f t="shared" si="0"/>
        <v>26.99</v>
      </c>
      <c r="F19" s="50"/>
      <c r="G19" s="50"/>
      <c r="H19" s="50"/>
      <c r="I19" s="50"/>
      <c r="J19" s="50"/>
      <c r="K19" s="50"/>
      <c r="L19" s="27"/>
    </row>
    <row r="20" spans="1:22">
      <c r="A20" s="119">
        <f t="shared" si="1"/>
        <v>13</v>
      </c>
      <c r="B20" s="149"/>
      <c r="C20" s="50" t="str">
        <f>Inputs!B32</f>
        <v>Term Credit Spread Differential Allowance</v>
      </c>
      <c r="D20" s="50"/>
      <c r="E20" s="47">
        <f t="shared" si="0"/>
        <v>10</v>
      </c>
      <c r="F20" s="50"/>
      <c r="G20" s="50"/>
      <c r="H20" s="50"/>
      <c r="I20" s="50"/>
      <c r="J20" s="50"/>
      <c r="K20" s="50"/>
      <c r="L20" s="27"/>
    </row>
    <row r="21" spans="1:22">
      <c r="A21" s="119">
        <f t="shared" si="1"/>
        <v>14</v>
      </c>
      <c r="B21" s="149"/>
      <c r="C21" s="50" t="s">
        <v>98</v>
      </c>
      <c r="D21" s="50"/>
      <c r="E21" s="47">
        <f t="shared" si="0"/>
        <v>12763</v>
      </c>
      <c r="F21" s="50"/>
      <c r="G21" s="50"/>
      <c r="H21" s="50"/>
      <c r="I21" s="50"/>
      <c r="J21" s="50"/>
      <c r="K21" s="50"/>
      <c r="L21" s="27"/>
    </row>
    <row r="22" spans="1:22">
      <c r="A22" s="119">
        <f t="shared" si="1"/>
        <v>15</v>
      </c>
      <c r="B22" s="149"/>
      <c r="C22" s="50" t="str">
        <f>Inputs!B34</f>
        <v>Operating expenditure 2009/10</v>
      </c>
      <c r="D22" s="50"/>
      <c r="E22" s="47">
        <f t="shared" si="0"/>
        <v>19106</v>
      </c>
      <c r="F22" s="50"/>
      <c r="G22" s="50"/>
      <c r="H22" s="50"/>
      <c r="I22" s="50"/>
      <c r="J22" s="50"/>
      <c r="K22" s="50"/>
      <c r="L22" s="27"/>
    </row>
    <row r="23" spans="1:22">
      <c r="A23" s="119">
        <f t="shared" si="1"/>
        <v>16</v>
      </c>
      <c r="B23" s="149"/>
      <c r="C23" s="50" t="str">
        <f>Inputs!B35</f>
        <v>Other reg income (avg of 2008 to 11, in 2009/10 $)</v>
      </c>
      <c r="D23" s="50"/>
      <c r="E23" s="47">
        <f t="shared" si="0"/>
        <v>601.36555605184185</v>
      </c>
      <c r="F23" s="50"/>
      <c r="G23" s="50"/>
      <c r="H23" s="50"/>
      <c r="I23" s="50"/>
      <c r="J23" s="50"/>
      <c r="K23" s="49"/>
      <c r="L23" s="27"/>
    </row>
    <row r="24" spans="1:22">
      <c r="A24" s="119">
        <f t="shared" si="1"/>
        <v>17</v>
      </c>
      <c r="B24" s="149"/>
      <c r="C24" s="119" t="str">
        <f>Inputs!B36</f>
        <v>Allowable notional revenue 2012/13</v>
      </c>
      <c r="D24" s="50"/>
      <c r="E24" s="47">
        <f t="shared" si="0"/>
        <v>55081</v>
      </c>
      <c r="F24" s="50"/>
      <c r="G24" s="50"/>
      <c r="H24" s="50"/>
      <c r="I24" s="50"/>
      <c r="J24" s="50"/>
      <c r="K24" s="49"/>
      <c r="L24" s="27"/>
    </row>
    <row r="25" spans="1:22">
      <c r="A25" s="119">
        <f t="shared" si="1"/>
        <v>18</v>
      </c>
      <c r="B25" s="149"/>
      <c r="C25" s="119" t="str">
        <f>Inputs!B37</f>
        <v>Pass-through costs 2012/13</v>
      </c>
      <c r="D25" s="50"/>
      <c r="E25" s="47">
        <f t="shared" si="0"/>
        <v>28900</v>
      </c>
      <c r="F25" s="50"/>
      <c r="G25" s="50"/>
      <c r="H25" s="50"/>
      <c r="I25" s="50"/>
      <c r="J25" s="50"/>
      <c r="K25" s="49"/>
      <c r="L25" s="27"/>
    </row>
    <row r="26" spans="1:22">
      <c r="A26" s="119">
        <f t="shared" si="1"/>
        <v>19</v>
      </c>
      <c r="B26" s="50"/>
      <c r="C26" s="50" t="str">
        <f>Inputs!B38</f>
        <v>Alternate X value to 2014/15</v>
      </c>
      <c r="D26" s="49"/>
      <c r="E26" s="151" t="str">
        <f t="shared" si="0"/>
        <v>IWX</v>
      </c>
      <c r="F26" s="50"/>
      <c r="G26" s="50"/>
      <c r="H26" s="50"/>
      <c r="I26" s="50"/>
      <c r="J26" s="50"/>
      <c r="K26" s="49"/>
      <c r="L26" s="27"/>
    </row>
    <row r="27" spans="1:22">
      <c r="A27" s="119">
        <f t="shared" si="1"/>
        <v>20</v>
      </c>
      <c r="B27" s="50"/>
      <c r="C27" s="50" t="str">
        <f>Inputs!B39</f>
        <v>Cap on growth of maximum allowable revenue</v>
      </c>
      <c r="D27" s="50"/>
      <c r="E27" s="151">
        <f t="shared" si="0"/>
        <v>0.2</v>
      </c>
      <c r="F27" s="50"/>
      <c r="G27" s="50"/>
      <c r="H27" s="50"/>
      <c r="I27" s="50"/>
      <c r="J27" s="50"/>
      <c r="K27" s="49"/>
      <c r="L27" s="27"/>
    </row>
    <row r="28" spans="1:22">
      <c r="A28" s="119"/>
      <c r="B28" s="149"/>
      <c r="C28" s="50" t="s">
        <v>30</v>
      </c>
      <c r="D28" s="50"/>
      <c r="E28" s="130">
        <f>E22</f>
        <v>19106</v>
      </c>
      <c r="F28" s="47">
        <f>INDEX(OpexBlock,F7-1,$G$1)</f>
        <v>19723.18480848724</v>
      </c>
      <c r="G28" s="47">
        <f>INDEX(OpexBlock,G7-1,$G$1)</f>
        <v>20459.940283811731</v>
      </c>
      <c r="H28" s="47">
        <f>INDEX(OpexBlock,H7-1,$G$1)</f>
        <v>20999.832123125721</v>
      </c>
      <c r="I28" s="47">
        <f>INDEX(OpexBlock,I7-1,$G$1)</f>
        <v>21633.688811439235</v>
      </c>
      <c r="J28" s="47">
        <f>INDEX(OpexBlock,J7-1,$G$1)</f>
        <v>22330.603459196944</v>
      </c>
      <c r="K28" s="49"/>
      <c r="L28" s="50"/>
      <c r="M28" s="15"/>
    </row>
    <row r="29" spans="1:22">
      <c r="A29" s="119"/>
      <c r="B29" s="149"/>
      <c r="C29" s="50" t="s">
        <v>158</v>
      </c>
      <c r="D29" s="47"/>
      <c r="E29" s="130">
        <f>E21</f>
        <v>12763</v>
      </c>
      <c r="F29" s="47">
        <f>INDEX(CommAssetsBlock,F7-1,$G$1)</f>
        <v>20042.885055280214</v>
      </c>
      <c r="G29" s="47">
        <f>INDEX(CommAssetsBlock,G7-1,$G$1)</f>
        <v>20562.093785741519</v>
      </c>
      <c r="H29" s="47">
        <f>INDEX(CommAssetsBlock,H7-1,$G$1)</f>
        <v>16741.2435795932</v>
      </c>
      <c r="I29" s="47">
        <f>INDEX(CommAssetsBlock,I7-1,$G$1)</f>
        <v>20639.536135610404</v>
      </c>
      <c r="J29" s="47">
        <f>INDEX(CommAssetsBlock,J7-1,$G$1)</f>
        <v>19592.357033894728</v>
      </c>
      <c r="K29" s="49"/>
      <c r="L29" s="50"/>
      <c r="M29" s="15"/>
    </row>
    <row r="30" spans="1:22">
      <c r="A30" s="119"/>
      <c r="B30" s="149"/>
      <c r="C30" s="50" t="s">
        <v>200</v>
      </c>
      <c r="D30" s="47"/>
      <c r="E30" s="49"/>
      <c r="F30" s="110">
        <f>INDEX(ConstPriceRevGrwth,F$7-1,$G$1)</f>
        <v>6.4726399189891882E-3</v>
      </c>
      <c r="G30" s="110">
        <f>INDEX(ConstPriceRevGrwth,G$7-1,$G$1)</f>
        <v>6.4726399189891882E-3</v>
      </c>
      <c r="H30" s="110">
        <f>INDEX(ConstPriceRevGrwth,H$7-1,$G$1)</f>
        <v>6.4726399189891882E-3</v>
      </c>
      <c r="I30" s="110">
        <f>INDEX(ConstPriceRevGrwth,I$7-1,$G$1)</f>
        <v>6.4726399189891882E-3</v>
      </c>
      <c r="J30" s="110">
        <f>INDEX(ConstPriceRevGrwth,J$7-1,$G$1)</f>
        <v>6.4726399189891882E-3</v>
      </c>
      <c r="K30" s="49"/>
      <c r="L30" s="50"/>
      <c r="M30" s="15"/>
      <c r="U30" s="15"/>
      <c r="V30" s="15"/>
    </row>
    <row r="31" spans="1:22" ht="15.75" thickBot="1">
      <c r="A31" s="119"/>
      <c r="B31" s="149"/>
      <c r="C31" s="50"/>
      <c r="D31" s="47"/>
      <c r="E31" s="49"/>
      <c r="F31" s="50"/>
      <c r="G31" s="49"/>
      <c r="H31" s="49"/>
      <c r="I31" s="49"/>
      <c r="J31" s="49"/>
      <c r="K31" s="49"/>
      <c r="L31" s="27"/>
      <c r="M31" s="15"/>
      <c r="U31" s="15"/>
      <c r="V31" s="15"/>
    </row>
    <row r="32" spans="1:22" ht="16.5" thickBot="1">
      <c r="A32" s="119"/>
      <c r="B32" s="149"/>
      <c r="C32" s="121" t="s">
        <v>182</v>
      </c>
      <c r="D32" s="47"/>
      <c r="E32" s="49"/>
      <c r="F32" s="50"/>
      <c r="G32" s="49"/>
      <c r="H32" s="49"/>
      <c r="I32" s="49"/>
      <c r="J32" s="49"/>
      <c r="K32" s="49"/>
      <c r="L32" s="195" t="s">
        <v>322</v>
      </c>
      <c r="M32" s="111"/>
      <c r="N32" s="34"/>
      <c r="O32" s="34"/>
      <c r="P32" s="34"/>
      <c r="Q32" s="34"/>
      <c r="R32" s="34"/>
      <c r="S32" s="34"/>
      <c r="T32" s="34"/>
      <c r="U32" s="34"/>
      <c r="V32" s="35"/>
    </row>
    <row r="33" spans="1:26">
      <c r="A33" s="119"/>
      <c r="B33" s="149"/>
      <c r="C33" s="122" t="str">
        <f>Inputs!B13</f>
        <v>2009 ΔCPI, 2 index, no lag, no GST adjustment</v>
      </c>
      <c r="D33" s="47"/>
      <c r="E33" s="49">
        <f>Inputs!D13</f>
        <v>1.7233850022212005E-2</v>
      </c>
      <c r="F33" s="49">
        <f>Inputs!E13</f>
        <v>1.9812209526758329E-2</v>
      </c>
      <c r="G33" s="49">
        <f>Inputs!F13</f>
        <v>2.4339880629970168E-2</v>
      </c>
      <c r="H33" s="49">
        <f>Inputs!G13</f>
        <v>2.2893253753313525E-2</v>
      </c>
      <c r="I33" s="49">
        <f>Inputs!H13</f>
        <v>2.144662687665666E-2</v>
      </c>
      <c r="J33" s="49">
        <f>Inputs!I13</f>
        <v>2.0000000000000018E-2</v>
      </c>
      <c r="K33" s="50"/>
      <c r="L33" s="196" t="s">
        <v>194</v>
      </c>
      <c r="M33" s="50"/>
      <c r="N33" s="15"/>
      <c r="O33" s="15"/>
      <c r="P33" s="15"/>
      <c r="Q33" s="15"/>
      <c r="R33" s="15"/>
      <c r="S33" s="15"/>
      <c r="T33" s="15"/>
      <c r="U33" s="15"/>
      <c r="V33" s="29"/>
    </row>
    <row r="34" spans="1:26">
      <c r="A34" s="119"/>
      <c r="B34" s="149"/>
      <c r="C34" s="122" t="str">
        <f>Inputs!B14</f>
        <v>2012 ΔCPI, 2 index, no lag, no GST adjustment</v>
      </c>
      <c r="D34" s="47"/>
      <c r="E34" s="49"/>
      <c r="F34" s="49">
        <f>Inputs!E14</f>
        <v>4.4667274384685429E-2</v>
      </c>
      <c r="G34" s="49">
        <f>Inputs!F14</f>
        <v>1.5706806282722585E-2</v>
      </c>
      <c r="H34" s="49">
        <f>Inputs!G14</f>
        <v>1.8041237113401998E-2</v>
      </c>
      <c r="I34" s="49">
        <f>Inputs!H14</f>
        <v>1.7721518987341867E-2</v>
      </c>
      <c r="J34" s="49">
        <f>Inputs!I14</f>
        <v>2.3217247097844007E-2</v>
      </c>
      <c r="K34" s="50"/>
      <c r="L34" s="196" t="s">
        <v>320</v>
      </c>
      <c r="M34" s="50"/>
      <c r="N34" s="15"/>
      <c r="O34" s="15"/>
      <c r="P34" s="15"/>
      <c r="Q34" s="15"/>
      <c r="R34" s="15"/>
      <c r="S34" s="15"/>
      <c r="T34" s="15"/>
      <c r="U34" s="15"/>
      <c r="V34" s="29"/>
    </row>
    <row r="35" spans="1:26">
      <c r="A35" s="119"/>
      <c r="B35" s="149"/>
      <c r="C35" s="122" t="str">
        <f>Inputs!B15</f>
        <v>2009 ΔCPI, 8 index, lagged, no GST adjustment</v>
      </c>
      <c r="D35" s="47"/>
      <c r="E35" s="49"/>
      <c r="F35" s="49"/>
      <c r="G35" s="49">
        <f>Inputs!F15</f>
        <v>1.6991832174541255E-2</v>
      </c>
      <c r="H35" s="49">
        <f>Inputs!G15</f>
        <v>2.0741514169093644E-2</v>
      </c>
      <c r="I35" s="49">
        <f>Inputs!H15</f>
        <v>2.3759818812291389E-2</v>
      </c>
      <c r="J35" s="49">
        <f>Inputs!I15</f>
        <v>2.2164443909808984E-2</v>
      </c>
      <c r="K35" s="50"/>
      <c r="L35" s="196" t="s">
        <v>321</v>
      </c>
      <c r="M35" s="50"/>
      <c r="N35" s="15"/>
      <c r="O35" s="15"/>
      <c r="P35" s="15"/>
      <c r="Q35" s="15"/>
      <c r="R35" s="15"/>
      <c r="S35" s="15"/>
      <c r="T35" s="15"/>
      <c r="U35" s="15"/>
      <c r="V35" s="29"/>
    </row>
    <row r="36" spans="1:26">
      <c r="A36" s="149"/>
      <c r="B36" s="149"/>
      <c r="C36" s="122" t="str">
        <f>Inputs!B16</f>
        <v>2012 ΔCPI, 8 index, lagged, no GST adjustment</v>
      </c>
      <c r="D36" s="50"/>
      <c r="E36" s="49"/>
      <c r="F36" s="49">
        <f>Inputs!E16</f>
        <v>2.465039108793543E-2</v>
      </c>
      <c r="G36" s="49">
        <f>Inputs!F16</f>
        <v>1.7811704834605591E-2</v>
      </c>
      <c r="H36" s="49">
        <f>Inputs!G16</f>
        <v>4.5909090909090899E-2</v>
      </c>
      <c r="I36" s="49">
        <f>Inputs!H16</f>
        <v>1.2820512820512775E-2</v>
      </c>
      <c r="J36" s="49">
        <f>Inputs!I16</f>
        <v>1.9725095732576747E-2</v>
      </c>
      <c r="K36" s="50"/>
      <c r="L36" s="196" t="s">
        <v>365</v>
      </c>
      <c r="M36" s="50"/>
      <c r="N36" s="15"/>
      <c r="O36" s="15"/>
      <c r="P36" s="15"/>
      <c r="Q36" s="15"/>
      <c r="R36" s="15"/>
      <c r="S36" s="15"/>
      <c r="T36" s="15"/>
      <c r="U36" s="15"/>
      <c r="V36" s="29"/>
    </row>
    <row r="37" spans="1:26" ht="15.75" thickBot="1">
      <c r="A37" s="149"/>
      <c r="B37" s="149"/>
      <c r="C37" s="122" t="str">
        <f>Inputs!B17</f>
        <v>2012 ΔCPI, 8 index, lagged, with GST adjustment</v>
      </c>
      <c r="D37" s="50"/>
      <c r="E37" s="49"/>
      <c r="F37" s="112">
        <f>Inputs!E17</f>
        <v>2.4650391087935652E-2</v>
      </c>
      <c r="G37" s="112">
        <f>Inputs!F17</f>
        <v>1.7811704834605369E-2</v>
      </c>
      <c r="H37" s="112">
        <f>Inputs!G17</f>
        <v>2.5401069518716568E-2</v>
      </c>
      <c r="I37" s="49">
        <f>Inputs!H17</f>
        <v>1.2820512820512775E-2</v>
      </c>
      <c r="J37" s="49">
        <f>Inputs!I17</f>
        <v>1.9725095732576747E-2</v>
      </c>
      <c r="K37" s="50"/>
      <c r="L37" s="219" t="s">
        <v>409</v>
      </c>
      <c r="M37" s="220"/>
      <c r="N37" s="220"/>
      <c r="O37" s="220"/>
      <c r="P37" s="220"/>
      <c r="Q37" s="220"/>
      <c r="R37" s="220"/>
      <c r="S37" s="220"/>
      <c r="T37" s="220"/>
      <c r="U37" s="220"/>
      <c r="V37" s="221"/>
    </row>
    <row r="38" spans="1:26">
      <c r="A38" s="149"/>
      <c r="B38" s="149"/>
      <c r="C38" s="122"/>
      <c r="D38" s="50"/>
      <c r="E38" s="49"/>
      <c r="F38" s="112"/>
      <c r="G38" s="112"/>
      <c r="H38" s="112"/>
      <c r="I38" s="49"/>
      <c r="J38" s="49"/>
      <c r="K38" s="49"/>
      <c r="L38" s="49"/>
      <c r="M38" s="49"/>
      <c r="N38" s="49"/>
      <c r="O38" s="49"/>
      <c r="P38" s="49"/>
      <c r="Q38" s="49"/>
      <c r="R38" s="49"/>
      <c r="S38" s="49"/>
      <c r="T38" s="49"/>
      <c r="U38" s="49"/>
      <c r="V38" s="49"/>
      <c r="W38" s="49"/>
      <c r="X38" s="49"/>
      <c r="Y38" s="49"/>
      <c r="Z38" s="49"/>
    </row>
    <row r="39" spans="1:26" ht="23.25">
      <c r="A39" s="50"/>
      <c r="B39" s="50"/>
      <c r="C39" s="1" t="s">
        <v>4</v>
      </c>
      <c r="D39" s="153" t="s">
        <v>36</v>
      </c>
      <c r="E39" s="153" t="s">
        <v>35</v>
      </c>
      <c r="F39" s="152"/>
      <c r="G39" s="152"/>
      <c r="H39" s="152"/>
      <c r="I39" s="152"/>
      <c r="J39" s="152"/>
      <c r="K39" s="152"/>
      <c r="L39" s="152"/>
      <c r="M39" s="152"/>
      <c r="N39" s="194"/>
      <c r="O39" s="194"/>
      <c r="P39" s="194"/>
    </row>
    <row r="40" spans="1:26">
      <c r="A40" s="50"/>
      <c r="B40" s="50"/>
      <c r="C40" s="50"/>
      <c r="D40" s="50"/>
      <c r="E40" s="154" t="s">
        <v>183</v>
      </c>
      <c r="F40" s="154" t="s">
        <v>184</v>
      </c>
      <c r="G40" s="154" t="s">
        <v>185</v>
      </c>
      <c r="H40" s="154" t="s">
        <v>186</v>
      </c>
      <c r="I40" s="154" t="s">
        <v>187</v>
      </c>
      <c r="J40" s="154" t="s">
        <v>188</v>
      </c>
      <c r="K40" s="154"/>
      <c r="L40" s="154"/>
      <c r="M40" s="48"/>
    </row>
    <row r="41" spans="1:26">
      <c r="A41" s="50"/>
      <c r="B41" s="50"/>
      <c r="C41" s="50" t="s">
        <v>129</v>
      </c>
      <c r="D41" s="50"/>
      <c r="E41" s="49">
        <f t="shared" ref="E41:J41" si="2">E33</f>
        <v>1.7233850022212005E-2</v>
      </c>
      <c r="F41" s="49">
        <f t="shared" si="2"/>
        <v>1.9812209526758329E-2</v>
      </c>
      <c r="G41" s="49">
        <f t="shared" si="2"/>
        <v>2.4339880629970168E-2</v>
      </c>
      <c r="H41" s="49">
        <f t="shared" si="2"/>
        <v>2.2893253753313525E-2</v>
      </c>
      <c r="I41" s="49">
        <f t="shared" si="2"/>
        <v>2.144662687665666E-2</v>
      </c>
      <c r="J41" s="49">
        <f t="shared" si="2"/>
        <v>2.0000000000000018E-2</v>
      </c>
      <c r="K41" s="51"/>
      <c r="L41" s="47"/>
      <c r="M41" s="15"/>
    </row>
    <row r="42" spans="1:26">
      <c r="A42" s="50"/>
      <c r="B42" s="50"/>
      <c r="C42" s="50" t="s">
        <v>163</v>
      </c>
      <c r="D42" s="50"/>
      <c r="E42" s="49"/>
      <c r="F42" s="49">
        <f>F34</f>
        <v>4.4667274384685429E-2</v>
      </c>
      <c r="G42" s="49">
        <f>G34</f>
        <v>1.5706806282722585E-2</v>
      </c>
      <c r="H42" s="49">
        <f>H34</f>
        <v>1.8041237113401998E-2</v>
      </c>
      <c r="I42" s="49">
        <f>I34</f>
        <v>1.7721518987341867E-2</v>
      </c>
      <c r="J42" s="49">
        <f>J34</f>
        <v>2.3217247097844007E-2</v>
      </c>
      <c r="K42" s="51"/>
      <c r="L42" s="47"/>
      <c r="M42" s="15"/>
    </row>
    <row r="43" spans="1:26">
      <c r="A43" s="50"/>
      <c r="B43" s="50"/>
      <c r="C43" s="50" t="s">
        <v>122</v>
      </c>
      <c r="D43" s="50"/>
      <c r="E43" s="130">
        <f>E23</f>
        <v>601.36555605184185</v>
      </c>
      <c r="F43" s="47">
        <f>E43*(1+F42)</f>
        <v>628.22691634950843</v>
      </c>
      <c r="G43" s="47">
        <f>F43*(1+G42)</f>
        <v>638.09435482620233</v>
      </c>
      <c r="H43" s="47">
        <f>G43*(1+H42)</f>
        <v>649.60636638234507</v>
      </c>
      <c r="I43" s="47">
        <f>H43*(1+I42)</f>
        <v>661.11837793848792</v>
      </c>
      <c r="J43" s="47">
        <f>I43*(1+J42)</f>
        <v>676.46772668001165</v>
      </c>
      <c r="K43" s="50"/>
      <c r="L43" s="47"/>
      <c r="M43" s="15"/>
    </row>
    <row r="44" spans="1:26">
      <c r="A44" s="50"/>
      <c r="B44" s="50"/>
      <c r="C44" s="50"/>
      <c r="D44" s="50"/>
      <c r="E44" s="51"/>
      <c r="F44" s="51"/>
      <c r="G44" s="51"/>
      <c r="H44" s="51"/>
      <c r="I44" s="51"/>
      <c r="J44" s="51"/>
      <c r="K44" s="51"/>
      <c r="L44" s="27"/>
      <c r="M44" s="15"/>
    </row>
    <row r="45" spans="1:26" ht="21">
      <c r="A45" s="50"/>
      <c r="B45" s="50"/>
      <c r="C45" s="155" t="s">
        <v>69</v>
      </c>
      <c r="D45" s="50"/>
      <c r="E45" s="50"/>
      <c r="F45" s="51"/>
      <c r="G45" s="51"/>
      <c r="H45" s="51"/>
      <c r="I45" s="51"/>
      <c r="J45" s="51"/>
      <c r="K45" s="51"/>
      <c r="L45" s="27"/>
      <c r="M45" s="15"/>
    </row>
    <row r="46" spans="1:26" ht="18">
      <c r="A46" s="50"/>
      <c r="B46" s="50"/>
      <c r="C46" s="50" t="s">
        <v>70</v>
      </c>
      <c r="D46" s="156">
        <f>'Timing Assumptions'!C23</f>
        <v>1.0428084742793051</v>
      </c>
      <c r="E46" s="50"/>
      <c r="F46" s="51"/>
      <c r="G46" s="51"/>
      <c r="H46" s="51"/>
      <c r="I46" s="51"/>
      <c r="J46" s="51"/>
      <c r="K46" s="51"/>
      <c r="L46" s="51"/>
      <c r="M46" s="15"/>
    </row>
    <row r="47" spans="1:26" ht="18">
      <c r="A47" s="50"/>
      <c r="B47" s="50"/>
      <c r="C47" s="50" t="s">
        <v>71</v>
      </c>
      <c r="D47" s="156">
        <f>'Timing Assumptions'!C24</f>
        <v>1.0428084742793051</v>
      </c>
      <c r="E47" s="50"/>
      <c r="F47" s="51"/>
      <c r="G47" s="51"/>
      <c r="H47" s="51"/>
      <c r="I47" s="51"/>
      <c r="J47" s="51"/>
      <c r="K47" s="51"/>
      <c r="L47" s="51"/>
      <c r="M47" s="15"/>
    </row>
    <row r="48" spans="1:26" ht="18">
      <c r="A48" s="50"/>
      <c r="B48" s="50"/>
      <c r="C48" s="50" t="s">
        <v>125</v>
      </c>
      <c r="D48" s="156">
        <f>'Timing Assumptions'!C25</f>
        <v>1.0428084742793051</v>
      </c>
      <c r="E48" s="50"/>
      <c r="F48" s="50"/>
      <c r="G48" s="51"/>
      <c r="H48" s="51"/>
      <c r="I48" s="51"/>
      <c r="J48" s="51"/>
      <c r="K48" s="95"/>
      <c r="L48" s="51"/>
      <c r="M48" s="15"/>
    </row>
    <row r="49" spans="1:16" ht="18">
      <c r="A49" s="50"/>
      <c r="B49" s="50"/>
      <c r="C49" s="50" t="s">
        <v>123</v>
      </c>
      <c r="D49" s="156">
        <f>'Timing Assumptions'!C26</f>
        <v>1.0428084742793051</v>
      </c>
      <c r="E49" s="50"/>
      <c r="F49" s="50"/>
      <c r="G49" s="51"/>
      <c r="H49" s="51"/>
      <c r="I49" s="51"/>
      <c r="J49" s="51"/>
      <c r="K49" s="95"/>
      <c r="L49" s="51"/>
      <c r="M49" s="15"/>
    </row>
    <row r="50" spans="1:16" ht="18">
      <c r="A50" s="50"/>
      <c r="B50" s="50"/>
      <c r="C50" s="50" t="s">
        <v>72</v>
      </c>
      <c r="D50" s="156">
        <f>'Timing Assumptions'!C27</f>
        <v>1.0346743941931567</v>
      </c>
      <c r="E50" s="51"/>
      <c r="F50" s="51"/>
      <c r="G50" s="51"/>
      <c r="H50" s="51"/>
      <c r="I50" s="50"/>
      <c r="J50" s="50"/>
      <c r="K50" s="95"/>
      <c r="L50" s="51"/>
      <c r="M50" s="15"/>
    </row>
    <row r="51" spans="1:16">
      <c r="A51" s="50"/>
      <c r="B51" s="50"/>
      <c r="C51" s="50"/>
      <c r="D51" s="50"/>
      <c r="E51" s="50"/>
      <c r="F51" s="50"/>
      <c r="G51" s="50"/>
      <c r="H51" s="50"/>
      <c r="I51" s="50"/>
      <c r="J51" s="50"/>
      <c r="K51" s="95"/>
      <c r="L51" s="27"/>
      <c r="M51" s="15"/>
    </row>
    <row r="52" spans="1:16" ht="21">
      <c r="A52" s="50"/>
      <c r="B52" s="50"/>
      <c r="C52" s="155" t="s">
        <v>105</v>
      </c>
      <c r="D52" s="155"/>
      <c r="E52" s="155"/>
      <c r="F52" s="155"/>
      <c r="G52" s="155"/>
      <c r="H52" s="155"/>
      <c r="I52" s="155"/>
      <c r="J52" s="155"/>
      <c r="K52" s="155"/>
      <c r="L52" s="157"/>
      <c r="M52" s="52"/>
      <c r="N52" s="2"/>
      <c r="O52" s="2"/>
      <c r="P52" s="2"/>
    </row>
    <row r="53" spans="1:16" ht="15.75">
      <c r="A53" s="50"/>
      <c r="B53" s="50"/>
      <c r="C53" s="158" t="s">
        <v>37</v>
      </c>
      <c r="D53" s="50"/>
      <c r="E53" s="159">
        <f>Inputs!D12</f>
        <v>0.3</v>
      </c>
      <c r="F53" s="159">
        <f>Inputs!E12</f>
        <v>0.3</v>
      </c>
      <c r="G53" s="159">
        <f>Inputs!F12</f>
        <v>0.28000000000000003</v>
      </c>
      <c r="H53" s="159">
        <f>Inputs!G12</f>
        <v>0.28000000000000003</v>
      </c>
      <c r="I53" s="159">
        <f>Inputs!H12</f>
        <v>0.28000000000000003</v>
      </c>
      <c r="J53" s="159">
        <f>Inputs!I12</f>
        <v>0.28000000000000003</v>
      </c>
      <c r="K53" s="95"/>
      <c r="L53" s="50"/>
      <c r="M53" s="15"/>
    </row>
    <row r="54" spans="1:16">
      <c r="A54" s="50"/>
      <c r="B54" s="50"/>
      <c r="C54" s="50" t="s">
        <v>38</v>
      </c>
      <c r="D54" s="50"/>
      <c r="E54" s="160">
        <f>E11/E14</f>
        <v>35.727569997431289</v>
      </c>
      <c r="F54" s="161">
        <f>E54-1</f>
        <v>34.727569997431289</v>
      </c>
      <c r="G54" s="161">
        <f>F54-1</f>
        <v>33.727569997431289</v>
      </c>
      <c r="H54" s="161">
        <f>G54-1</f>
        <v>32.727569997431289</v>
      </c>
      <c r="I54" s="161">
        <f>H54-1</f>
        <v>31.727569997431289</v>
      </c>
      <c r="J54" s="161">
        <f>I54-1</f>
        <v>30.727569997431289</v>
      </c>
      <c r="K54" s="95"/>
      <c r="L54" s="50"/>
      <c r="M54" s="15"/>
    </row>
    <row r="55" spans="1:16">
      <c r="A55" s="50"/>
      <c r="B55" s="50"/>
      <c r="C55" s="50" t="s">
        <v>159</v>
      </c>
      <c r="D55" s="50"/>
      <c r="E55" s="156"/>
      <c r="F55" s="49">
        <f>F34</f>
        <v>4.4667274384685429E-2</v>
      </c>
      <c r="G55" s="49">
        <f>G34</f>
        <v>1.5706806282722585E-2</v>
      </c>
      <c r="H55" s="49">
        <f>H34</f>
        <v>1.8041237113401998E-2</v>
      </c>
      <c r="I55" s="49">
        <f>I34</f>
        <v>1.7721518987341867E-2</v>
      </c>
      <c r="J55" s="49">
        <f>J34</f>
        <v>2.3217247097844007E-2</v>
      </c>
      <c r="K55" s="95"/>
      <c r="L55" s="50"/>
      <c r="M55" s="15"/>
    </row>
    <row r="56" spans="1:16">
      <c r="A56" s="50"/>
      <c r="B56" s="50"/>
      <c r="C56" s="50" t="s">
        <v>40</v>
      </c>
      <c r="D56" s="50"/>
      <c r="E56" s="129">
        <f>E15</f>
        <v>452</v>
      </c>
      <c r="F56" s="32">
        <f>E56*(1+F55)</f>
        <v>472.1896080218778</v>
      </c>
      <c r="G56" s="32">
        <f>F56*(1+G55)</f>
        <v>479.60619872379215</v>
      </c>
      <c r="H56" s="32">
        <f>G56*(1+H55)</f>
        <v>488.25888787602548</v>
      </c>
      <c r="I56" s="32">
        <f>H56*(1+I55)</f>
        <v>496.91157702825888</v>
      </c>
      <c r="J56" s="32">
        <f>I56*(1+J55)</f>
        <v>508.44849589790329</v>
      </c>
      <c r="K56" s="95"/>
      <c r="L56" s="50"/>
      <c r="M56" s="15"/>
    </row>
    <row r="57" spans="1:16">
      <c r="A57" s="50"/>
      <c r="B57" s="50"/>
      <c r="C57" s="50"/>
      <c r="D57" s="122"/>
      <c r="E57" s="50"/>
      <c r="F57" s="50"/>
      <c r="G57" s="50"/>
      <c r="H57" s="50"/>
      <c r="I57" s="50"/>
      <c r="J57" s="50"/>
      <c r="K57" s="95"/>
      <c r="L57" s="27"/>
      <c r="M57" s="15"/>
    </row>
    <row r="58" spans="1:16" ht="15.75">
      <c r="A58" s="50"/>
      <c r="B58" s="50"/>
      <c r="C58" s="162" t="s">
        <v>89</v>
      </c>
      <c r="D58" s="32"/>
      <c r="E58" s="163" t="str">
        <f>Inputs!D11</f>
        <v>2009/10</v>
      </c>
      <c r="F58" s="163" t="str">
        <f>Inputs!E11</f>
        <v>2010/11</v>
      </c>
      <c r="G58" s="163" t="str">
        <f>Inputs!F11</f>
        <v>2011/12</v>
      </c>
      <c r="H58" s="163" t="str">
        <f>Inputs!G11</f>
        <v>2012/13</v>
      </c>
      <c r="I58" s="163" t="str">
        <f>Inputs!H11</f>
        <v>2013/14</v>
      </c>
      <c r="J58" s="163" t="str">
        <f>Inputs!I11</f>
        <v>2014/15</v>
      </c>
      <c r="K58" s="95"/>
      <c r="L58" s="27"/>
      <c r="M58" s="15"/>
    </row>
    <row r="59" spans="1:16">
      <c r="A59" s="50"/>
      <c r="B59" s="50"/>
      <c r="C59" s="50" t="s">
        <v>110</v>
      </c>
      <c r="D59" s="50"/>
      <c r="E59" s="129">
        <f>E11</f>
        <v>278174.86</v>
      </c>
      <c r="F59" s="32">
        <f>E65</f>
        <v>274718.30009316257</v>
      </c>
      <c r="G59" s="32">
        <f>F65</f>
        <v>271763.42043772672</v>
      </c>
      <c r="H59" s="32">
        <f>G65</f>
        <v>269822.61068586819</v>
      </c>
      <c r="I59" s="32">
        <f>H65</f>
        <v>267249.60945667489</v>
      </c>
      <c r="J59" s="32">
        <f>I65</f>
        <v>264044.65065275226</v>
      </c>
      <c r="K59" s="95"/>
      <c r="L59" s="50"/>
      <c r="M59" s="15"/>
    </row>
    <row r="60" spans="1:16">
      <c r="A60" s="50"/>
      <c r="B60" s="50"/>
      <c r="C60" s="50" t="s">
        <v>40</v>
      </c>
      <c r="D60" s="32"/>
      <c r="E60" s="32">
        <f t="shared" ref="E60:J60" si="3">E56</f>
        <v>452</v>
      </c>
      <c r="F60" s="32">
        <f t="shared" si="3"/>
        <v>472.1896080218778</v>
      </c>
      <c r="G60" s="32">
        <f t="shared" si="3"/>
        <v>479.60619872379215</v>
      </c>
      <c r="H60" s="32">
        <f t="shared" si="3"/>
        <v>488.25888787602548</v>
      </c>
      <c r="I60" s="32">
        <f t="shared" si="3"/>
        <v>496.91157702825888</v>
      </c>
      <c r="J60" s="32">
        <f t="shared" si="3"/>
        <v>508.44849589790329</v>
      </c>
      <c r="K60" s="95"/>
      <c r="L60" s="50"/>
      <c r="M60" s="15"/>
    </row>
    <row r="61" spans="1:16">
      <c r="A61" s="50"/>
      <c r="B61" s="50"/>
      <c r="C61" s="50" t="s">
        <v>312</v>
      </c>
      <c r="D61" s="32"/>
      <c r="E61" s="32">
        <f>Aur!E12</f>
        <v>0</v>
      </c>
      <c r="F61" s="95"/>
      <c r="G61" s="95"/>
      <c r="H61" s="95"/>
      <c r="I61" s="95"/>
      <c r="J61" s="95"/>
      <c r="K61" s="95"/>
      <c r="L61" s="50"/>
      <c r="M61" s="15"/>
    </row>
    <row r="62" spans="1:16">
      <c r="A62" s="50"/>
      <c r="B62" s="50"/>
      <c r="C62" s="50" t="s">
        <v>313</v>
      </c>
      <c r="D62" s="32"/>
      <c r="E62" s="32">
        <f>Aur!E13</f>
        <v>0</v>
      </c>
      <c r="F62" s="95"/>
      <c r="G62" s="95"/>
      <c r="H62" s="95"/>
      <c r="I62" s="95"/>
      <c r="J62" s="95"/>
      <c r="K62" s="95"/>
      <c r="L62" s="50"/>
      <c r="M62" s="15"/>
    </row>
    <row r="63" spans="1:16">
      <c r="A63" s="50"/>
      <c r="B63" s="50"/>
      <c r="C63" s="50" t="s">
        <v>41</v>
      </c>
      <c r="D63" s="50"/>
      <c r="E63" s="32">
        <f t="shared" ref="E63:J63" si="4">(E59*0.999-E60)*E41</f>
        <v>4781.4400931625914</v>
      </c>
      <c r="F63" s="32">
        <f t="shared" si="4"/>
        <v>5427.9786263078413</v>
      </c>
      <c r="G63" s="32">
        <f t="shared" si="4"/>
        <v>6596.4009662072858</v>
      </c>
      <c r="H63" s="32">
        <f t="shared" si="4"/>
        <v>6159.7625427008361</v>
      </c>
      <c r="I63" s="32">
        <f t="shared" si="4"/>
        <v>5715.2139771093534</v>
      </c>
      <c r="J63" s="32">
        <f t="shared" si="4"/>
        <v>5265.4431501240369</v>
      </c>
      <c r="K63" s="95"/>
      <c r="L63" s="50"/>
      <c r="M63" s="15"/>
    </row>
    <row r="64" spans="1:16">
      <c r="A64" s="50"/>
      <c r="B64" s="50"/>
      <c r="C64" s="50" t="s">
        <v>42</v>
      </c>
      <c r="D64" s="50"/>
      <c r="E64" s="129">
        <f>E14</f>
        <v>7786</v>
      </c>
      <c r="F64" s="32">
        <f>F59/F54</f>
        <v>7910.6686737218524</v>
      </c>
      <c r="G64" s="32">
        <f>G59/G54</f>
        <v>8057.6045193420214</v>
      </c>
      <c r="H64" s="32">
        <f>H59/H54</f>
        <v>8244.5048840181516</v>
      </c>
      <c r="I64" s="32">
        <f>I59/I54</f>
        <v>8423.2612040037038</v>
      </c>
      <c r="J64" s="32">
        <f>J59/J54</f>
        <v>8593.085970508746</v>
      </c>
      <c r="K64" s="95"/>
      <c r="L64" s="50"/>
      <c r="M64" s="15"/>
    </row>
    <row r="65" spans="1:13">
      <c r="A65" s="50"/>
      <c r="B65" s="50"/>
      <c r="C65" s="50" t="s">
        <v>43</v>
      </c>
      <c r="D65" s="50"/>
      <c r="E65" s="129">
        <f>E59-E60-E61+E62+E63-E64</f>
        <v>274718.30009316257</v>
      </c>
      <c r="F65" s="32">
        <f>F59-F60+F63-F64</f>
        <v>271763.42043772672</v>
      </c>
      <c r="G65" s="32">
        <f>G59-G60+G63-G64</f>
        <v>269822.61068586819</v>
      </c>
      <c r="H65" s="32">
        <f>H59-H60+H63-H64</f>
        <v>267249.60945667489</v>
      </c>
      <c r="I65" s="32">
        <f>I59-I60+I63-I64</f>
        <v>264044.65065275226</v>
      </c>
      <c r="J65" s="32">
        <f>J59-J60+J63-J64</f>
        <v>260208.55933646963</v>
      </c>
      <c r="K65" s="95"/>
      <c r="L65" s="50"/>
      <c r="M65" s="15"/>
    </row>
    <row r="66" spans="1:13">
      <c r="A66" s="50"/>
      <c r="B66" s="50"/>
      <c r="C66" s="50"/>
      <c r="D66" s="50"/>
      <c r="E66" s="50"/>
      <c r="F66" s="50"/>
      <c r="G66" s="50"/>
      <c r="H66" s="50"/>
      <c r="I66" s="50"/>
      <c r="J66" s="50"/>
      <c r="K66" s="95"/>
      <c r="L66" s="27"/>
      <c r="M66" s="15"/>
    </row>
    <row r="67" spans="1:13" ht="15.75">
      <c r="A67" s="50"/>
      <c r="B67" s="50"/>
      <c r="C67" s="162" t="s">
        <v>67</v>
      </c>
      <c r="D67" s="50"/>
      <c r="E67" s="162" t="str">
        <f>Inputs!D$11</f>
        <v>2009/10</v>
      </c>
      <c r="F67" s="162" t="str">
        <f>Inputs!E$11</f>
        <v>2010/11</v>
      </c>
      <c r="G67" s="162" t="str">
        <f>Inputs!F$11</f>
        <v>2011/12</v>
      </c>
      <c r="H67" s="162" t="str">
        <f>Inputs!G$11</f>
        <v>2012/13</v>
      </c>
      <c r="I67" s="162" t="str">
        <f>Inputs!H$11</f>
        <v>2013/14</v>
      </c>
      <c r="J67" s="162" t="str">
        <f>Inputs!I$11</f>
        <v>2014/15</v>
      </c>
      <c r="K67" s="95"/>
      <c r="L67" s="27"/>
      <c r="M67" s="15"/>
    </row>
    <row r="68" spans="1:13">
      <c r="A68" s="50"/>
      <c r="B68" s="50"/>
      <c r="C68" s="164" t="s">
        <v>60</v>
      </c>
      <c r="D68" s="50"/>
      <c r="E68" s="192">
        <v>1</v>
      </c>
      <c r="F68" s="164">
        <f>E68+1</f>
        <v>2</v>
      </c>
      <c r="G68" s="164">
        <f>F68+1</f>
        <v>3</v>
      </c>
      <c r="H68" s="164">
        <f>G68+1</f>
        <v>4</v>
      </c>
      <c r="I68" s="164">
        <f>H68+1</f>
        <v>5</v>
      </c>
      <c r="J68" s="164">
        <f>I68+1</f>
        <v>6</v>
      </c>
      <c r="K68" s="95"/>
      <c r="L68" s="27"/>
      <c r="M68" s="15"/>
    </row>
    <row r="69" spans="1:13">
      <c r="A69" s="50"/>
      <c r="B69" s="50"/>
      <c r="C69" s="50" t="s">
        <v>39</v>
      </c>
      <c r="D69" s="32"/>
      <c r="E69" s="32">
        <f t="shared" ref="E69:J69" si="5">E$29</f>
        <v>12763</v>
      </c>
      <c r="F69" s="32">
        <f t="shared" si="5"/>
        <v>20042.885055280214</v>
      </c>
      <c r="G69" s="32">
        <f t="shared" si="5"/>
        <v>20562.093785741519</v>
      </c>
      <c r="H69" s="32">
        <f t="shared" si="5"/>
        <v>16741.2435795932</v>
      </c>
      <c r="I69" s="32">
        <f t="shared" si="5"/>
        <v>20639.536135610404</v>
      </c>
      <c r="J69" s="32">
        <f t="shared" si="5"/>
        <v>19592.357033894728</v>
      </c>
      <c r="K69" s="95"/>
      <c r="L69" s="50"/>
      <c r="M69" s="15"/>
    </row>
    <row r="70" spans="1:13">
      <c r="A70" s="50">
        <v>1</v>
      </c>
      <c r="B70" s="50"/>
      <c r="C70" s="50" t="s">
        <v>254</v>
      </c>
      <c r="D70" s="50"/>
      <c r="E70" s="129">
        <v>0</v>
      </c>
      <c r="F70" s="32">
        <f t="shared" ref="F70:J75" si="6">E94</f>
        <v>12763</v>
      </c>
      <c r="G70" s="32">
        <f t="shared" si="6"/>
        <v>12732.241007967794</v>
      </c>
      <c r="H70" s="32">
        <f t="shared" si="6"/>
        <v>12752.773120436292</v>
      </c>
      <c r="I70" s="32">
        <f t="shared" si="6"/>
        <v>12748.149472460962</v>
      </c>
      <c r="J70" s="32">
        <f t="shared" si="6"/>
        <v>12718.026909172751</v>
      </c>
      <c r="K70" s="95"/>
      <c r="L70" s="50"/>
      <c r="M70" s="15"/>
    </row>
    <row r="71" spans="1:13">
      <c r="A71" s="50">
        <v>2</v>
      </c>
      <c r="B71" s="50"/>
      <c r="C71" s="50" t="s">
        <v>255</v>
      </c>
      <c r="D71" s="50"/>
      <c r="E71" s="129">
        <v>0</v>
      </c>
      <c r="F71" s="32">
        <f t="shared" si="6"/>
        <v>0</v>
      </c>
      <c r="G71" s="32">
        <f t="shared" si="6"/>
        <v>20042.885055280214</v>
      </c>
      <c r="H71" s="32">
        <f t="shared" si="6"/>
        <v>20085.329039333054</v>
      </c>
      <c r="I71" s="32">
        <f t="shared" si="6"/>
        <v>20088.662822855367</v>
      </c>
      <c r="J71" s="32">
        <f t="shared" si="6"/>
        <v>20052.31867368543</v>
      </c>
      <c r="K71" s="95"/>
      <c r="L71" s="50"/>
      <c r="M71" s="15"/>
    </row>
    <row r="72" spans="1:13">
      <c r="A72" s="50">
        <v>3</v>
      </c>
      <c r="B72" s="50"/>
      <c r="C72" s="50" t="s">
        <v>256</v>
      </c>
      <c r="D72" s="50"/>
      <c r="E72" s="129">
        <v>0</v>
      </c>
      <c r="F72" s="32">
        <f t="shared" si="6"/>
        <v>0</v>
      </c>
      <c r="G72" s="32">
        <f t="shared" si="6"/>
        <v>0</v>
      </c>
      <c r="H72" s="32">
        <f t="shared" si="6"/>
        <v>20562.093785741519</v>
      </c>
      <c r="I72" s="32">
        <f t="shared" si="6"/>
        <v>20575.89159901701</v>
      </c>
      <c r="J72" s="32">
        <f t="shared" si="6"/>
        <v>20549.541168818003</v>
      </c>
      <c r="K72" s="95"/>
      <c r="L72" s="50"/>
      <c r="M72" s="15"/>
    </row>
    <row r="73" spans="1:13">
      <c r="A73" s="50">
        <v>4</v>
      </c>
      <c r="B73" s="50"/>
      <c r="C73" s="50" t="s">
        <v>257</v>
      </c>
      <c r="D73" s="50"/>
      <c r="E73" s="129">
        <v>0</v>
      </c>
      <c r="F73" s="32">
        <f t="shared" si="6"/>
        <v>0</v>
      </c>
      <c r="G73" s="32">
        <f t="shared" si="6"/>
        <v>0</v>
      </c>
      <c r="H73" s="32">
        <f t="shared" si="6"/>
        <v>0</v>
      </c>
      <c r="I73" s="32">
        <f t="shared" si="6"/>
        <v>16741.2435795932</v>
      </c>
      <c r="J73" s="32">
        <f t="shared" si="6"/>
        <v>16728.25914899389</v>
      </c>
      <c r="K73" s="95"/>
      <c r="L73" s="50"/>
      <c r="M73" s="15"/>
    </row>
    <row r="74" spans="1:13">
      <c r="A74" s="50">
        <v>5</v>
      </c>
      <c r="B74" s="50"/>
      <c r="C74" s="50" t="s">
        <v>258</v>
      </c>
      <c r="D74" s="50"/>
      <c r="E74" s="129">
        <v>0</v>
      </c>
      <c r="F74" s="32">
        <f t="shared" si="6"/>
        <v>0</v>
      </c>
      <c r="G74" s="32">
        <f t="shared" si="6"/>
        <v>0</v>
      </c>
      <c r="H74" s="32">
        <f t="shared" si="6"/>
        <v>0</v>
      </c>
      <c r="I74" s="32">
        <f t="shared" si="6"/>
        <v>0</v>
      </c>
      <c r="J74" s="32">
        <f t="shared" si="6"/>
        <v>20639.536135610404</v>
      </c>
      <c r="K74" s="95"/>
      <c r="L74" s="50"/>
      <c r="M74" s="15"/>
    </row>
    <row r="75" spans="1:13">
      <c r="A75" s="50">
        <v>6</v>
      </c>
      <c r="B75" s="50"/>
      <c r="C75" s="50" t="s">
        <v>259</v>
      </c>
      <c r="D75" s="50"/>
      <c r="E75" s="129">
        <v>0</v>
      </c>
      <c r="F75" s="32">
        <f t="shared" si="6"/>
        <v>0</v>
      </c>
      <c r="G75" s="32">
        <f t="shared" si="6"/>
        <v>0</v>
      </c>
      <c r="H75" s="32">
        <f t="shared" si="6"/>
        <v>0</v>
      </c>
      <c r="I75" s="32">
        <f t="shared" si="6"/>
        <v>0</v>
      </c>
      <c r="J75" s="32">
        <f t="shared" si="6"/>
        <v>0</v>
      </c>
      <c r="K75" s="95"/>
      <c r="L75" s="50"/>
      <c r="M75" s="15"/>
    </row>
    <row r="76" spans="1:13">
      <c r="A76" s="50">
        <v>1</v>
      </c>
      <c r="B76" s="50"/>
      <c r="C76" s="50" t="s">
        <v>236</v>
      </c>
      <c r="D76" s="50"/>
      <c r="E76" s="129">
        <f>Inputs!$C$7+$A76</f>
        <v>46</v>
      </c>
      <c r="F76" s="32">
        <f t="shared" ref="F76:J81" si="7">E76-1</f>
        <v>45</v>
      </c>
      <c r="G76" s="32">
        <f t="shared" si="7"/>
        <v>44</v>
      </c>
      <c r="H76" s="32">
        <f t="shared" si="7"/>
        <v>43</v>
      </c>
      <c r="I76" s="32">
        <f t="shared" si="7"/>
        <v>42</v>
      </c>
      <c r="J76" s="32">
        <f t="shared" si="7"/>
        <v>41</v>
      </c>
      <c r="K76" s="95"/>
      <c r="L76" s="50"/>
      <c r="M76" s="15"/>
    </row>
    <row r="77" spans="1:13">
      <c r="A77" s="50">
        <v>2</v>
      </c>
      <c r="B77" s="50"/>
      <c r="C77" s="50" t="s">
        <v>237</v>
      </c>
      <c r="D77" s="50"/>
      <c r="E77" s="129">
        <f>Inputs!$C$7+$A77</f>
        <v>47</v>
      </c>
      <c r="F77" s="32">
        <f t="shared" si="7"/>
        <v>46</v>
      </c>
      <c r="G77" s="32">
        <f t="shared" si="7"/>
        <v>45</v>
      </c>
      <c r="H77" s="32">
        <f t="shared" si="7"/>
        <v>44</v>
      </c>
      <c r="I77" s="32">
        <f t="shared" si="7"/>
        <v>43</v>
      </c>
      <c r="J77" s="32">
        <f t="shared" si="7"/>
        <v>42</v>
      </c>
      <c r="K77" s="95"/>
      <c r="L77" s="50"/>
      <c r="M77" s="15"/>
    </row>
    <row r="78" spans="1:13">
      <c r="A78" s="50">
        <v>3</v>
      </c>
      <c r="B78" s="50"/>
      <c r="C78" s="50" t="s">
        <v>238</v>
      </c>
      <c r="D78" s="50"/>
      <c r="E78" s="129">
        <f>Inputs!$C$7+$A78</f>
        <v>48</v>
      </c>
      <c r="F78" s="32">
        <f t="shared" si="7"/>
        <v>47</v>
      </c>
      <c r="G78" s="32">
        <f t="shared" si="7"/>
        <v>46</v>
      </c>
      <c r="H78" s="32">
        <f t="shared" si="7"/>
        <v>45</v>
      </c>
      <c r="I78" s="32">
        <f t="shared" si="7"/>
        <v>44</v>
      </c>
      <c r="J78" s="32">
        <f t="shared" si="7"/>
        <v>43</v>
      </c>
      <c r="K78" s="95"/>
      <c r="L78" s="50"/>
      <c r="M78" s="15"/>
    </row>
    <row r="79" spans="1:13">
      <c r="A79" s="50">
        <v>4</v>
      </c>
      <c r="B79" s="50"/>
      <c r="C79" s="50" t="s">
        <v>239</v>
      </c>
      <c r="D79" s="50"/>
      <c r="E79" s="129">
        <f>Inputs!$C$7+$A79</f>
        <v>49</v>
      </c>
      <c r="F79" s="32">
        <f t="shared" si="7"/>
        <v>48</v>
      </c>
      <c r="G79" s="32">
        <f t="shared" si="7"/>
        <v>47</v>
      </c>
      <c r="H79" s="32">
        <f t="shared" si="7"/>
        <v>46</v>
      </c>
      <c r="I79" s="32">
        <f t="shared" si="7"/>
        <v>45</v>
      </c>
      <c r="J79" s="32">
        <f t="shared" si="7"/>
        <v>44</v>
      </c>
      <c r="K79" s="95"/>
      <c r="L79" s="50"/>
      <c r="M79" s="15"/>
    </row>
    <row r="80" spans="1:13">
      <c r="A80" s="50">
        <v>5</v>
      </c>
      <c r="B80" s="50"/>
      <c r="C80" s="50" t="s">
        <v>240</v>
      </c>
      <c r="D80" s="50"/>
      <c r="E80" s="129">
        <f>Inputs!$C$7+$A80</f>
        <v>50</v>
      </c>
      <c r="F80" s="32">
        <f t="shared" si="7"/>
        <v>49</v>
      </c>
      <c r="G80" s="32">
        <f t="shared" si="7"/>
        <v>48</v>
      </c>
      <c r="H80" s="32">
        <f t="shared" si="7"/>
        <v>47</v>
      </c>
      <c r="I80" s="32">
        <f t="shared" si="7"/>
        <v>46</v>
      </c>
      <c r="J80" s="32">
        <f t="shared" si="7"/>
        <v>45</v>
      </c>
      <c r="K80" s="95"/>
      <c r="L80" s="50"/>
      <c r="M80" s="15"/>
    </row>
    <row r="81" spans="1:13">
      <c r="A81" s="50">
        <v>6</v>
      </c>
      <c r="B81" s="50"/>
      <c r="C81" s="50" t="s">
        <v>241</v>
      </c>
      <c r="D81" s="50"/>
      <c r="E81" s="129">
        <f>Inputs!$C$7+$A81</f>
        <v>51</v>
      </c>
      <c r="F81" s="32">
        <f t="shared" si="7"/>
        <v>50</v>
      </c>
      <c r="G81" s="32">
        <f t="shared" si="7"/>
        <v>49</v>
      </c>
      <c r="H81" s="32">
        <f t="shared" si="7"/>
        <v>48</v>
      </c>
      <c r="I81" s="32">
        <f t="shared" si="7"/>
        <v>47</v>
      </c>
      <c r="J81" s="32">
        <f t="shared" si="7"/>
        <v>46</v>
      </c>
      <c r="K81" s="95"/>
      <c r="L81" s="50"/>
      <c r="M81" s="15"/>
    </row>
    <row r="82" spans="1:13">
      <c r="A82" s="50">
        <v>1</v>
      </c>
      <c r="B82" s="50"/>
      <c r="C82" s="50" t="s">
        <v>260</v>
      </c>
      <c r="D82" s="50"/>
      <c r="E82" s="32">
        <f t="shared" ref="E82:J87" si="8">E70*E$41</f>
        <v>0</v>
      </c>
      <c r="F82" s="32">
        <f t="shared" si="8"/>
        <v>252.86323019001654</v>
      </c>
      <c r="G82" s="32">
        <f t="shared" si="8"/>
        <v>309.90122628594713</v>
      </c>
      <c r="H82" s="32">
        <f t="shared" si="8"/>
        <v>291.95247110458399</v>
      </c>
      <c r="I82" s="32">
        <f t="shared" si="8"/>
        <v>273.40480510371771</v>
      </c>
      <c r="J82" s="32">
        <f t="shared" si="8"/>
        <v>254.36053818345525</v>
      </c>
      <c r="K82" s="95"/>
      <c r="L82" s="50"/>
      <c r="M82" s="15"/>
    </row>
    <row r="83" spans="1:13">
      <c r="A83" s="50">
        <v>2</v>
      </c>
      <c r="B83" s="50"/>
      <c r="C83" s="50" t="s">
        <v>261</v>
      </c>
      <c r="D83" s="50"/>
      <c r="E83" s="32">
        <f t="shared" si="8"/>
        <v>0</v>
      </c>
      <c r="F83" s="32">
        <f t="shared" si="8"/>
        <v>0</v>
      </c>
      <c r="G83" s="32">
        <f t="shared" si="8"/>
        <v>487.84142972573346</v>
      </c>
      <c r="H83" s="32">
        <f t="shared" si="8"/>
        <v>459.81853441624855</v>
      </c>
      <c r="I83" s="32">
        <f t="shared" si="8"/>
        <v>430.83405601274336</v>
      </c>
      <c r="J83" s="32">
        <f t="shared" si="8"/>
        <v>401.04637347370897</v>
      </c>
      <c r="K83" s="95"/>
      <c r="L83" s="50"/>
      <c r="M83" s="15"/>
    </row>
    <row r="84" spans="1:13">
      <c r="A84" s="50">
        <v>3</v>
      </c>
      <c r="B84" s="50"/>
      <c r="C84" s="50" t="s">
        <v>262</v>
      </c>
      <c r="D84" s="50"/>
      <c r="E84" s="32">
        <f t="shared" si="8"/>
        <v>0</v>
      </c>
      <c r="F84" s="32">
        <f t="shared" si="8"/>
        <v>0</v>
      </c>
      <c r="G84" s="32">
        <f t="shared" si="8"/>
        <v>0</v>
      </c>
      <c r="H84" s="32">
        <f t="shared" si="8"/>
        <v>470.73323073641177</v>
      </c>
      <c r="I84" s="32">
        <f t="shared" si="8"/>
        <v>441.2834697786522</v>
      </c>
      <c r="J84" s="32">
        <f t="shared" si="8"/>
        <v>410.99082337636042</v>
      </c>
      <c r="K84" s="95"/>
      <c r="L84" s="50"/>
      <c r="M84" s="15"/>
    </row>
    <row r="85" spans="1:13">
      <c r="A85" s="50">
        <v>4</v>
      </c>
      <c r="B85" s="50"/>
      <c r="C85" s="50" t="s">
        <v>263</v>
      </c>
      <c r="D85" s="50"/>
      <c r="E85" s="32">
        <f t="shared" si="8"/>
        <v>0</v>
      </c>
      <c r="F85" s="32">
        <f t="shared" si="8"/>
        <v>0</v>
      </c>
      <c r="G85" s="32">
        <f t="shared" si="8"/>
        <v>0</v>
      </c>
      <c r="H85" s="32">
        <f t="shared" si="8"/>
        <v>0</v>
      </c>
      <c r="I85" s="32">
        <f t="shared" si="8"/>
        <v>359.04320450275929</v>
      </c>
      <c r="J85" s="32">
        <f t="shared" si="8"/>
        <v>334.5651829798781</v>
      </c>
      <c r="K85" s="95"/>
      <c r="L85" s="50"/>
      <c r="M85" s="15"/>
    </row>
    <row r="86" spans="1:13">
      <c r="A86" s="50">
        <v>5</v>
      </c>
      <c r="B86" s="50"/>
      <c r="C86" s="50" t="s">
        <v>264</v>
      </c>
      <c r="D86" s="50"/>
      <c r="E86" s="32">
        <f t="shared" si="8"/>
        <v>0</v>
      </c>
      <c r="F86" s="32">
        <f t="shared" si="8"/>
        <v>0</v>
      </c>
      <c r="G86" s="32">
        <f t="shared" si="8"/>
        <v>0</v>
      </c>
      <c r="H86" s="32">
        <f t="shared" si="8"/>
        <v>0</v>
      </c>
      <c r="I86" s="32">
        <f t="shared" si="8"/>
        <v>0</v>
      </c>
      <c r="J86" s="32">
        <f t="shared" si="8"/>
        <v>412.79072271220844</v>
      </c>
      <c r="K86" s="95"/>
      <c r="L86" s="50"/>
      <c r="M86" s="15"/>
    </row>
    <row r="87" spans="1:13">
      <c r="A87" s="50">
        <v>6</v>
      </c>
      <c r="B87" s="50"/>
      <c r="C87" s="50" t="s">
        <v>265</v>
      </c>
      <c r="D87" s="50"/>
      <c r="E87" s="32">
        <f t="shared" si="8"/>
        <v>0</v>
      </c>
      <c r="F87" s="32">
        <f t="shared" si="8"/>
        <v>0</v>
      </c>
      <c r="G87" s="32">
        <f t="shared" si="8"/>
        <v>0</v>
      </c>
      <c r="H87" s="32">
        <f t="shared" si="8"/>
        <v>0</v>
      </c>
      <c r="I87" s="32">
        <f t="shared" si="8"/>
        <v>0</v>
      </c>
      <c r="J87" s="32">
        <f t="shared" si="8"/>
        <v>0</v>
      </c>
      <c r="K87" s="95"/>
      <c r="L87" s="50"/>
      <c r="M87" s="15"/>
    </row>
    <row r="88" spans="1:13">
      <c r="A88" s="50">
        <v>1</v>
      </c>
      <c r="B88" s="50"/>
      <c r="C88" s="50" t="s">
        <v>266</v>
      </c>
      <c r="D88" s="50"/>
      <c r="E88" s="32">
        <f t="shared" ref="E88:J93" si="9">E70/E76</f>
        <v>0</v>
      </c>
      <c r="F88" s="32">
        <f t="shared" si="9"/>
        <v>283.62222222222221</v>
      </c>
      <c r="G88" s="32">
        <f t="shared" si="9"/>
        <v>289.36911381744989</v>
      </c>
      <c r="H88" s="32">
        <f t="shared" si="9"/>
        <v>296.57611907991378</v>
      </c>
      <c r="I88" s="32">
        <f t="shared" si="9"/>
        <v>303.52736839192767</v>
      </c>
      <c r="J88" s="32">
        <f t="shared" si="9"/>
        <v>310.19577827250612</v>
      </c>
      <c r="K88" s="95"/>
      <c r="L88" s="50"/>
      <c r="M88" s="15"/>
    </row>
    <row r="89" spans="1:13">
      <c r="A89" s="50">
        <v>2</v>
      </c>
      <c r="B89" s="50"/>
      <c r="C89" s="50" t="s">
        <v>267</v>
      </c>
      <c r="D89" s="50"/>
      <c r="E89" s="32">
        <f t="shared" si="9"/>
        <v>0</v>
      </c>
      <c r="F89" s="32">
        <f t="shared" si="9"/>
        <v>0</v>
      </c>
      <c r="G89" s="32">
        <f t="shared" si="9"/>
        <v>445.39744567289364</v>
      </c>
      <c r="H89" s="32">
        <f t="shared" si="9"/>
        <v>456.48475089393304</v>
      </c>
      <c r="I89" s="32">
        <f t="shared" si="9"/>
        <v>467.17820518268297</v>
      </c>
      <c r="J89" s="32">
        <f t="shared" si="9"/>
        <v>477.43615889727215</v>
      </c>
      <c r="K89" s="95"/>
      <c r="L89" s="50"/>
      <c r="M89" s="15"/>
    </row>
    <row r="90" spans="1:13">
      <c r="A90" s="50">
        <v>3</v>
      </c>
      <c r="B90" s="50"/>
      <c r="C90" s="50" t="s">
        <v>268</v>
      </c>
      <c r="D90" s="50"/>
      <c r="E90" s="32">
        <f t="shared" si="9"/>
        <v>0</v>
      </c>
      <c r="F90" s="32">
        <f t="shared" si="9"/>
        <v>0</v>
      </c>
      <c r="G90" s="32">
        <f t="shared" si="9"/>
        <v>0</v>
      </c>
      <c r="H90" s="32">
        <f t="shared" si="9"/>
        <v>456.93541746092262</v>
      </c>
      <c r="I90" s="32">
        <f t="shared" si="9"/>
        <v>467.63389997765933</v>
      </c>
      <c r="J90" s="32">
        <f t="shared" si="9"/>
        <v>477.89630625158145</v>
      </c>
      <c r="K90" s="95"/>
      <c r="L90" s="50"/>
      <c r="M90" s="15"/>
    </row>
    <row r="91" spans="1:13">
      <c r="A91" s="50">
        <v>4</v>
      </c>
      <c r="B91" s="50"/>
      <c r="C91" s="50" t="s">
        <v>269</v>
      </c>
      <c r="D91" s="50"/>
      <c r="E91" s="32">
        <f t="shared" si="9"/>
        <v>0</v>
      </c>
      <c r="F91" s="32">
        <f t="shared" si="9"/>
        <v>0</v>
      </c>
      <c r="G91" s="32">
        <f t="shared" si="9"/>
        <v>0</v>
      </c>
      <c r="H91" s="32">
        <f t="shared" si="9"/>
        <v>0</v>
      </c>
      <c r="I91" s="32">
        <f t="shared" si="9"/>
        <v>372.02763510207109</v>
      </c>
      <c r="J91" s="32">
        <f t="shared" si="9"/>
        <v>380.18770793167931</v>
      </c>
      <c r="K91" s="95"/>
      <c r="L91" s="50"/>
      <c r="M91" s="15"/>
    </row>
    <row r="92" spans="1:13">
      <c r="A92" s="50">
        <v>5</v>
      </c>
      <c r="B92" s="50"/>
      <c r="C92" s="50" t="s">
        <v>270</v>
      </c>
      <c r="D92" s="50"/>
      <c r="E92" s="32">
        <f t="shared" si="9"/>
        <v>0</v>
      </c>
      <c r="F92" s="32">
        <f t="shared" si="9"/>
        <v>0</v>
      </c>
      <c r="G92" s="32">
        <f t="shared" si="9"/>
        <v>0</v>
      </c>
      <c r="H92" s="32">
        <f t="shared" si="9"/>
        <v>0</v>
      </c>
      <c r="I92" s="32">
        <f t="shared" si="9"/>
        <v>0</v>
      </c>
      <c r="J92" s="32">
        <f t="shared" si="9"/>
        <v>458.65635856912007</v>
      </c>
      <c r="K92" s="95"/>
      <c r="L92" s="50"/>
      <c r="M92" s="15"/>
    </row>
    <row r="93" spans="1:13">
      <c r="A93" s="50">
        <v>6</v>
      </c>
      <c r="B93" s="50"/>
      <c r="C93" s="50" t="s">
        <v>271</v>
      </c>
      <c r="D93" s="50"/>
      <c r="E93" s="32">
        <f t="shared" si="9"/>
        <v>0</v>
      </c>
      <c r="F93" s="32">
        <f t="shared" si="9"/>
        <v>0</v>
      </c>
      <c r="G93" s="32">
        <f t="shared" si="9"/>
        <v>0</v>
      </c>
      <c r="H93" s="32">
        <f t="shared" si="9"/>
        <v>0</v>
      </c>
      <c r="I93" s="32">
        <f t="shared" si="9"/>
        <v>0</v>
      </c>
      <c r="J93" s="32">
        <f t="shared" si="9"/>
        <v>0</v>
      </c>
      <c r="K93" s="95"/>
      <c r="L93" s="50"/>
      <c r="M93" s="15"/>
    </row>
    <row r="94" spans="1:13">
      <c r="A94" s="50">
        <v>1</v>
      </c>
      <c r="B94" s="50"/>
      <c r="C94" s="50" t="s">
        <v>272</v>
      </c>
      <c r="D94" s="50"/>
      <c r="E94" s="32">
        <f t="shared" ref="E94:J99" si="10">E70+E82-E88+IF($A94=E$68,E$69,0)</f>
        <v>12763</v>
      </c>
      <c r="F94" s="32">
        <f t="shared" si="10"/>
        <v>12732.241007967794</v>
      </c>
      <c r="G94" s="32">
        <f t="shared" si="10"/>
        <v>12752.773120436292</v>
      </c>
      <c r="H94" s="32">
        <f t="shared" si="10"/>
        <v>12748.149472460962</v>
      </c>
      <c r="I94" s="32">
        <f t="shared" si="10"/>
        <v>12718.026909172751</v>
      </c>
      <c r="J94" s="32">
        <f t="shared" si="10"/>
        <v>12662.191669083701</v>
      </c>
      <c r="K94" s="95"/>
      <c r="L94" s="50"/>
      <c r="M94" s="15"/>
    </row>
    <row r="95" spans="1:13">
      <c r="A95" s="50">
        <v>2</v>
      </c>
      <c r="B95" s="50"/>
      <c r="C95" s="50" t="s">
        <v>273</v>
      </c>
      <c r="D95" s="50"/>
      <c r="E95" s="32">
        <f t="shared" si="10"/>
        <v>0</v>
      </c>
      <c r="F95" s="32">
        <f t="shared" si="10"/>
        <v>20042.885055280214</v>
      </c>
      <c r="G95" s="32">
        <f t="shared" si="10"/>
        <v>20085.329039333054</v>
      </c>
      <c r="H95" s="32">
        <f t="shared" si="10"/>
        <v>20088.662822855367</v>
      </c>
      <c r="I95" s="32">
        <f t="shared" si="10"/>
        <v>20052.31867368543</v>
      </c>
      <c r="J95" s="32">
        <f t="shared" si="10"/>
        <v>19975.928888261868</v>
      </c>
      <c r="K95" s="95"/>
      <c r="L95" s="50"/>
      <c r="M95" s="15"/>
    </row>
    <row r="96" spans="1:13">
      <c r="A96" s="50">
        <v>3</v>
      </c>
      <c r="B96" s="50"/>
      <c r="C96" s="50" t="s">
        <v>274</v>
      </c>
      <c r="D96" s="50"/>
      <c r="E96" s="32">
        <f t="shared" si="10"/>
        <v>0</v>
      </c>
      <c r="F96" s="32">
        <f t="shared" si="10"/>
        <v>0</v>
      </c>
      <c r="G96" s="32">
        <f t="shared" si="10"/>
        <v>20562.093785741519</v>
      </c>
      <c r="H96" s="32">
        <f t="shared" si="10"/>
        <v>20575.89159901701</v>
      </c>
      <c r="I96" s="32">
        <f t="shared" si="10"/>
        <v>20549.541168818003</v>
      </c>
      <c r="J96" s="32">
        <f t="shared" si="10"/>
        <v>20482.63568594278</v>
      </c>
      <c r="K96" s="95"/>
      <c r="L96" s="50"/>
      <c r="M96" s="15"/>
    </row>
    <row r="97" spans="1:13">
      <c r="A97" s="50">
        <v>4</v>
      </c>
      <c r="B97" s="50"/>
      <c r="C97" s="50" t="s">
        <v>275</v>
      </c>
      <c r="D97" s="50"/>
      <c r="E97" s="32">
        <f t="shared" si="10"/>
        <v>0</v>
      </c>
      <c r="F97" s="32">
        <f t="shared" si="10"/>
        <v>0</v>
      </c>
      <c r="G97" s="32">
        <f t="shared" si="10"/>
        <v>0</v>
      </c>
      <c r="H97" s="32">
        <f t="shared" si="10"/>
        <v>16741.2435795932</v>
      </c>
      <c r="I97" s="32">
        <f t="shared" si="10"/>
        <v>16728.25914899389</v>
      </c>
      <c r="J97" s="32">
        <f t="shared" si="10"/>
        <v>16682.636624042087</v>
      </c>
      <c r="K97" s="95"/>
      <c r="L97" s="50"/>
      <c r="M97" s="15"/>
    </row>
    <row r="98" spans="1:13">
      <c r="A98" s="50">
        <v>5</v>
      </c>
      <c r="B98" s="50"/>
      <c r="C98" s="50" t="s">
        <v>276</v>
      </c>
      <c r="D98" s="50"/>
      <c r="E98" s="32">
        <f t="shared" si="10"/>
        <v>0</v>
      </c>
      <c r="F98" s="32">
        <f t="shared" si="10"/>
        <v>0</v>
      </c>
      <c r="G98" s="32">
        <f t="shared" si="10"/>
        <v>0</v>
      </c>
      <c r="H98" s="32">
        <f t="shared" si="10"/>
        <v>0</v>
      </c>
      <c r="I98" s="32">
        <f t="shared" si="10"/>
        <v>20639.536135610404</v>
      </c>
      <c r="J98" s="32">
        <f t="shared" si="10"/>
        <v>20593.670499753494</v>
      </c>
      <c r="K98" s="95"/>
      <c r="L98" s="50"/>
      <c r="M98" s="15"/>
    </row>
    <row r="99" spans="1:13">
      <c r="A99" s="50">
        <v>6</v>
      </c>
      <c r="B99" s="50"/>
      <c r="C99" s="50" t="s">
        <v>277</v>
      </c>
      <c r="D99" s="50"/>
      <c r="E99" s="32">
        <f t="shared" si="10"/>
        <v>0</v>
      </c>
      <c r="F99" s="32">
        <f t="shared" si="10"/>
        <v>0</v>
      </c>
      <c r="G99" s="32">
        <f t="shared" si="10"/>
        <v>0</v>
      </c>
      <c r="H99" s="32">
        <f t="shared" si="10"/>
        <v>0</v>
      </c>
      <c r="I99" s="32">
        <f t="shared" si="10"/>
        <v>0</v>
      </c>
      <c r="J99" s="32">
        <f t="shared" si="10"/>
        <v>19592.357033894728</v>
      </c>
      <c r="K99" s="95"/>
      <c r="L99" s="50"/>
      <c r="M99" s="15"/>
    </row>
    <row r="100" spans="1:13">
      <c r="A100" s="50"/>
      <c r="B100" s="50"/>
      <c r="C100" s="50" t="s">
        <v>146</v>
      </c>
      <c r="D100" s="50"/>
      <c r="E100" s="32">
        <f t="shared" ref="E100:J100" si="11">SUM(E70:E75)</f>
        <v>0</v>
      </c>
      <c r="F100" s="32">
        <f t="shared" si="11"/>
        <v>12763</v>
      </c>
      <c r="G100" s="32">
        <f t="shared" si="11"/>
        <v>32775.126063248012</v>
      </c>
      <c r="H100" s="32">
        <f t="shared" si="11"/>
        <v>53400.195945510866</v>
      </c>
      <c r="I100" s="32">
        <f t="shared" si="11"/>
        <v>70153.947473926528</v>
      </c>
      <c r="J100" s="32">
        <f t="shared" si="11"/>
        <v>90687.682036280486</v>
      </c>
      <c r="K100" s="95"/>
      <c r="L100" s="27"/>
      <c r="M100" s="15"/>
    </row>
    <row r="101" spans="1:13">
      <c r="A101" s="50"/>
      <c r="B101" s="50"/>
      <c r="C101" s="50" t="s">
        <v>147</v>
      </c>
      <c r="D101" s="50"/>
      <c r="E101" s="32">
        <f t="shared" ref="E101:J101" si="12">SUM(E82:E87)</f>
        <v>0</v>
      </c>
      <c r="F101" s="32">
        <f t="shared" si="12"/>
        <v>252.86323019001654</v>
      </c>
      <c r="G101" s="32">
        <f t="shared" si="12"/>
        <v>797.74265601168054</v>
      </c>
      <c r="H101" s="32">
        <f t="shared" si="12"/>
        <v>1222.5042362572444</v>
      </c>
      <c r="I101" s="32">
        <f t="shared" si="12"/>
        <v>1504.5655353978727</v>
      </c>
      <c r="J101" s="32">
        <f t="shared" si="12"/>
        <v>1813.7536407256111</v>
      </c>
      <c r="K101" s="95"/>
      <c r="L101" s="27"/>
      <c r="M101" s="15"/>
    </row>
    <row r="102" spans="1:13">
      <c r="A102" s="50"/>
      <c r="B102" s="50"/>
      <c r="C102" s="50" t="s">
        <v>68</v>
      </c>
      <c r="D102" s="50"/>
      <c r="E102" s="32">
        <f t="shared" ref="E102:J102" si="13">SUM(E88:E93)</f>
        <v>0</v>
      </c>
      <c r="F102" s="32">
        <f t="shared" si="13"/>
        <v>283.62222222222221</v>
      </c>
      <c r="G102" s="32">
        <f t="shared" si="13"/>
        <v>734.76655949034352</v>
      </c>
      <c r="H102" s="32">
        <f t="shared" si="13"/>
        <v>1209.9962874347693</v>
      </c>
      <c r="I102" s="32">
        <f t="shared" si="13"/>
        <v>1610.3671086543411</v>
      </c>
      <c r="J102" s="32">
        <f t="shared" si="13"/>
        <v>2104.3723099221588</v>
      </c>
      <c r="K102" s="95"/>
      <c r="L102" s="27"/>
      <c r="M102" s="15"/>
    </row>
    <row r="103" spans="1:13">
      <c r="A103" s="50"/>
      <c r="B103" s="50"/>
      <c r="C103" s="50" t="s">
        <v>148</v>
      </c>
      <c r="D103" s="50"/>
      <c r="E103" s="32">
        <f t="shared" ref="E103:J103" si="14">SUM(E94:E99)</f>
        <v>12763</v>
      </c>
      <c r="F103" s="32">
        <f t="shared" si="14"/>
        <v>32775.126063248012</v>
      </c>
      <c r="G103" s="32">
        <f t="shared" si="14"/>
        <v>53400.195945510866</v>
      </c>
      <c r="H103" s="32">
        <f t="shared" si="14"/>
        <v>70153.947473926528</v>
      </c>
      <c r="I103" s="32">
        <f t="shared" si="14"/>
        <v>90687.682036280486</v>
      </c>
      <c r="J103" s="32">
        <f t="shared" si="14"/>
        <v>109989.42040097866</v>
      </c>
      <c r="K103" s="95"/>
      <c r="L103" s="50"/>
      <c r="M103" s="15"/>
    </row>
    <row r="104" spans="1:13">
      <c r="A104" s="50"/>
      <c r="B104" s="50"/>
      <c r="C104" s="50"/>
      <c r="D104" s="50"/>
      <c r="E104" s="32"/>
      <c r="F104" s="32"/>
      <c r="G104" s="32"/>
      <c r="H104" s="32"/>
      <c r="I104" s="32"/>
      <c r="J104" s="32"/>
      <c r="K104" s="95"/>
      <c r="L104" s="50"/>
      <c r="M104" s="15"/>
    </row>
    <row r="105" spans="1:13" ht="15.75">
      <c r="A105" s="50"/>
      <c r="B105" s="50"/>
      <c r="C105" s="162" t="s">
        <v>121</v>
      </c>
      <c r="D105" s="50"/>
      <c r="E105" s="162" t="str">
        <f>Inputs!D$11</f>
        <v>2009/10</v>
      </c>
      <c r="F105" s="162" t="str">
        <f>Inputs!E$11</f>
        <v>2010/11</v>
      </c>
      <c r="G105" s="162" t="str">
        <f>Inputs!F$11</f>
        <v>2011/12</v>
      </c>
      <c r="H105" s="162" t="str">
        <f>Inputs!G$11</f>
        <v>2012/13</v>
      </c>
      <c r="I105" s="162" t="str">
        <f>Inputs!H$11</f>
        <v>2013/14</v>
      </c>
      <c r="J105" s="162" t="str">
        <f>Inputs!I$11</f>
        <v>2014/15</v>
      </c>
      <c r="K105" s="95"/>
      <c r="L105" s="50"/>
      <c r="M105" s="15"/>
    </row>
    <row r="106" spans="1:13">
      <c r="A106" s="50"/>
      <c r="B106" s="50"/>
      <c r="C106" s="164" t="s">
        <v>60</v>
      </c>
      <c r="D106" s="50"/>
      <c r="E106" s="164">
        <v>1</v>
      </c>
      <c r="F106" s="164">
        <v>2</v>
      </c>
      <c r="G106" s="164">
        <v>3</v>
      </c>
      <c r="H106" s="164">
        <v>4</v>
      </c>
      <c r="I106" s="164">
        <v>5</v>
      </c>
      <c r="J106" s="164">
        <v>6</v>
      </c>
      <c r="K106" s="95"/>
      <c r="L106" s="50"/>
      <c r="M106" s="15"/>
    </row>
    <row r="107" spans="1:13">
      <c r="A107" s="50"/>
      <c r="B107" s="50"/>
      <c r="C107" s="50" t="s">
        <v>39</v>
      </c>
      <c r="D107" s="32"/>
      <c r="E107" s="32">
        <f t="shared" ref="E107:J107" si="15">E$29</f>
        <v>12763</v>
      </c>
      <c r="F107" s="32">
        <f t="shared" si="15"/>
        <v>20042.885055280214</v>
      </c>
      <c r="G107" s="32">
        <f t="shared" si="15"/>
        <v>20562.093785741519</v>
      </c>
      <c r="H107" s="32">
        <f t="shared" si="15"/>
        <v>16741.2435795932</v>
      </c>
      <c r="I107" s="32">
        <f t="shared" si="15"/>
        <v>20639.536135610404</v>
      </c>
      <c r="J107" s="32">
        <f t="shared" si="15"/>
        <v>19592.357033894728</v>
      </c>
      <c r="K107" s="95"/>
      <c r="L107" s="50"/>
      <c r="M107" s="15"/>
    </row>
    <row r="108" spans="1:13">
      <c r="A108" s="50">
        <v>1</v>
      </c>
      <c r="B108" s="50"/>
      <c r="C108" s="50" t="s">
        <v>230</v>
      </c>
      <c r="D108" s="50"/>
      <c r="E108" s="129">
        <v>0</v>
      </c>
      <c r="F108" s="32">
        <f t="shared" ref="F108:J113" si="16">E126</f>
        <v>12763</v>
      </c>
      <c r="G108" s="32">
        <f t="shared" si="16"/>
        <v>12479.377777777778</v>
      </c>
      <c r="H108" s="32">
        <f t="shared" si="16"/>
        <v>12195.755555555555</v>
      </c>
      <c r="I108" s="32">
        <f t="shared" si="16"/>
        <v>11912.133333333333</v>
      </c>
      <c r="J108" s="32">
        <f t="shared" si="16"/>
        <v>11628.511111111111</v>
      </c>
      <c r="K108" s="95"/>
      <c r="L108" s="50"/>
      <c r="M108" s="15"/>
    </row>
    <row r="109" spans="1:13">
      <c r="A109" s="50">
        <v>2</v>
      </c>
      <c r="B109" s="50"/>
      <c r="C109" s="50" t="s">
        <v>231</v>
      </c>
      <c r="D109" s="50"/>
      <c r="E109" s="129">
        <v>0</v>
      </c>
      <c r="F109" s="32">
        <f t="shared" si="16"/>
        <v>0</v>
      </c>
      <c r="G109" s="32">
        <f t="shared" si="16"/>
        <v>20042.885055280214</v>
      </c>
      <c r="H109" s="32">
        <f t="shared" si="16"/>
        <v>19597.48760960732</v>
      </c>
      <c r="I109" s="32">
        <f t="shared" si="16"/>
        <v>19152.090163934427</v>
      </c>
      <c r="J109" s="32">
        <f t="shared" si="16"/>
        <v>18706.692718261533</v>
      </c>
      <c r="K109" s="95"/>
      <c r="L109" s="50"/>
      <c r="M109" s="15"/>
    </row>
    <row r="110" spans="1:13">
      <c r="A110" s="50">
        <v>3</v>
      </c>
      <c r="B110" s="50"/>
      <c r="C110" s="50" t="s">
        <v>232</v>
      </c>
      <c r="D110" s="50"/>
      <c r="E110" s="129">
        <v>0</v>
      </c>
      <c r="F110" s="32">
        <f t="shared" si="16"/>
        <v>0</v>
      </c>
      <c r="G110" s="32">
        <f t="shared" si="16"/>
        <v>0</v>
      </c>
      <c r="H110" s="32">
        <f t="shared" si="16"/>
        <v>20562.093785741519</v>
      </c>
      <c r="I110" s="32">
        <f t="shared" si="16"/>
        <v>20105.158368280598</v>
      </c>
      <c r="J110" s="32">
        <f t="shared" si="16"/>
        <v>19648.222950819676</v>
      </c>
      <c r="K110" s="95"/>
      <c r="L110" s="50"/>
      <c r="M110" s="15"/>
    </row>
    <row r="111" spans="1:13">
      <c r="A111" s="50">
        <v>4</v>
      </c>
      <c r="B111" s="50"/>
      <c r="C111" s="50" t="s">
        <v>233</v>
      </c>
      <c r="D111" s="50"/>
      <c r="E111" s="129">
        <v>0</v>
      </c>
      <c r="F111" s="32">
        <f t="shared" si="16"/>
        <v>0</v>
      </c>
      <c r="G111" s="32">
        <f t="shared" si="16"/>
        <v>0</v>
      </c>
      <c r="H111" s="32">
        <f t="shared" si="16"/>
        <v>0</v>
      </c>
      <c r="I111" s="32">
        <f t="shared" si="16"/>
        <v>16741.2435795932</v>
      </c>
      <c r="J111" s="32">
        <f t="shared" si="16"/>
        <v>16369.215944491129</v>
      </c>
      <c r="K111" s="95"/>
      <c r="L111" s="50"/>
      <c r="M111" s="15"/>
    </row>
    <row r="112" spans="1:13">
      <c r="A112" s="50">
        <v>5</v>
      </c>
      <c r="B112" s="50"/>
      <c r="C112" s="50" t="s">
        <v>234</v>
      </c>
      <c r="D112" s="50"/>
      <c r="E112" s="129">
        <v>0</v>
      </c>
      <c r="F112" s="32">
        <f t="shared" si="16"/>
        <v>0</v>
      </c>
      <c r="G112" s="32">
        <f t="shared" si="16"/>
        <v>0</v>
      </c>
      <c r="H112" s="32">
        <f t="shared" si="16"/>
        <v>0</v>
      </c>
      <c r="I112" s="32">
        <f t="shared" si="16"/>
        <v>0</v>
      </c>
      <c r="J112" s="32">
        <f t="shared" si="16"/>
        <v>20639.536135610404</v>
      </c>
      <c r="K112" s="95"/>
      <c r="L112" s="50"/>
      <c r="M112" s="15"/>
    </row>
    <row r="113" spans="1:13">
      <c r="A113" s="50">
        <v>6</v>
      </c>
      <c r="B113" s="50"/>
      <c r="C113" s="50" t="s">
        <v>235</v>
      </c>
      <c r="D113" s="50"/>
      <c r="E113" s="129">
        <v>0</v>
      </c>
      <c r="F113" s="32">
        <f t="shared" si="16"/>
        <v>0</v>
      </c>
      <c r="G113" s="32">
        <f t="shared" si="16"/>
        <v>0</v>
      </c>
      <c r="H113" s="32">
        <f t="shared" si="16"/>
        <v>0</v>
      </c>
      <c r="I113" s="32">
        <f t="shared" si="16"/>
        <v>0</v>
      </c>
      <c r="J113" s="32">
        <f t="shared" si="16"/>
        <v>0</v>
      </c>
      <c r="K113" s="95"/>
      <c r="L113" s="50"/>
      <c r="M113" s="15"/>
    </row>
    <row r="114" spans="1:13">
      <c r="A114" s="50">
        <v>1</v>
      </c>
      <c r="B114" s="50"/>
      <c r="C114" s="50" t="s">
        <v>236</v>
      </c>
      <c r="D114" s="50"/>
      <c r="E114" s="129">
        <f>Inputs!$C$7+$A114</f>
        <v>46</v>
      </c>
      <c r="F114" s="32">
        <f t="shared" ref="F114:J119" si="17">E114-1</f>
        <v>45</v>
      </c>
      <c r="G114" s="32">
        <f t="shared" si="17"/>
        <v>44</v>
      </c>
      <c r="H114" s="32">
        <f t="shared" si="17"/>
        <v>43</v>
      </c>
      <c r="I114" s="32">
        <f t="shared" si="17"/>
        <v>42</v>
      </c>
      <c r="J114" s="32">
        <f t="shared" si="17"/>
        <v>41</v>
      </c>
      <c r="K114" s="95"/>
      <c r="L114" s="50"/>
      <c r="M114" s="15"/>
    </row>
    <row r="115" spans="1:13">
      <c r="A115" s="50">
        <v>2</v>
      </c>
      <c r="B115" s="50"/>
      <c r="C115" s="50" t="s">
        <v>237</v>
      </c>
      <c r="D115" s="50"/>
      <c r="E115" s="129">
        <f>Inputs!$C$7+$A115</f>
        <v>47</v>
      </c>
      <c r="F115" s="32">
        <f t="shared" si="17"/>
        <v>46</v>
      </c>
      <c r="G115" s="32">
        <f t="shared" si="17"/>
        <v>45</v>
      </c>
      <c r="H115" s="32">
        <f t="shared" si="17"/>
        <v>44</v>
      </c>
      <c r="I115" s="32">
        <f t="shared" si="17"/>
        <v>43</v>
      </c>
      <c r="J115" s="32">
        <f t="shared" si="17"/>
        <v>42</v>
      </c>
      <c r="K115" s="95"/>
      <c r="L115" s="50"/>
      <c r="M115" s="15"/>
    </row>
    <row r="116" spans="1:13">
      <c r="A116" s="50">
        <v>3</v>
      </c>
      <c r="B116" s="50"/>
      <c r="C116" s="50" t="s">
        <v>238</v>
      </c>
      <c r="D116" s="50"/>
      <c r="E116" s="129">
        <f>Inputs!$C$7+$A116</f>
        <v>48</v>
      </c>
      <c r="F116" s="32">
        <f t="shared" si="17"/>
        <v>47</v>
      </c>
      <c r="G116" s="32">
        <f t="shared" si="17"/>
        <v>46</v>
      </c>
      <c r="H116" s="32">
        <f t="shared" si="17"/>
        <v>45</v>
      </c>
      <c r="I116" s="32">
        <f t="shared" si="17"/>
        <v>44</v>
      </c>
      <c r="J116" s="32">
        <f t="shared" si="17"/>
        <v>43</v>
      </c>
      <c r="K116" s="95"/>
      <c r="L116" s="50"/>
      <c r="M116" s="15"/>
    </row>
    <row r="117" spans="1:13">
      <c r="A117" s="50">
        <v>4</v>
      </c>
      <c r="B117" s="50"/>
      <c r="C117" s="50" t="s">
        <v>239</v>
      </c>
      <c r="D117" s="50"/>
      <c r="E117" s="129">
        <f>Inputs!$C$7+$A117</f>
        <v>49</v>
      </c>
      <c r="F117" s="32">
        <f t="shared" si="17"/>
        <v>48</v>
      </c>
      <c r="G117" s="32">
        <f t="shared" si="17"/>
        <v>47</v>
      </c>
      <c r="H117" s="32">
        <f t="shared" si="17"/>
        <v>46</v>
      </c>
      <c r="I117" s="32">
        <f t="shared" si="17"/>
        <v>45</v>
      </c>
      <c r="J117" s="32">
        <f t="shared" si="17"/>
        <v>44</v>
      </c>
      <c r="K117" s="95"/>
      <c r="L117" s="50"/>
      <c r="M117" s="15"/>
    </row>
    <row r="118" spans="1:13">
      <c r="A118" s="50">
        <v>5</v>
      </c>
      <c r="B118" s="50"/>
      <c r="C118" s="50" t="s">
        <v>240</v>
      </c>
      <c r="D118" s="50"/>
      <c r="E118" s="129">
        <f>Inputs!$C$7+$A118</f>
        <v>50</v>
      </c>
      <c r="F118" s="32">
        <f t="shared" si="17"/>
        <v>49</v>
      </c>
      <c r="G118" s="32">
        <f t="shared" si="17"/>
        <v>48</v>
      </c>
      <c r="H118" s="32">
        <f t="shared" si="17"/>
        <v>47</v>
      </c>
      <c r="I118" s="32">
        <f t="shared" si="17"/>
        <v>46</v>
      </c>
      <c r="J118" s="32">
        <f t="shared" si="17"/>
        <v>45</v>
      </c>
      <c r="K118" s="95"/>
      <c r="L118" s="50"/>
      <c r="M118" s="15"/>
    </row>
    <row r="119" spans="1:13">
      <c r="A119" s="50">
        <v>6</v>
      </c>
      <c r="B119" s="50"/>
      <c r="C119" s="50" t="s">
        <v>241</v>
      </c>
      <c r="D119" s="50"/>
      <c r="E119" s="129">
        <f>Inputs!$C$7+$A119</f>
        <v>51</v>
      </c>
      <c r="F119" s="32">
        <f t="shared" si="17"/>
        <v>50</v>
      </c>
      <c r="G119" s="32">
        <f t="shared" si="17"/>
        <v>49</v>
      </c>
      <c r="H119" s="32">
        <f t="shared" si="17"/>
        <v>48</v>
      </c>
      <c r="I119" s="32">
        <f t="shared" si="17"/>
        <v>47</v>
      </c>
      <c r="J119" s="32">
        <f t="shared" si="17"/>
        <v>46</v>
      </c>
      <c r="K119" s="95"/>
      <c r="L119" s="50"/>
      <c r="M119" s="15"/>
    </row>
    <row r="120" spans="1:13">
      <c r="A120" s="50">
        <v>1</v>
      </c>
      <c r="B120" s="50"/>
      <c r="C120" s="50" t="s">
        <v>242</v>
      </c>
      <c r="D120" s="50"/>
      <c r="E120" s="32">
        <f t="shared" ref="E120:J125" si="18">E108/E114</f>
        <v>0</v>
      </c>
      <c r="F120" s="32">
        <f t="shared" si="18"/>
        <v>283.62222222222221</v>
      </c>
      <c r="G120" s="32">
        <f t="shared" si="18"/>
        <v>283.62222222222221</v>
      </c>
      <c r="H120" s="32">
        <f t="shared" si="18"/>
        <v>283.62222222222221</v>
      </c>
      <c r="I120" s="32">
        <f t="shared" si="18"/>
        <v>283.62222222222221</v>
      </c>
      <c r="J120" s="32">
        <f t="shared" si="18"/>
        <v>283.62222222222221</v>
      </c>
      <c r="K120" s="95"/>
      <c r="L120" s="50"/>
      <c r="M120" s="15"/>
    </row>
    <row r="121" spans="1:13">
      <c r="A121" s="50">
        <v>2</v>
      </c>
      <c r="B121" s="50"/>
      <c r="C121" s="50" t="s">
        <v>243</v>
      </c>
      <c r="D121" s="50"/>
      <c r="E121" s="32">
        <f t="shared" si="18"/>
        <v>0</v>
      </c>
      <c r="F121" s="32">
        <f t="shared" si="18"/>
        <v>0</v>
      </c>
      <c r="G121" s="32">
        <f t="shared" si="18"/>
        <v>445.39744567289364</v>
      </c>
      <c r="H121" s="32">
        <f t="shared" si="18"/>
        <v>445.39744567289364</v>
      </c>
      <c r="I121" s="32">
        <f t="shared" si="18"/>
        <v>445.39744567289364</v>
      </c>
      <c r="J121" s="32">
        <f t="shared" si="18"/>
        <v>445.39744567289364</v>
      </c>
      <c r="K121" s="95"/>
      <c r="L121" s="50"/>
      <c r="M121" s="15"/>
    </row>
    <row r="122" spans="1:13">
      <c r="A122" s="50">
        <v>3</v>
      </c>
      <c r="B122" s="50"/>
      <c r="C122" s="50" t="s">
        <v>244</v>
      </c>
      <c r="D122" s="50"/>
      <c r="E122" s="32">
        <f t="shared" si="18"/>
        <v>0</v>
      </c>
      <c r="F122" s="32">
        <f t="shared" si="18"/>
        <v>0</v>
      </c>
      <c r="G122" s="32">
        <f t="shared" si="18"/>
        <v>0</v>
      </c>
      <c r="H122" s="32">
        <f t="shared" si="18"/>
        <v>456.93541746092262</v>
      </c>
      <c r="I122" s="32">
        <f t="shared" si="18"/>
        <v>456.93541746092268</v>
      </c>
      <c r="J122" s="32">
        <f t="shared" si="18"/>
        <v>456.93541746092268</v>
      </c>
      <c r="K122" s="95"/>
      <c r="L122" s="50"/>
      <c r="M122" s="15"/>
    </row>
    <row r="123" spans="1:13">
      <c r="A123" s="50">
        <v>4</v>
      </c>
      <c r="B123" s="50"/>
      <c r="C123" s="50" t="s">
        <v>245</v>
      </c>
      <c r="D123" s="50"/>
      <c r="E123" s="32">
        <f t="shared" si="18"/>
        <v>0</v>
      </c>
      <c r="F123" s="32">
        <f t="shared" si="18"/>
        <v>0</v>
      </c>
      <c r="G123" s="32">
        <f t="shared" si="18"/>
        <v>0</v>
      </c>
      <c r="H123" s="32">
        <f t="shared" si="18"/>
        <v>0</v>
      </c>
      <c r="I123" s="32">
        <f t="shared" si="18"/>
        <v>372.02763510207109</v>
      </c>
      <c r="J123" s="32">
        <f t="shared" si="18"/>
        <v>372.02763510207109</v>
      </c>
      <c r="K123" s="95"/>
      <c r="L123" s="50"/>
      <c r="M123" s="15"/>
    </row>
    <row r="124" spans="1:13">
      <c r="A124" s="50">
        <v>5</v>
      </c>
      <c r="B124" s="50"/>
      <c r="C124" s="50" t="s">
        <v>246</v>
      </c>
      <c r="D124" s="50"/>
      <c r="E124" s="32">
        <f t="shared" si="18"/>
        <v>0</v>
      </c>
      <c r="F124" s="32">
        <f t="shared" si="18"/>
        <v>0</v>
      </c>
      <c r="G124" s="32">
        <f t="shared" si="18"/>
        <v>0</v>
      </c>
      <c r="H124" s="32">
        <f t="shared" si="18"/>
        <v>0</v>
      </c>
      <c r="I124" s="32">
        <f t="shared" si="18"/>
        <v>0</v>
      </c>
      <c r="J124" s="32">
        <f t="shared" si="18"/>
        <v>458.65635856912007</v>
      </c>
      <c r="K124" s="95"/>
      <c r="L124" s="50"/>
      <c r="M124" s="15"/>
    </row>
    <row r="125" spans="1:13">
      <c r="A125" s="50">
        <v>6</v>
      </c>
      <c r="B125" s="50"/>
      <c r="C125" s="50" t="s">
        <v>247</v>
      </c>
      <c r="D125" s="50"/>
      <c r="E125" s="32">
        <f t="shared" si="18"/>
        <v>0</v>
      </c>
      <c r="F125" s="32">
        <f t="shared" si="18"/>
        <v>0</v>
      </c>
      <c r="G125" s="32">
        <f t="shared" si="18"/>
        <v>0</v>
      </c>
      <c r="H125" s="32">
        <f t="shared" si="18"/>
        <v>0</v>
      </c>
      <c r="I125" s="32">
        <f t="shared" si="18"/>
        <v>0</v>
      </c>
      <c r="J125" s="32">
        <f t="shared" si="18"/>
        <v>0</v>
      </c>
      <c r="K125" s="95"/>
      <c r="L125" s="50"/>
      <c r="M125" s="15"/>
    </row>
    <row r="126" spans="1:13">
      <c r="A126" s="50">
        <v>1</v>
      </c>
      <c r="B126" s="50"/>
      <c r="C126" s="50" t="s">
        <v>248</v>
      </c>
      <c r="D126" s="50"/>
      <c r="E126" s="32">
        <f t="shared" ref="E126:J131" si="19">E108-E120+IF($A126=E$106,E$107,0)</f>
        <v>12763</v>
      </c>
      <c r="F126" s="32">
        <f t="shared" si="19"/>
        <v>12479.377777777778</v>
      </c>
      <c r="G126" s="32">
        <f t="shared" si="19"/>
        <v>12195.755555555555</v>
      </c>
      <c r="H126" s="32">
        <f t="shared" si="19"/>
        <v>11912.133333333333</v>
      </c>
      <c r="I126" s="32">
        <f t="shared" si="19"/>
        <v>11628.511111111111</v>
      </c>
      <c r="J126" s="32">
        <f t="shared" si="19"/>
        <v>11344.888888888889</v>
      </c>
      <c r="K126" s="95"/>
      <c r="L126" s="50"/>
      <c r="M126" s="15"/>
    </row>
    <row r="127" spans="1:13">
      <c r="A127" s="50">
        <v>2</v>
      </c>
      <c r="B127" s="50"/>
      <c r="C127" s="50" t="s">
        <v>249</v>
      </c>
      <c r="D127" s="50"/>
      <c r="E127" s="32">
        <f t="shared" si="19"/>
        <v>0</v>
      </c>
      <c r="F127" s="32">
        <f t="shared" si="19"/>
        <v>20042.885055280214</v>
      </c>
      <c r="G127" s="32">
        <f t="shared" si="19"/>
        <v>19597.48760960732</v>
      </c>
      <c r="H127" s="32">
        <f t="shared" si="19"/>
        <v>19152.090163934427</v>
      </c>
      <c r="I127" s="32">
        <f t="shared" si="19"/>
        <v>18706.692718261533</v>
      </c>
      <c r="J127" s="32">
        <f t="shared" si="19"/>
        <v>18261.295272588639</v>
      </c>
      <c r="K127" s="95"/>
      <c r="L127" s="50"/>
      <c r="M127" s="15"/>
    </row>
    <row r="128" spans="1:13">
      <c r="A128" s="50">
        <v>3</v>
      </c>
      <c r="B128" s="50"/>
      <c r="C128" s="50" t="s">
        <v>250</v>
      </c>
      <c r="D128" s="50"/>
      <c r="E128" s="32">
        <f t="shared" si="19"/>
        <v>0</v>
      </c>
      <c r="F128" s="32">
        <f t="shared" si="19"/>
        <v>0</v>
      </c>
      <c r="G128" s="32">
        <f t="shared" si="19"/>
        <v>20562.093785741519</v>
      </c>
      <c r="H128" s="32">
        <f t="shared" si="19"/>
        <v>20105.158368280598</v>
      </c>
      <c r="I128" s="32">
        <f t="shared" si="19"/>
        <v>19648.222950819676</v>
      </c>
      <c r="J128" s="32">
        <f t="shared" si="19"/>
        <v>19191.287533358754</v>
      </c>
      <c r="K128" s="95"/>
      <c r="L128" s="50"/>
      <c r="M128" s="15"/>
    </row>
    <row r="129" spans="1:13">
      <c r="A129" s="50">
        <v>4</v>
      </c>
      <c r="B129" s="50"/>
      <c r="C129" s="50" t="s">
        <v>251</v>
      </c>
      <c r="D129" s="50"/>
      <c r="E129" s="32">
        <f t="shared" si="19"/>
        <v>0</v>
      </c>
      <c r="F129" s="32">
        <f t="shared" si="19"/>
        <v>0</v>
      </c>
      <c r="G129" s="32">
        <f t="shared" si="19"/>
        <v>0</v>
      </c>
      <c r="H129" s="32">
        <f t="shared" si="19"/>
        <v>16741.2435795932</v>
      </c>
      <c r="I129" s="32">
        <f t="shared" si="19"/>
        <v>16369.215944491129</v>
      </c>
      <c r="J129" s="32">
        <f t="shared" si="19"/>
        <v>15997.188309389057</v>
      </c>
      <c r="K129" s="95"/>
      <c r="L129" s="50"/>
      <c r="M129" s="15"/>
    </row>
    <row r="130" spans="1:13">
      <c r="A130" s="50">
        <v>5</v>
      </c>
      <c r="B130" s="50"/>
      <c r="C130" s="50" t="s">
        <v>252</v>
      </c>
      <c r="D130" s="50"/>
      <c r="E130" s="32">
        <f t="shared" si="19"/>
        <v>0</v>
      </c>
      <c r="F130" s="32">
        <f t="shared" si="19"/>
        <v>0</v>
      </c>
      <c r="G130" s="32">
        <f t="shared" si="19"/>
        <v>0</v>
      </c>
      <c r="H130" s="32">
        <f t="shared" si="19"/>
        <v>0</v>
      </c>
      <c r="I130" s="32">
        <f t="shared" si="19"/>
        <v>20639.536135610404</v>
      </c>
      <c r="J130" s="32">
        <f t="shared" si="19"/>
        <v>20180.879777041286</v>
      </c>
      <c r="K130" s="95"/>
      <c r="L130" s="50"/>
      <c r="M130" s="15"/>
    </row>
    <row r="131" spans="1:13">
      <c r="A131" s="50">
        <v>6</v>
      </c>
      <c r="B131" s="50"/>
      <c r="C131" s="50" t="s">
        <v>253</v>
      </c>
      <c r="D131" s="50"/>
      <c r="E131" s="32">
        <f t="shared" si="19"/>
        <v>0</v>
      </c>
      <c r="F131" s="32">
        <f t="shared" si="19"/>
        <v>0</v>
      </c>
      <c r="G131" s="32">
        <f t="shared" si="19"/>
        <v>0</v>
      </c>
      <c r="H131" s="32">
        <f t="shared" si="19"/>
        <v>0</v>
      </c>
      <c r="I131" s="32">
        <f t="shared" si="19"/>
        <v>0</v>
      </c>
      <c r="J131" s="32">
        <f t="shared" si="19"/>
        <v>19592.357033894728</v>
      </c>
      <c r="K131" s="95"/>
      <c r="L131" s="50"/>
      <c r="M131" s="15"/>
    </row>
    <row r="132" spans="1:13">
      <c r="A132" s="50"/>
      <c r="B132" s="50"/>
      <c r="C132" s="50" t="s">
        <v>62</v>
      </c>
      <c r="D132" s="50"/>
      <c r="E132" s="32">
        <f t="shared" ref="E132:J132" si="20">SUM(E120:E125)</f>
        <v>0</v>
      </c>
      <c r="F132" s="32">
        <f t="shared" si="20"/>
        <v>283.62222222222221</v>
      </c>
      <c r="G132" s="32">
        <f t="shared" si="20"/>
        <v>729.01966789511584</v>
      </c>
      <c r="H132" s="32">
        <f t="shared" si="20"/>
        <v>1185.9550853560386</v>
      </c>
      <c r="I132" s="32">
        <f t="shared" si="20"/>
        <v>1557.9827204581097</v>
      </c>
      <c r="J132" s="32">
        <f t="shared" si="20"/>
        <v>2016.6390790272299</v>
      </c>
      <c r="K132" s="95"/>
      <c r="L132" s="27"/>
      <c r="M132" s="15"/>
    </row>
    <row r="133" spans="1:13" s="15" customFormat="1">
      <c r="A133" s="50"/>
      <c r="B133" s="50"/>
      <c r="C133" s="50"/>
      <c r="D133" s="50"/>
      <c r="E133" s="32"/>
      <c r="F133" s="32"/>
      <c r="G133" s="32"/>
      <c r="H133" s="32"/>
      <c r="I133" s="32"/>
      <c r="J133" s="32"/>
      <c r="K133" s="95"/>
      <c r="L133" s="50"/>
    </row>
    <row r="134" spans="1:13" ht="15.75">
      <c r="A134" s="50"/>
      <c r="B134" s="50"/>
      <c r="C134" s="162" t="s">
        <v>63</v>
      </c>
      <c r="D134" s="50"/>
      <c r="E134" s="50"/>
      <c r="F134" s="50"/>
      <c r="G134" s="50"/>
      <c r="H134" s="50"/>
      <c r="I134" s="50"/>
      <c r="J134" s="50"/>
      <c r="K134" s="95"/>
      <c r="L134" s="50"/>
      <c r="M134" s="15"/>
    </row>
    <row r="135" spans="1:13">
      <c r="A135" s="50"/>
      <c r="B135" s="50"/>
      <c r="C135" s="50" t="s">
        <v>65</v>
      </c>
      <c r="D135" s="50"/>
      <c r="E135" s="129">
        <f>E59</f>
        <v>278174.86</v>
      </c>
      <c r="F135" s="32">
        <f>E140</f>
        <v>269936.86</v>
      </c>
      <c r="G135" s="32">
        <f>F140</f>
        <v>261691.68598736913</v>
      </c>
      <c r="H135" s="32">
        <f>G140</f>
        <v>253453.09549160584</v>
      </c>
      <c r="I135" s="32">
        <f>H140</f>
        <v>245220.50680742966</v>
      </c>
      <c r="J135" s="32">
        <f>I140</f>
        <v>236994.65453852733</v>
      </c>
      <c r="K135" s="95"/>
      <c r="L135" s="50"/>
      <c r="M135" s="15"/>
    </row>
    <row r="136" spans="1:13">
      <c r="A136" s="50"/>
      <c r="B136" s="50"/>
      <c r="C136" s="50" t="s">
        <v>40</v>
      </c>
      <c r="D136" s="50"/>
      <c r="E136" s="32">
        <f t="shared" ref="E136:J136" si="21">E56</f>
        <v>452</v>
      </c>
      <c r="F136" s="32">
        <f t="shared" si="21"/>
        <v>472.1896080218778</v>
      </c>
      <c r="G136" s="32">
        <f t="shared" si="21"/>
        <v>479.60619872379215</v>
      </c>
      <c r="H136" s="32">
        <f t="shared" si="21"/>
        <v>488.25888787602548</v>
      </c>
      <c r="I136" s="32">
        <f t="shared" si="21"/>
        <v>496.91157702825888</v>
      </c>
      <c r="J136" s="32">
        <f t="shared" si="21"/>
        <v>508.44849589790329</v>
      </c>
      <c r="K136" s="95"/>
      <c r="L136" s="50"/>
      <c r="M136" s="15"/>
    </row>
    <row r="137" spans="1:13">
      <c r="A137" s="50"/>
      <c r="B137" s="50"/>
      <c r="C137" s="50" t="s">
        <v>312</v>
      </c>
      <c r="D137" s="50"/>
      <c r="E137" s="32">
        <f>Aur!E12</f>
        <v>0</v>
      </c>
      <c r="F137" s="32"/>
      <c r="G137" s="32"/>
      <c r="H137" s="32"/>
      <c r="I137" s="32"/>
      <c r="J137" s="32"/>
      <c r="K137" s="95"/>
      <c r="L137" s="50"/>
      <c r="M137" s="15"/>
    </row>
    <row r="138" spans="1:13">
      <c r="A138" s="50"/>
      <c r="B138" s="50"/>
      <c r="C138" s="50" t="s">
        <v>313</v>
      </c>
      <c r="D138" s="50"/>
      <c r="E138" s="32">
        <f>Aur!E13</f>
        <v>0</v>
      </c>
      <c r="F138" s="32"/>
      <c r="G138" s="32"/>
      <c r="H138" s="32"/>
      <c r="I138" s="32"/>
      <c r="J138" s="32"/>
      <c r="K138" s="95"/>
      <c r="L138" s="50"/>
      <c r="M138" s="15"/>
    </row>
    <row r="139" spans="1:13">
      <c r="A139" s="50"/>
      <c r="B139" s="50"/>
      <c r="C139" s="50" t="s">
        <v>64</v>
      </c>
      <c r="D139" s="50"/>
      <c r="E139" s="32">
        <f t="shared" ref="E139:J139" si="22">E135/E$54</f>
        <v>7785.9999999999991</v>
      </c>
      <c r="F139" s="32">
        <f t="shared" si="22"/>
        <v>7772.9844046089756</v>
      </c>
      <c r="G139" s="32">
        <f t="shared" si="22"/>
        <v>7758.9842970394757</v>
      </c>
      <c r="H139" s="32">
        <f t="shared" si="22"/>
        <v>7744.3297963001469</v>
      </c>
      <c r="I139" s="32">
        <f t="shared" si="22"/>
        <v>7728.9406918740724</v>
      </c>
      <c r="J139" s="32">
        <f t="shared" si="22"/>
        <v>7712.7691697826813</v>
      </c>
      <c r="K139" s="95"/>
      <c r="L139" s="50"/>
      <c r="M139" s="15"/>
    </row>
    <row r="140" spans="1:13">
      <c r="A140" s="50"/>
      <c r="B140" s="50"/>
      <c r="C140" s="50" t="s">
        <v>61</v>
      </c>
      <c r="D140" s="50"/>
      <c r="E140" s="129">
        <f>E135-E136-E137+E138-E139</f>
        <v>269936.86</v>
      </c>
      <c r="F140" s="32">
        <f>F135-F136-F139</f>
        <v>261691.68598736913</v>
      </c>
      <c r="G140" s="32">
        <f>G135-G136-G139</f>
        <v>253453.09549160584</v>
      </c>
      <c r="H140" s="32">
        <f>H135-H136-H139</f>
        <v>245220.50680742966</v>
      </c>
      <c r="I140" s="32">
        <f>I135-I136-I139</f>
        <v>236994.65453852733</v>
      </c>
      <c r="J140" s="32">
        <f>J135-J136-J139</f>
        <v>228773.43687284674</v>
      </c>
      <c r="K140" s="95"/>
      <c r="L140" s="50"/>
      <c r="M140" s="15"/>
    </row>
    <row r="141" spans="1:13">
      <c r="A141" s="50"/>
      <c r="B141" s="50"/>
      <c r="C141" s="50"/>
      <c r="D141" s="50"/>
      <c r="E141" s="32"/>
      <c r="F141" s="32"/>
      <c r="G141" s="32"/>
      <c r="H141" s="32"/>
      <c r="I141" s="32"/>
      <c r="J141" s="32"/>
      <c r="K141" s="95"/>
      <c r="L141" s="27"/>
      <c r="M141" s="15"/>
    </row>
    <row r="142" spans="1:13" ht="15.75">
      <c r="A142" s="50"/>
      <c r="B142" s="50"/>
      <c r="C142" s="162" t="s">
        <v>66</v>
      </c>
      <c r="D142" s="50"/>
      <c r="E142" s="50"/>
      <c r="F142" s="50"/>
      <c r="G142" s="50"/>
      <c r="H142" s="50"/>
      <c r="I142" s="50"/>
      <c r="J142" s="50"/>
      <c r="K142" s="95"/>
      <c r="L142" s="27"/>
      <c r="M142" s="15"/>
    </row>
    <row r="143" spans="1:13">
      <c r="A143" s="50"/>
      <c r="B143" s="50"/>
      <c r="C143" s="50" t="s">
        <v>155</v>
      </c>
      <c r="D143" s="50"/>
      <c r="E143" s="32">
        <f t="shared" ref="E143:J143" si="23">E59+E100</f>
        <v>278174.86</v>
      </c>
      <c r="F143" s="32">
        <f t="shared" si="23"/>
        <v>287481.30009316257</v>
      </c>
      <c r="G143" s="32">
        <f t="shared" si="23"/>
        <v>304538.54650097474</v>
      </c>
      <c r="H143" s="32">
        <f t="shared" si="23"/>
        <v>323222.80663137906</v>
      </c>
      <c r="I143" s="32">
        <f t="shared" si="23"/>
        <v>337403.55693060142</v>
      </c>
      <c r="J143" s="32">
        <f t="shared" si="23"/>
        <v>354732.33268903277</v>
      </c>
      <c r="K143" s="95"/>
      <c r="L143" s="27"/>
      <c r="M143" s="15"/>
    </row>
    <row r="144" spans="1:13">
      <c r="A144" s="50"/>
      <c r="B144" s="50"/>
      <c r="C144" s="50" t="s">
        <v>154</v>
      </c>
      <c r="D144" s="50"/>
      <c r="E144" s="32">
        <f t="shared" ref="E144:J146" si="24">E63+E101</f>
        <v>4781.4400931625914</v>
      </c>
      <c r="F144" s="32">
        <f t="shared" si="24"/>
        <v>5680.8418564978574</v>
      </c>
      <c r="G144" s="32">
        <f t="shared" si="24"/>
        <v>7394.1436222189659</v>
      </c>
      <c r="H144" s="32">
        <f t="shared" si="24"/>
        <v>7382.266778958081</v>
      </c>
      <c r="I144" s="32">
        <f t="shared" si="24"/>
        <v>7219.7795125072262</v>
      </c>
      <c r="J144" s="32">
        <f t="shared" si="24"/>
        <v>7079.1967908496481</v>
      </c>
      <c r="K144" s="95"/>
      <c r="L144" s="50"/>
      <c r="M144" s="15"/>
    </row>
    <row r="145" spans="1:13">
      <c r="A145" s="50"/>
      <c r="B145" s="50"/>
      <c r="C145" s="50" t="s">
        <v>153</v>
      </c>
      <c r="D145" s="50"/>
      <c r="E145" s="32">
        <f t="shared" si="24"/>
        <v>7786</v>
      </c>
      <c r="F145" s="32">
        <f t="shared" si="24"/>
        <v>8194.2908959440738</v>
      </c>
      <c r="G145" s="32">
        <f t="shared" si="24"/>
        <v>8792.3710788323642</v>
      </c>
      <c r="H145" s="32">
        <f t="shared" si="24"/>
        <v>9454.501171452921</v>
      </c>
      <c r="I145" s="32">
        <f t="shared" si="24"/>
        <v>10033.628312658046</v>
      </c>
      <c r="J145" s="32">
        <f t="shared" si="24"/>
        <v>10697.458280430905</v>
      </c>
      <c r="K145" s="95"/>
      <c r="L145" s="50"/>
      <c r="M145" s="15"/>
    </row>
    <row r="146" spans="1:13">
      <c r="A146" s="50"/>
      <c r="B146" s="50"/>
      <c r="C146" s="50" t="s">
        <v>156</v>
      </c>
      <c r="D146" s="50"/>
      <c r="E146" s="32">
        <f t="shared" si="24"/>
        <v>287481.30009316257</v>
      </c>
      <c r="F146" s="32">
        <f t="shared" si="24"/>
        <v>304538.54650097474</v>
      </c>
      <c r="G146" s="32">
        <f t="shared" si="24"/>
        <v>323222.80663137906</v>
      </c>
      <c r="H146" s="32">
        <f t="shared" si="24"/>
        <v>337403.55693060142</v>
      </c>
      <c r="I146" s="32">
        <f t="shared" si="24"/>
        <v>354732.33268903277</v>
      </c>
      <c r="J146" s="32">
        <f t="shared" si="24"/>
        <v>370197.97973744827</v>
      </c>
      <c r="K146" s="95"/>
      <c r="L146" s="50"/>
      <c r="M146" s="15"/>
    </row>
    <row r="147" spans="1:13">
      <c r="A147" s="50"/>
      <c r="B147" s="50"/>
      <c r="C147" s="50" t="s">
        <v>45</v>
      </c>
      <c r="D147" s="50"/>
      <c r="E147" s="32">
        <f t="shared" ref="E147:J147" si="25">E132+E139</f>
        <v>7785.9999999999991</v>
      </c>
      <c r="F147" s="32">
        <f t="shared" si="25"/>
        <v>8056.6066268311979</v>
      </c>
      <c r="G147" s="32">
        <f t="shared" si="25"/>
        <v>8488.0039649345908</v>
      </c>
      <c r="H147" s="32">
        <f t="shared" si="25"/>
        <v>8930.2848816561855</v>
      </c>
      <c r="I147" s="32">
        <f t="shared" si="25"/>
        <v>9286.9234123321821</v>
      </c>
      <c r="J147" s="32">
        <f t="shared" si="25"/>
        <v>9729.408248809912</v>
      </c>
      <c r="K147" s="95"/>
      <c r="L147" s="50"/>
      <c r="M147" s="15"/>
    </row>
    <row r="148" spans="1:13">
      <c r="A148" s="50"/>
      <c r="B148" s="50"/>
      <c r="C148" s="50" t="s">
        <v>178</v>
      </c>
      <c r="D148" s="50"/>
      <c r="E148" s="128"/>
      <c r="F148" s="165">
        <f>F143+F107+F144-F145-F56-F146</f>
        <v>0</v>
      </c>
      <c r="G148" s="165">
        <f>G143+G107+G144-G145-G56-G146</f>
        <v>0</v>
      </c>
      <c r="H148" s="165">
        <f>H143+H107+H144-H145-H56-H146</f>
        <v>0</v>
      </c>
      <c r="I148" s="165">
        <f>I143+I107+I144-I145-I56-I146</f>
        <v>0</v>
      </c>
      <c r="J148" s="165">
        <f>J143+J107+J144-J145-J56-J146</f>
        <v>0</v>
      </c>
      <c r="K148" s="95"/>
      <c r="L148" s="50"/>
      <c r="M148" s="15"/>
    </row>
    <row r="149" spans="1:13">
      <c r="A149" s="50"/>
      <c r="B149" s="50"/>
      <c r="C149" s="50"/>
      <c r="D149" s="50"/>
      <c r="E149" s="50"/>
      <c r="F149" s="32"/>
      <c r="G149" s="32"/>
      <c r="H149" s="50"/>
      <c r="I149" s="50"/>
      <c r="J149" s="50"/>
      <c r="K149" s="95"/>
      <c r="L149" s="50"/>
      <c r="M149" s="15"/>
    </row>
    <row r="150" spans="1:13" ht="15.75">
      <c r="A150" s="50"/>
      <c r="B150" s="50"/>
      <c r="C150" s="162" t="s">
        <v>90</v>
      </c>
      <c r="D150" s="50"/>
      <c r="E150" s="50"/>
      <c r="F150" s="50"/>
      <c r="G150" s="50"/>
      <c r="H150" s="50"/>
      <c r="I150" s="50"/>
      <c r="J150" s="50"/>
      <c r="K150" s="95"/>
      <c r="L150" s="50"/>
      <c r="M150" s="15"/>
    </row>
    <row r="151" spans="1:13" ht="15.75">
      <c r="A151" s="50"/>
      <c r="B151" s="50"/>
      <c r="C151" s="158" t="s">
        <v>160</v>
      </c>
      <c r="D151" s="50"/>
      <c r="E151" s="129"/>
      <c r="F151" s="166">
        <f>F143/$E143</f>
        <v>1.0334553600320409</v>
      </c>
      <c r="G151" s="166">
        <f>G143/$E143</f>
        <v>1.0947737926460168</v>
      </c>
      <c r="H151" s="166">
        <f>H143/$E143</f>
        <v>1.1619411136986968</v>
      </c>
      <c r="I151" s="166">
        <f>I143/$E143</f>
        <v>1.2129189421740032</v>
      </c>
      <c r="J151" s="166">
        <f>J143/$E143</f>
        <v>1.2752134851044152</v>
      </c>
      <c r="K151" s="95"/>
      <c r="L151" s="50"/>
      <c r="M151" s="15"/>
    </row>
    <row r="152" spans="1:13">
      <c r="A152" s="50"/>
      <c r="B152" s="50"/>
      <c r="C152" s="50" t="s">
        <v>90</v>
      </c>
      <c r="D152" s="50"/>
      <c r="E152" s="129">
        <f>IF(E20&gt;0,E20,0)</f>
        <v>10</v>
      </c>
      <c r="F152" s="32">
        <f>$E152*F151</f>
        <v>10.334553600320408</v>
      </c>
      <c r="G152" s="32">
        <f>$E152*G151</f>
        <v>10.947737926460167</v>
      </c>
      <c r="H152" s="32">
        <f>$E152*H151</f>
        <v>11.619411136986969</v>
      </c>
      <c r="I152" s="32">
        <f>$E152*I151</f>
        <v>12.129189421740032</v>
      </c>
      <c r="J152" s="32">
        <f>$E152*J151</f>
        <v>12.752134851044152</v>
      </c>
      <c r="K152" s="95"/>
      <c r="L152" s="50"/>
      <c r="M152" s="15"/>
    </row>
    <row r="153" spans="1:13">
      <c r="A153" s="50"/>
      <c r="B153" s="50"/>
      <c r="C153" s="50"/>
      <c r="D153" s="50"/>
      <c r="E153" s="50"/>
      <c r="F153" s="50"/>
      <c r="G153" s="50"/>
      <c r="H153" s="50"/>
      <c r="I153" s="50"/>
      <c r="J153" s="50"/>
      <c r="K153" s="95"/>
      <c r="L153" s="50"/>
      <c r="M153" s="15"/>
    </row>
    <row r="154" spans="1:13" ht="15.75">
      <c r="A154" s="50"/>
      <c r="B154" s="50"/>
      <c r="C154" s="162" t="s">
        <v>46</v>
      </c>
      <c r="D154" s="50"/>
      <c r="E154" s="50"/>
      <c r="F154" s="50"/>
      <c r="G154" s="50"/>
      <c r="H154" s="50"/>
      <c r="I154" s="50"/>
      <c r="J154" s="50"/>
      <c r="K154" s="95"/>
      <c r="L154" s="27"/>
      <c r="M154" s="15"/>
    </row>
    <row r="155" spans="1:13">
      <c r="A155" s="50"/>
      <c r="B155" s="50"/>
      <c r="C155" s="50" t="s">
        <v>157</v>
      </c>
      <c r="D155" s="49">
        <f>E17/E18</f>
        <v>9.1377868623989597E-2</v>
      </c>
      <c r="E155" s="50"/>
      <c r="F155" s="50"/>
      <c r="G155" s="50"/>
      <c r="H155" s="50"/>
      <c r="I155" s="50"/>
      <c r="J155" s="50"/>
      <c r="K155" s="95"/>
      <c r="L155" s="125"/>
      <c r="M155" s="15"/>
    </row>
    <row r="156" spans="1:13">
      <c r="A156" s="50"/>
      <c r="B156" s="50"/>
      <c r="C156" s="50" t="s">
        <v>167</v>
      </c>
      <c r="D156" s="50"/>
      <c r="E156" s="129">
        <f>E18</f>
        <v>150682</v>
      </c>
      <c r="F156" s="32">
        <f>E159</f>
        <v>149676</v>
      </c>
      <c r="G156" s="32">
        <f>F159</f>
        <v>156041.81119111594</v>
      </c>
      <c r="H156" s="32">
        <f>G159</f>
        <v>162345.13685398627</v>
      </c>
      <c r="I156" s="32">
        <f>H159</f>
        <v>164251.62784639231</v>
      </c>
      <c r="J156" s="32">
        <f>I159</f>
        <v>169882.20031137863</v>
      </c>
      <c r="K156" s="95"/>
      <c r="L156" s="125"/>
      <c r="M156" s="15"/>
    </row>
    <row r="157" spans="1:13">
      <c r="A157" s="50"/>
      <c r="B157" s="50"/>
      <c r="C157" s="50" t="s">
        <v>34</v>
      </c>
      <c r="D157" s="50"/>
      <c r="E157" s="129">
        <f>E17</f>
        <v>13769</v>
      </c>
      <c r="F157" s="32">
        <f>F156*$D155</f>
        <v>13677.073864164267</v>
      </c>
      <c r="G157" s="32">
        <f>G156*$D155</f>
        <v>14258.768122871181</v>
      </c>
      <c r="H157" s="32">
        <f>H156*$D155</f>
        <v>14834.752587187169</v>
      </c>
      <c r="I157" s="32">
        <f>I156*$D155</f>
        <v>15008.963670624067</v>
      </c>
      <c r="J157" s="32">
        <f>J156*$D155</f>
        <v>15523.473381607442</v>
      </c>
      <c r="K157" s="95"/>
      <c r="L157" s="50"/>
      <c r="M157" s="15"/>
    </row>
    <row r="158" spans="1:13">
      <c r="A158" s="50"/>
      <c r="B158" s="50"/>
      <c r="C158" s="50" t="s">
        <v>98</v>
      </c>
      <c r="D158" s="50"/>
      <c r="E158" s="32">
        <f t="shared" ref="E158:J158" si="26">E29</f>
        <v>12763</v>
      </c>
      <c r="F158" s="32">
        <f t="shared" si="26"/>
        <v>20042.885055280214</v>
      </c>
      <c r="G158" s="32">
        <f t="shared" si="26"/>
        <v>20562.093785741519</v>
      </c>
      <c r="H158" s="32">
        <f t="shared" si="26"/>
        <v>16741.2435795932</v>
      </c>
      <c r="I158" s="32">
        <f t="shared" si="26"/>
        <v>20639.536135610404</v>
      </c>
      <c r="J158" s="32">
        <f t="shared" si="26"/>
        <v>19592.357033894728</v>
      </c>
      <c r="K158" s="95"/>
      <c r="L158" s="125"/>
      <c r="M158" s="15"/>
    </row>
    <row r="159" spans="1:13">
      <c r="A159" s="50"/>
      <c r="B159" s="50"/>
      <c r="C159" s="50" t="s">
        <v>127</v>
      </c>
      <c r="D159" s="50"/>
      <c r="E159" s="32">
        <f t="shared" ref="E159:J159" si="27">E156-E157+E158</f>
        <v>149676</v>
      </c>
      <c r="F159" s="32">
        <f t="shared" si="27"/>
        <v>156041.81119111594</v>
      </c>
      <c r="G159" s="32">
        <f t="shared" si="27"/>
        <v>162345.13685398627</v>
      </c>
      <c r="H159" s="32">
        <f t="shared" si="27"/>
        <v>164251.62784639231</v>
      </c>
      <c r="I159" s="32">
        <f t="shared" si="27"/>
        <v>169882.20031137863</v>
      </c>
      <c r="J159" s="32">
        <f t="shared" si="27"/>
        <v>173951.08396366591</v>
      </c>
      <c r="K159" s="95"/>
      <c r="L159" s="125"/>
      <c r="M159" s="15"/>
    </row>
    <row r="160" spans="1:13">
      <c r="A160" s="50"/>
      <c r="B160" s="50"/>
      <c r="C160" s="50"/>
      <c r="D160" s="50"/>
      <c r="E160" s="50"/>
      <c r="F160" s="50"/>
      <c r="G160" s="50"/>
      <c r="H160" s="50"/>
      <c r="I160" s="50"/>
      <c r="J160" s="50"/>
      <c r="K160" s="95"/>
      <c r="L160" s="27"/>
      <c r="M160" s="15"/>
    </row>
    <row r="161" spans="1:13" ht="15.75">
      <c r="A161" s="50"/>
      <c r="B161" s="50"/>
      <c r="C161" s="162" t="s">
        <v>128</v>
      </c>
      <c r="D161" s="50"/>
      <c r="E161" s="50"/>
      <c r="F161" s="50"/>
      <c r="G161" s="50"/>
      <c r="H161" s="50"/>
      <c r="I161" s="50"/>
      <c r="J161" s="50"/>
      <c r="K161" s="95"/>
      <c r="L161" s="27"/>
      <c r="M161" s="15"/>
    </row>
    <row r="162" spans="1:13">
      <c r="A162" s="50"/>
      <c r="B162" s="50"/>
      <c r="C162" s="50" t="s">
        <v>126</v>
      </c>
      <c r="D162" s="50"/>
      <c r="E162" s="32">
        <f t="shared" ref="E162:J162" si="28">E147-E157</f>
        <v>-5983.0000000000009</v>
      </c>
      <c r="F162" s="32">
        <f t="shared" si="28"/>
        <v>-5620.4672373330695</v>
      </c>
      <c r="G162" s="32">
        <f t="shared" si="28"/>
        <v>-5770.76415793659</v>
      </c>
      <c r="H162" s="32">
        <f t="shared" si="28"/>
        <v>-5904.4677055309839</v>
      </c>
      <c r="I162" s="32">
        <f t="shared" si="28"/>
        <v>-5722.040258291885</v>
      </c>
      <c r="J162" s="32">
        <f t="shared" si="28"/>
        <v>-5794.0651327975302</v>
      </c>
      <c r="K162" s="95"/>
      <c r="L162" s="50"/>
      <c r="M162" s="15"/>
    </row>
    <row r="163" spans="1:13">
      <c r="A163" s="50"/>
      <c r="B163" s="50"/>
      <c r="C163" s="50"/>
      <c r="D163" s="50"/>
      <c r="E163" s="50"/>
      <c r="F163" s="50"/>
      <c r="G163" s="50"/>
      <c r="H163" s="50"/>
      <c r="I163" s="50"/>
      <c r="J163" s="50"/>
      <c r="K163" s="95"/>
      <c r="L163" s="50"/>
      <c r="M163" s="15"/>
    </row>
    <row r="164" spans="1:13" ht="15.75">
      <c r="A164" s="50"/>
      <c r="B164" s="50"/>
      <c r="C164" s="162" t="s">
        <v>47</v>
      </c>
      <c r="D164" s="50"/>
      <c r="E164" s="50"/>
      <c r="F164" s="50"/>
      <c r="G164" s="50"/>
      <c r="H164" s="50"/>
      <c r="I164" s="50"/>
      <c r="J164" s="50"/>
      <c r="K164" s="95"/>
      <c r="L164" s="50"/>
      <c r="M164" s="15"/>
    </row>
    <row r="165" spans="1:13">
      <c r="A165" s="50"/>
      <c r="B165" s="50"/>
      <c r="C165" s="50" t="s">
        <v>151</v>
      </c>
      <c r="D165" s="50"/>
      <c r="E165" s="193">
        <v>0</v>
      </c>
      <c r="F165" s="31">
        <f>E168</f>
        <v>-3212.0121896998889</v>
      </c>
      <c r="G165" s="31">
        <f>F168</f>
        <v>-6315.2645505996989</v>
      </c>
      <c r="H165" s="31">
        <f>G168</f>
        <v>-9253.7165585418406</v>
      </c>
      <c r="I165" s="31">
        <f>H168</f>
        <v>-12229.605559810414</v>
      </c>
      <c r="J165" s="31">
        <f>I168</f>
        <v>-15154.414875852039</v>
      </c>
      <c r="K165" s="95"/>
      <c r="L165" s="50"/>
      <c r="M165" s="15"/>
    </row>
    <row r="166" spans="1:13">
      <c r="A166" s="50"/>
      <c r="B166" s="50"/>
      <c r="C166" s="50" t="s">
        <v>126</v>
      </c>
      <c r="D166" s="50"/>
      <c r="E166" s="32">
        <f t="shared" ref="E166:J166" si="29">E162</f>
        <v>-5983.0000000000009</v>
      </c>
      <c r="F166" s="32">
        <f t="shared" si="29"/>
        <v>-5620.4672373330695</v>
      </c>
      <c r="G166" s="32">
        <f t="shared" si="29"/>
        <v>-5770.76415793659</v>
      </c>
      <c r="H166" s="32">
        <f t="shared" si="29"/>
        <v>-5904.4677055309839</v>
      </c>
      <c r="I166" s="32">
        <f t="shared" si="29"/>
        <v>-5722.040258291885</v>
      </c>
      <c r="J166" s="32">
        <f t="shared" si="29"/>
        <v>-5794.0651327975302</v>
      </c>
      <c r="K166" s="95"/>
      <c r="L166" s="50"/>
      <c r="M166" s="15"/>
    </row>
    <row r="167" spans="1:13">
      <c r="A167" s="50"/>
      <c r="B167" s="50"/>
      <c r="C167" s="50" t="s">
        <v>48</v>
      </c>
      <c r="D167" s="50"/>
      <c r="E167" s="129">
        <f>(E11-E18)/E19</f>
        <v>4723.7072989996295</v>
      </c>
      <c r="F167" s="32">
        <f>E167</f>
        <v>4723.7072989996295</v>
      </c>
      <c r="G167" s="32">
        <f>F167</f>
        <v>4723.7072989996295</v>
      </c>
      <c r="H167" s="32">
        <f>G167</f>
        <v>4723.7072989996295</v>
      </c>
      <c r="I167" s="32">
        <f>H167</f>
        <v>4723.7072989996295</v>
      </c>
      <c r="J167" s="32">
        <f>I167</f>
        <v>4723.7072989996295</v>
      </c>
      <c r="K167" s="95"/>
      <c r="L167" s="50"/>
      <c r="M167" s="15"/>
    </row>
    <row r="168" spans="1:13">
      <c r="A168" s="50"/>
      <c r="B168" s="50"/>
      <c r="C168" s="50" t="s">
        <v>152</v>
      </c>
      <c r="D168" s="50"/>
      <c r="E168" s="31">
        <f t="shared" ref="E168:J168" si="30">E165+(E166-E167)*E53</f>
        <v>-3212.0121896998889</v>
      </c>
      <c r="F168" s="31">
        <f t="shared" si="30"/>
        <v>-6315.2645505996989</v>
      </c>
      <c r="G168" s="31">
        <f t="shared" si="30"/>
        <v>-9253.7165585418406</v>
      </c>
      <c r="H168" s="31">
        <f t="shared" si="30"/>
        <v>-12229.605559810414</v>
      </c>
      <c r="I168" s="31">
        <f t="shared" si="30"/>
        <v>-15154.414875852039</v>
      </c>
      <c r="J168" s="31">
        <f t="shared" si="30"/>
        <v>-18099.391156755242</v>
      </c>
      <c r="K168" s="95"/>
      <c r="L168" s="50"/>
      <c r="M168" s="15"/>
    </row>
    <row r="169" spans="1:13">
      <c r="A169" s="50"/>
      <c r="B169" s="50"/>
      <c r="C169" s="50"/>
      <c r="D169" s="50"/>
      <c r="E169" s="31"/>
      <c r="F169" s="31"/>
      <c r="G169" s="31"/>
      <c r="H169" s="31"/>
      <c r="I169" s="31"/>
      <c r="J169" s="31"/>
      <c r="K169" s="95"/>
      <c r="L169" s="27"/>
      <c r="M169" s="15"/>
    </row>
    <row r="170" spans="1:13" ht="15.75">
      <c r="A170" s="50"/>
      <c r="B170" s="50"/>
      <c r="C170" s="162" t="s">
        <v>196</v>
      </c>
      <c r="D170" s="50"/>
      <c r="E170" s="50"/>
      <c r="F170" s="50"/>
      <c r="G170" s="50"/>
      <c r="H170" s="50"/>
      <c r="I170" s="50"/>
      <c r="J170" s="50"/>
      <c r="K170" s="95"/>
      <c r="L170" s="27"/>
      <c r="M170" s="15"/>
    </row>
    <row r="171" spans="1:13">
      <c r="A171" s="50"/>
      <c r="B171" s="50"/>
      <c r="C171" s="50" t="s">
        <v>106</v>
      </c>
      <c r="D171" s="50"/>
      <c r="E171" s="32">
        <f t="shared" ref="E171:J171" si="31">E143+E165</f>
        <v>278174.86</v>
      </c>
      <c r="F171" s="32">
        <f t="shared" si="31"/>
        <v>284269.28790346271</v>
      </c>
      <c r="G171" s="32">
        <f t="shared" si="31"/>
        <v>298223.28195037507</v>
      </c>
      <c r="H171" s="32">
        <f t="shared" si="31"/>
        <v>313969.09007283719</v>
      </c>
      <c r="I171" s="32">
        <f t="shared" si="31"/>
        <v>325173.95137079101</v>
      </c>
      <c r="J171" s="32">
        <f t="shared" si="31"/>
        <v>339577.91781318071</v>
      </c>
      <c r="K171" s="95"/>
      <c r="L171" s="50"/>
      <c r="M171" s="15"/>
    </row>
    <row r="172" spans="1:13">
      <c r="A172" s="50"/>
      <c r="B172" s="50"/>
      <c r="C172" s="50" t="s">
        <v>98</v>
      </c>
      <c r="D172" s="50"/>
      <c r="E172" s="32">
        <f t="shared" ref="E172:J172" si="32">E29</f>
        <v>12763</v>
      </c>
      <c r="F172" s="32">
        <f t="shared" si="32"/>
        <v>20042.885055280214</v>
      </c>
      <c r="G172" s="32">
        <f t="shared" si="32"/>
        <v>20562.093785741519</v>
      </c>
      <c r="H172" s="32">
        <f t="shared" si="32"/>
        <v>16741.2435795932</v>
      </c>
      <c r="I172" s="32">
        <f t="shared" si="32"/>
        <v>20639.536135610404</v>
      </c>
      <c r="J172" s="32">
        <f t="shared" si="32"/>
        <v>19592.357033894728</v>
      </c>
      <c r="K172" s="95"/>
      <c r="L172" s="50"/>
      <c r="M172" s="15"/>
    </row>
    <row r="173" spans="1:13">
      <c r="A173" s="50"/>
      <c r="B173" s="50"/>
      <c r="C173" s="50" t="s">
        <v>111</v>
      </c>
      <c r="D173" s="50"/>
      <c r="E173" s="96">
        <f t="shared" ref="E173:J173" si="33">E152</f>
        <v>10</v>
      </c>
      <c r="F173" s="96">
        <f t="shared" si="33"/>
        <v>10.334553600320408</v>
      </c>
      <c r="G173" s="96">
        <f t="shared" si="33"/>
        <v>10.947737926460167</v>
      </c>
      <c r="H173" s="96">
        <f t="shared" si="33"/>
        <v>11.619411136986969</v>
      </c>
      <c r="I173" s="96">
        <f t="shared" si="33"/>
        <v>12.129189421740032</v>
      </c>
      <c r="J173" s="96">
        <f t="shared" si="33"/>
        <v>12.752134851044152</v>
      </c>
      <c r="K173" s="95"/>
      <c r="L173" s="50"/>
      <c r="M173" s="15"/>
    </row>
    <row r="174" spans="1:13">
      <c r="A174" s="50"/>
      <c r="B174" s="50"/>
      <c r="C174" s="50" t="s">
        <v>44</v>
      </c>
      <c r="D174" s="50"/>
      <c r="E174" s="96">
        <f t="shared" ref="E174:J174" si="34">E144</f>
        <v>4781.4400931625914</v>
      </c>
      <c r="F174" s="96">
        <f t="shared" si="34"/>
        <v>5680.8418564978574</v>
      </c>
      <c r="G174" s="96">
        <f t="shared" si="34"/>
        <v>7394.1436222189659</v>
      </c>
      <c r="H174" s="96">
        <f t="shared" si="34"/>
        <v>7382.266778958081</v>
      </c>
      <c r="I174" s="96">
        <f t="shared" si="34"/>
        <v>7219.7795125072262</v>
      </c>
      <c r="J174" s="96">
        <f t="shared" si="34"/>
        <v>7079.1967908496481</v>
      </c>
      <c r="K174" s="95"/>
      <c r="L174" s="50"/>
      <c r="M174" s="15"/>
    </row>
    <row r="175" spans="1:13">
      <c r="A175" s="50"/>
      <c r="B175" s="50"/>
      <c r="C175" s="50" t="s">
        <v>196</v>
      </c>
      <c r="D175" s="50"/>
      <c r="E175" s="32">
        <f t="shared" ref="E175:J175" si="35">E171*WACC+E172*($D$48-1)+E173-E174</f>
        <v>20170.859686064177</v>
      </c>
      <c r="F175" s="32">
        <f t="shared" si="35"/>
        <v>20117.914575608174</v>
      </c>
      <c r="G175" s="32">
        <f t="shared" si="35"/>
        <v>19651.217805710963</v>
      </c>
      <c r="H175" s="32">
        <f t="shared" si="35"/>
        <v>20881.108926747325</v>
      </c>
      <c r="I175" s="32">
        <f t="shared" si="35"/>
        <v>22193.652263930948</v>
      </c>
      <c r="J175" s="32">
        <f t="shared" si="35"/>
        <v>23553.25764837379</v>
      </c>
      <c r="K175" s="95"/>
      <c r="L175" s="50"/>
      <c r="M175" s="15"/>
    </row>
    <row r="176" spans="1:13">
      <c r="A176" s="50"/>
      <c r="B176" s="50"/>
      <c r="C176" s="50"/>
      <c r="D176" s="50"/>
      <c r="E176" s="31"/>
      <c r="F176" s="31"/>
      <c r="G176" s="31"/>
      <c r="H176" s="31"/>
      <c r="I176" s="31"/>
      <c r="J176" s="31"/>
      <c r="K176" s="95"/>
      <c r="L176" s="27"/>
      <c r="M176" s="15"/>
    </row>
    <row r="177" spans="1:13" ht="15.75">
      <c r="A177" s="50"/>
      <c r="B177" s="50"/>
      <c r="C177" s="162" t="s">
        <v>49</v>
      </c>
      <c r="D177" s="50"/>
      <c r="E177" s="50"/>
      <c r="F177" s="50"/>
      <c r="G177" s="50"/>
      <c r="H177" s="50"/>
      <c r="I177" s="50"/>
      <c r="J177" s="50"/>
      <c r="K177" s="95"/>
      <c r="L177" s="27"/>
      <c r="M177" s="15"/>
    </row>
    <row r="178" spans="1:13">
      <c r="A178" s="50"/>
      <c r="B178" s="50"/>
      <c r="C178" s="50" t="s">
        <v>50</v>
      </c>
      <c r="D178" s="50"/>
      <c r="E178" s="31">
        <f t="shared" ref="E178:J178" si="36">E171*Leverage*Debt+E152</f>
        <v>9716.0772151199999</v>
      </c>
      <c r="F178" s="31">
        <f t="shared" si="36"/>
        <v>9929.058547127941</v>
      </c>
      <c r="G178" s="31">
        <f t="shared" si="36"/>
        <v>10416.554491738947</v>
      </c>
      <c r="H178" s="31">
        <f t="shared" si="36"/>
        <v>10966.628901958422</v>
      </c>
      <c r="I178" s="31">
        <f t="shared" si="36"/>
        <v>11358.098700651379</v>
      </c>
      <c r="J178" s="31">
        <f t="shared" si="36"/>
        <v>11861.304843188544</v>
      </c>
      <c r="K178" s="95"/>
      <c r="L178" s="50"/>
      <c r="M178" s="15"/>
    </row>
    <row r="179" spans="1:13">
      <c r="A179" s="50"/>
      <c r="B179" s="50"/>
      <c r="C179" s="50" t="s">
        <v>51</v>
      </c>
      <c r="D179" s="50"/>
      <c r="E179" s="31">
        <f t="shared" ref="E179:J179" si="37">E145-E147</f>
        <v>0</v>
      </c>
      <c r="F179" s="31">
        <f t="shared" si="37"/>
        <v>137.68426911287588</v>
      </c>
      <c r="G179" s="31">
        <f t="shared" si="37"/>
        <v>304.36711389777338</v>
      </c>
      <c r="H179" s="31">
        <f t="shared" si="37"/>
        <v>524.21628979673551</v>
      </c>
      <c r="I179" s="31">
        <f t="shared" si="37"/>
        <v>746.70490032586349</v>
      </c>
      <c r="J179" s="31">
        <f t="shared" si="37"/>
        <v>968.05003162099274</v>
      </c>
      <c r="K179" s="95"/>
      <c r="L179" s="50"/>
      <c r="M179" s="15"/>
    </row>
    <row r="180" spans="1:13">
      <c r="A180" s="50"/>
      <c r="B180" s="50"/>
      <c r="C180" s="50" t="s">
        <v>52</v>
      </c>
      <c r="D180" s="50"/>
      <c r="E180" s="31">
        <f t="shared" ref="E180:J180" si="38">E167+E179-E178</f>
        <v>-4992.3699161203704</v>
      </c>
      <c r="F180" s="31">
        <f t="shared" si="38"/>
        <v>-5067.6669790154356</v>
      </c>
      <c r="G180" s="31">
        <f t="shared" si="38"/>
        <v>-5388.4800788415441</v>
      </c>
      <c r="H180" s="31">
        <f t="shared" si="38"/>
        <v>-5718.7053131620569</v>
      </c>
      <c r="I180" s="31">
        <f t="shared" si="38"/>
        <v>-5887.6865013258857</v>
      </c>
      <c r="J180" s="31">
        <f t="shared" si="38"/>
        <v>-6169.5475125679213</v>
      </c>
      <c r="K180" s="95"/>
      <c r="L180" s="50"/>
      <c r="M180" s="15"/>
    </row>
    <row r="181" spans="1:13">
      <c r="A181" s="50"/>
      <c r="B181" s="50"/>
      <c r="C181" s="50"/>
      <c r="D181" s="50"/>
      <c r="E181" s="50"/>
      <c r="F181" s="167"/>
      <c r="G181" s="32"/>
      <c r="H181" s="32"/>
      <c r="I181" s="32"/>
      <c r="J181" s="32"/>
      <c r="K181" s="95"/>
      <c r="L181" s="50"/>
      <c r="M181" s="15"/>
    </row>
    <row r="182" spans="1:13" ht="15.75">
      <c r="A182" s="50"/>
      <c r="B182" s="50"/>
      <c r="C182" s="162" t="s">
        <v>107</v>
      </c>
      <c r="D182" s="50"/>
      <c r="E182" s="50"/>
      <c r="F182" s="167"/>
      <c r="G182" s="32"/>
      <c r="H182" s="32"/>
      <c r="I182" s="32"/>
      <c r="J182" s="32"/>
      <c r="K182" s="95"/>
      <c r="L182" s="27"/>
      <c r="M182" s="15"/>
    </row>
    <row r="183" spans="1:13">
      <c r="A183" s="50"/>
      <c r="B183" s="50"/>
      <c r="C183" s="50" t="s">
        <v>153</v>
      </c>
      <c r="D183" s="50"/>
      <c r="E183" s="32">
        <f t="shared" ref="E183:J183" si="39">E145</f>
        <v>7786</v>
      </c>
      <c r="F183" s="32">
        <f t="shared" si="39"/>
        <v>8194.2908959440738</v>
      </c>
      <c r="G183" s="32">
        <f t="shared" si="39"/>
        <v>8792.3710788323642</v>
      </c>
      <c r="H183" s="32">
        <f t="shared" si="39"/>
        <v>9454.501171452921</v>
      </c>
      <c r="I183" s="32">
        <f t="shared" si="39"/>
        <v>10033.628312658046</v>
      </c>
      <c r="J183" s="32">
        <f t="shared" si="39"/>
        <v>10697.458280430905</v>
      </c>
      <c r="K183" s="95"/>
      <c r="L183" s="50"/>
      <c r="M183" s="15"/>
    </row>
    <row r="184" spans="1:13">
      <c r="A184" s="50"/>
      <c r="B184" s="50"/>
      <c r="C184" s="50" t="s">
        <v>107</v>
      </c>
      <c r="D184" s="50"/>
      <c r="E184" s="96">
        <f t="shared" ref="E184:J184" si="40">E183</f>
        <v>7786</v>
      </c>
      <c r="F184" s="96">
        <f t="shared" si="40"/>
        <v>8194.2908959440738</v>
      </c>
      <c r="G184" s="96">
        <f t="shared" si="40"/>
        <v>8792.3710788323642</v>
      </c>
      <c r="H184" s="96">
        <f t="shared" si="40"/>
        <v>9454.501171452921</v>
      </c>
      <c r="I184" s="96">
        <f t="shared" si="40"/>
        <v>10033.628312658046</v>
      </c>
      <c r="J184" s="96">
        <f t="shared" si="40"/>
        <v>10697.458280430905</v>
      </c>
      <c r="K184" s="95"/>
      <c r="L184" s="50"/>
      <c r="M184" s="15"/>
    </row>
    <row r="185" spans="1:13">
      <c r="A185" s="50"/>
      <c r="B185" s="50"/>
      <c r="C185" s="50"/>
      <c r="D185" s="50"/>
      <c r="E185" s="50"/>
      <c r="F185" s="96"/>
      <c r="G185" s="96"/>
      <c r="H185" s="96"/>
      <c r="I185" s="96"/>
      <c r="J185" s="96"/>
      <c r="K185" s="95"/>
      <c r="L185" s="50"/>
      <c r="M185" s="15"/>
    </row>
    <row r="186" spans="1:13" ht="15.75">
      <c r="A186" s="50"/>
      <c r="B186" s="50"/>
      <c r="C186" s="121" t="s">
        <v>122</v>
      </c>
      <c r="D186" s="50"/>
      <c r="E186" s="50"/>
      <c r="F186" s="96"/>
      <c r="G186" s="96"/>
      <c r="H186" s="96"/>
      <c r="I186" s="96"/>
      <c r="J186" s="96"/>
      <c r="K186" s="95"/>
      <c r="L186" s="27"/>
      <c r="M186" s="15"/>
    </row>
    <row r="187" spans="1:13">
      <c r="A187" s="50"/>
      <c r="B187" s="50"/>
      <c r="C187" s="50" t="s">
        <v>122</v>
      </c>
      <c r="D187" s="50"/>
      <c r="E187" s="32">
        <f t="shared" ref="E187:J187" si="41">E43</f>
        <v>601.36555605184185</v>
      </c>
      <c r="F187" s="32">
        <f t="shared" si="41"/>
        <v>628.22691634950843</v>
      </c>
      <c r="G187" s="32">
        <f t="shared" si="41"/>
        <v>638.09435482620233</v>
      </c>
      <c r="H187" s="32">
        <f t="shared" si="41"/>
        <v>649.60636638234507</v>
      </c>
      <c r="I187" s="32">
        <f t="shared" si="41"/>
        <v>661.11837793848792</v>
      </c>
      <c r="J187" s="32">
        <f t="shared" si="41"/>
        <v>676.46772668001165</v>
      </c>
      <c r="K187" s="95"/>
      <c r="L187" s="125"/>
      <c r="M187" s="15"/>
    </row>
    <row r="188" spans="1:13">
      <c r="A188" s="50"/>
      <c r="B188" s="50"/>
      <c r="C188" s="50"/>
      <c r="D188" s="50"/>
      <c r="E188" s="50"/>
      <c r="F188" s="96"/>
      <c r="G188" s="96"/>
      <c r="H188" s="96"/>
      <c r="I188" s="96"/>
      <c r="J188" s="96"/>
      <c r="K188" s="95"/>
      <c r="L188" s="27"/>
      <c r="M188" s="15"/>
    </row>
    <row r="189" spans="1:13" ht="15.75">
      <c r="A189" s="50"/>
      <c r="B189" s="50"/>
      <c r="C189" s="162" t="s">
        <v>179</v>
      </c>
      <c r="D189" s="50"/>
      <c r="E189" s="32">
        <f t="shared" ref="E189:J189" si="42">E28</f>
        <v>19106</v>
      </c>
      <c r="F189" s="32">
        <f t="shared" si="42"/>
        <v>19723.18480848724</v>
      </c>
      <c r="G189" s="32">
        <f t="shared" si="42"/>
        <v>20459.940283811731</v>
      </c>
      <c r="H189" s="32">
        <f t="shared" si="42"/>
        <v>20999.832123125721</v>
      </c>
      <c r="I189" s="32">
        <f t="shared" si="42"/>
        <v>21633.688811439235</v>
      </c>
      <c r="J189" s="32">
        <f t="shared" si="42"/>
        <v>22330.603459196944</v>
      </c>
      <c r="K189" s="95"/>
      <c r="L189" s="125"/>
      <c r="M189" s="15"/>
    </row>
    <row r="190" spans="1:13">
      <c r="A190" s="50"/>
      <c r="B190" s="50"/>
      <c r="C190" s="50" t="s">
        <v>180</v>
      </c>
      <c r="D190" s="50"/>
      <c r="E190" s="32">
        <f t="shared" ref="E190:J190" si="43">E189*$D$46</f>
        <v>19923.898709580404</v>
      </c>
      <c r="F190" s="32">
        <f t="shared" si="43"/>
        <v>20567.504258067347</v>
      </c>
      <c r="G190" s="32">
        <f t="shared" si="43"/>
        <v>21335.799111207405</v>
      </c>
      <c r="H190" s="32">
        <f t="shared" si="43"/>
        <v>21898.802896438276</v>
      </c>
      <c r="I190" s="32">
        <f t="shared" si="43"/>
        <v>22559.794022490223</v>
      </c>
      <c r="J190" s="32">
        <f t="shared" si="43"/>
        <v>23286.542523021337</v>
      </c>
      <c r="K190" s="95"/>
      <c r="L190" s="125"/>
      <c r="M190" s="15"/>
    </row>
    <row r="191" spans="1:13">
      <c r="A191" s="50"/>
      <c r="B191" s="50"/>
      <c r="C191" s="50"/>
      <c r="D191" s="50"/>
      <c r="E191" s="50"/>
      <c r="F191" s="96"/>
      <c r="G191" s="32"/>
      <c r="H191" s="32"/>
      <c r="I191" s="32"/>
      <c r="J191" s="32"/>
      <c r="K191" s="95"/>
      <c r="L191" s="27"/>
      <c r="M191" s="15"/>
    </row>
    <row r="192" spans="1:13" ht="15.75">
      <c r="A192" s="50"/>
      <c r="B192" s="50"/>
      <c r="C192" s="162" t="s">
        <v>229</v>
      </c>
      <c r="D192" s="50"/>
      <c r="E192" s="50"/>
      <c r="F192" s="50"/>
      <c r="G192" s="50"/>
      <c r="H192" s="50"/>
      <c r="I192" s="50"/>
      <c r="J192" s="50"/>
      <c r="K192" s="95"/>
      <c r="L192" s="125"/>
      <c r="M192" s="15"/>
    </row>
    <row r="193" spans="1:15">
      <c r="A193" s="50"/>
      <c r="B193" s="50"/>
      <c r="C193" s="50" t="s">
        <v>169</v>
      </c>
      <c r="D193" s="50"/>
      <c r="E193" s="31">
        <f t="shared" ref="E193:J193" si="44">E168-E165</f>
        <v>-3212.0121896998889</v>
      </c>
      <c r="F193" s="31">
        <f t="shared" si="44"/>
        <v>-3103.2523608998099</v>
      </c>
      <c r="G193" s="31">
        <f t="shared" si="44"/>
        <v>-2938.4520079421418</v>
      </c>
      <c r="H193" s="31">
        <f t="shared" si="44"/>
        <v>-2975.8890012685733</v>
      </c>
      <c r="I193" s="31">
        <f t="shared" si="44"/>
        <v>-2924.8093160416247</v>
      </c>
      <c r="J193" s="31">
        <f t="shared" si="44"/>
        <v>-2944.9762809032036</v>
      </c>
      <c r="K193" s="95"/>
      <c r="L193" s="125"/>
      <c r="M193" s="15"/>
    </row>
    <row r="194" spans="1:15">
      <c r="A194" s="50"/>
      <c r="B194" s="50"/>
      <c r="C194" s="50" t="s">
        <v>170</v>
      </c>
      <c r="D194" s="50"/>
      <c r="E194" s="50"/>
      <c r="F194" s="31">
        <f>(F175+F184+F190+((F187-F189-F145-F152+F180)*F53+F193)*$D47-F193-F187*$D49)/($D50-F53*$D47)</f>
        <v>52596.585896171266</v>
      </c>
      <c r="G194" s="31">
        <f>(G175+G184+G190+((G187-G189-G145-G152+G180)*G53+G193)*$D47-G193-G187*$D49)/($D50-G53*$D47)</f>
        <v>52588.254078219652</v>
      </c>
      <c r="H194" s="31">
        <f>(H175+H184+H190+((H187-H189-H145-H152+H180)*H53+H193)*$D47-H193-H187*$D49)/($D50-H53*$D47)</f>
        <v>55277.387922242371</v>
      </c>
      <c r="I194" s="31">
        <f>(I175+I184+I190+((I187-I189-I145-I152+I180)*I53+I193)*$D47-I193-I187*$D49)/($D50-I53*$D47)</f>
        <v>58162.234469167219</v>
      </c>
      <c r="J194" s="31">
        <f>(J175+J184+J190+((J187-J189-J145-J152+J180)*J53+J193)*$D47-J193-J187*$D49)/($D50-J53*$D47)</f>
        <v>61202.53603583997</v>
      </c>
      <c r="K194" s="95"/>
      <c r="L194" s="125"/>
      <c r="M194" s="15"/>
    </row>
    <row r="195" spans="1:15">
      <c r="A195" s="50"/>
      <c r="B195" s="50"/>
      <c r="C195" s="50" t="s">
        <v>177</v>
      </c>
      <c r="D195" s="50"/>
      <c r="E195" s="50"/>
      <c r="F195" s="31">
        <f>(F194+F187-F189-F183-F152+F180)*F53</f>
        <v>6068.800672642109</v>
      </c>
      <c r="G195" s="31">
        <f>(G194+G187-G189-G183-G152+G180)*G53</f>
        <v>5200.8905910174499</v>
      </c>
      <c r="H195" s="31">
        <f>(H194+H187-H189-H183-H152+H180)*H53</f>
        <v>5527.8541555291686</v>
      </c>
      <c r="I195" s="31">
        <f>(I194+I187-I189-I183-I152+I180)*I53</f>
        <v>5951.7416090330244</v>
      </c>
      <c r="J195" s="31">
        <f>(J194+J187-J189-J183-J152+J180)*J53</f>
        <v>6347.2198651324879</v>
      </c>
      <c r="K195" s="95"/>
      <c r="L195" s="125"/>
      <c r="M195" s="15"/>
    </row>
    <row r="196" spans="1:15">
      <c r="A196" s="50"/>
      <c r="B196" s="50"/>
      <c r="C196" s="50" t="s">
        <v>162</v>
      </c>
      <c r="D196" s="50"/>
      <c r="E196" s="50"/>
      <c r="F196" s="31">
        <f>IF(F195&lt;0,#N/A,F195)</f>
        <v>6068.800672642109</v>
      </c>
      <c r="G196" s="31">
        <f>IF(G195&lt;0,#N/A,G195)</f>
        <v>5200.8905910174499</v>
      </c>
      <c r="H196" s="31">
        <f>IF(H195&lt;0,#N/A,H195)</f>
        <v>5527.8541555291686</v>
      </c>
      <c r="I196" s="31">
        <f>IF(I195&lt;0,#N/A,I195)</f>
        <v>5951.7416090330244</v>
      </c>
      <c r="J196" s="31">
        <f>IF(J195&lt;0,#N/A,J195)</f>
        <v>6347.2198651324879</v>
      </c>
      <c r="K196" s="95"/>
      <c r="L196" s="50"/>
      <c r="M196" s="15"/>
    </row>
    <row r="197" spans="1:15">
      <c r="A197" s="50"/>
      <c r="B197" s="50"/>
      <c r="C197" s="50" t="s">
        <v>171</v>
      </c>
      <c r="D197" s="50"/>
      <c r="E197" s="50"/>
      <c r="F197" s="31">
        <f>F175+F184+F190+(F196+F193)*$D$47-F193-F187*$D$49</f>
        <v>54420.340648749334</v>
      </c>
      <c r="G197" s="31">
        <f>G175+G184+G190+(G196+G193)*$D$47-G193-G187*$D$49</f>
        <v>54411.719930057719</v>
      </c>
      <c r="H197" s="31">
        <f>H175+H184+H190+(H196+H193)*$D$47-H193-H187*$D$49</f>
        <v>57194.097861026239</v>
      </c>
      <c r="I197" s="31">
        <f>I175+I184+I190+(I196+I193)*$D$47-I193-I187*$D$49</f>
        <v>60178.974714305921</v>
      </c>
      <c r="J197" s="31">
        <f>J175+J184+J190+(J196+J193)*$D$47-J193-J187*$D$49</f>
        <v>63324.696895967558</v>
      </c>
      <c r="K197" s="95"/>
      <c r="L197" s="27"/>
      <c r="M197" s="15"/>
    </row>
    <row r="198" spans="1:15">
      <c r="A198" s="50"/>
      <c r="B198" s="50"/>
      <c r="C198" s="50" t="s">
        <v>172</v>
      </c>
      <c r="D198" s="50"/>
      <c r="E198" s="50"/>
      <c r="F198" s="31">
        <f>F197/$D$50</f>
        <v>52596.585896171266</v>
      </c>
      <c r="G198" s="31">
        <f>G197/$D$50</f>
        <v>52588.254078219652</v>
      </c>
      <c r="H198" s="31">
        <f>H197/$D$50</f>
        <v>55277.387922242371</v>
      </c>
      <c r="I198" s="31">
        <f>I197/$D$50</f>
        <v>58162.234469167212</v>
      </c>
      <c r="J198" s="31">
        <f>J197/$D$50</f>
        <v>61202.53603583997</v>
      </c>
      <c r="K198" s="95"/>
      <c r="L198" s="50"/>
      <c r="M198" s="15"/>
    </row>
    <row r="199" spans="1:15">
      <c r="A199" s="50"/>
      <c r="B199" s="50"/>
      <c r="C199" s="50" t="s">
        <v>173</v>
      </c>
      <c r="D199" s="50"/>
      <c r="E199" s="50"/>
      <c r="F199" s="31">
        <f>F194-F198</f>
        <v>0</v>
      </c>
      <c r="G199" s="31">
        <f>G194-G198</f>
        <v>0</v>
      </c>
      <c r="H199" s="31">
        <f>H194-H198</f>
        <v>0</v>
      </c>
      <c r="I199" s="31">
        <f>I194-I198</f>
        <v>0</v>
      </c>
      <c r="J199" s="31">
        <f>J194-J198</f>
        <v>0</v>
      </c>
      <c r="K199" s="95"/>
      <c r="L199" s="27"/>
      <c r="M199" s="15"/>
    </row>
    <row r="200" spans="1:15">
      <c r="A200" s="50"/>
      <c r="B200" s="50"/>
      <c r="C200" s="50"/>
      <c r="D200" s="50"/>
      <c r="E200" s="50"/>
      <c r="F200" s="50"/>
      <c r="G200" s="50"/>
      <c r="H200" s="50"/>
      <c r="I200" s="50"/>
      <c r="J200" s="50"/>
      <c r="K200" s="50"/>
      <c r="L200" s="50"/>
      <c r="M200" s="15"/>
    </row>
    <row r="201" spans="1:15" ht="15.75">
      <c r="A201" s="50"/>
      <c r="B201" s="50"/>
      <c r="C201" s="162" t="s">
        <v>174</v>
      </c>
      <c r="D201" s="50"/>
      <c r="E201" s="50"/>
      <c r="F201" s="31"/>
      <c r="G201" s="31"/>
      <c r="H201" s="31"/>
      <c r="I201" s="31"/>
      <c r="J201" s="50"/>
      <c r="K201" s="95"/>
      <c r="L201" s="27"/>
      <c r="M201" s="15"/>
    </row>
    <row r="202" spans="1:15">
      <c r="A202" s="50"/>
      <c r="B202" s="50"/>
      <c r="C202" s="95" t="s">
        <v>103</v>
      </c>
      <c r="D202" s="50"/>
      <c r="E202" s="50"/>
      <c r="F202" s="31"/>
      <c r="G202" s="31"/>
      <c r="H202" s="31"/>
      <c r="I202" s="31"/>
      <c r="J202" s="50"/>
      <c r="K202" s="95"/>
      <c r="L202" s="50"/>
      <c r="M202" s="15"/>
      <c r="O202" s="8"/>
    </row>
    <row r="203" spans="1:15">
      <c r="A203" s="50"/>
      <c r="B203" s="50"/>
      <c r="C203" s="50" t="s">
        <v>175</v>
      </c>
      <c r="D203" s="50"/>
      <c r="E203" s="50"/>
      <c r="F203" s="50"/>
      <c r="G203" s="50"/>
      <c r="H203" s="31">
        <v>1</v>
      </c>
      <c r="I203" s="31">
        <v>2</v>
      </c>
      <c r="J203" s="31">
        <v>3</v>
      </c>
      <c r="K203" s="95"/>
      <c r="L203" s="27"/>
      <c r="M203" s="15"/>
    </row>
    <row r="204" spans="1:15">
      <c r="A204" s="50"/>
      <c r="B204" s="50" t="s">
        <v>135</v>
      </c>
      <c r="C204" s="50" t="s">
        <v>136</v>
      </c>
      <c r="D204" s="50"/>
      <c r="E204" s="50"/>
      <c r="F204" s="31"/>
      <c r="G204" s="31"/>
      <c r="H204" s="31">
        <f>H197</f>
        <v>57194.097861026239</v>
      </c>
      <c r="I204" s="31">
        <f>I197</f>
        <v>60178.974714305921</v>
      </c>
      <c r="J204" s="31">
        <f>J197</f>
        <v>63324.696895967558</v>
      </c>
      <c r="K204" s="95"/>
      <c r="L204" s="50"/>
      <c r="M204" s="15"/>
    </row>
    <row r="205" spans="1:15">
      <c r="A205" s="50"/>
      <c r="B205" s="50" t="s">
        <v>135</v>
      </c>
      <c r="C205" s="50" t="s">
        <v>137</v>
      </c>
      <c r="D205" s="50"/>
      <c r="E205" s="50"/>
      <c r="F205" s="31"/>
      <c r="G205" s="31"/>
      <c r="H205" s="31">
        <f>H204/(1+WACC)^H$203</f>
        <v>52582.603531328714</v>
      </c>
      <c r="I205" s="31">
        <f>I204/(1+WACC)^I$203</f>
        <v>50865.875882076638</v>
      </c>
      <c r="J205" s="31">
        <f>J204/(1+WACC)^J$203</f>
        <v>49209.135346680545</v>
      </c>
      <c r="K205" s="95"/>
      <c r="L205" s="50"/>
      <c r="M205" s="15"/>
    </row>
    <row r="206" spans="1:15">
      <c r="A206" s="50"/>
      <c r="B206" s="50" t="s">
        <v>135</v>
      </c>
      <c r="C206" s="50" t="s">
        <v>101</v>
      </c>
      <c r="D206" s="31">
        <f>SUM(H205:J205)</f>
        <v>152657.61476008588</v>
      </c>
      <c r="E206" s="50"/>
      <c r="F206" s="31"/>
      <c r="G206" s="31"/>
      <c r="H206" s="31"/>
      <c r="I206" s="31"/>
      <c r="J206" s="31"/>
      <c r="K206" s="95"/>
      <c r="L206" s="50"/>
      <c r="M206" s="15"/>
    </row>
    <row r="207" spans="1:15">
      <c r="A207" s="50"/>
      <c r="B207" s="50"/>
      <c r="C207" s="50"/>
      <c r="D207" s="50"/>
      <c r="E207" s="50"/>
      <c r="F207" s="123"/>
      <c r="G207" s="50"/>
      <c r="H207" s="50"/>
      <c r="I207" s="50"/>
      <c r="J207" s="50"/>
      <c r="K207" s="95"/>
      <c r="L207" s="50"/>
      <c r="M207" s="15"/>
    </row>
    <row r="208" spans="1:15" ht="21">
      <c r="A208" s="50"/>
      <c r="B208" s="50"/>
      <c r="C208" s="155" t="s">
        <v>104</v>
      </c>
      <c r="D208" s="50"/>
      <c r="E208" s="50"/>
      <c r="F208" s="123"/>
      <c r="G208" s="50"/>
      <c r="H208" s="50"/>
      <c r="I208" s="50"/>
      <c r="J208" s="50"/>
      <c r="K208" s="95"/>
      <c r="L208" s="50"/>
      <c r="M208" s="15"/>
    </row>
    <row r="209" spans="1:13" ht="15.75">
      <c r="A209" s="50"/>
      <c r="B209" s="50"/>
      <c r="C209" s="50"/>
      <c r="D209" s="50"/>
      <c r="E209" s="162" t="str">
        <f>Inputs!D$11</f>
        <v>2009/10</v>
      </c>
      <c r="F209" s="168" t="str">
        <f>Inputs!E$11</f>
        <v>2010/11</v>
      </c>
      <c r="G209" s="162" t="str">
        <f>Inputs!F$11</f>
        <v>2011/12</v>
      </c>
      <c r="H209" s="162" t="str">
        <f>Inputs!G$11</f>
        <v>2012/13</v>
      </c>
      <c r="I209" s="162" t="str">
        <f>Inputs!H$11</f>
        <v>2013/14</v>
      </c>
      <c r="J209" s="162" t="str">
        <f>Inputs!I$11</f>
        <v>2014/15</v>
      </c>
      <c r="K209" s="95"/>
      <c r="L209" s="50"/>
      <c r="M209" s="15"/>
    </row>
    <row r="210" spans="1:13">
      <c r="A210" s="50"/>
      <c r="B210" s="50"/>
      <c r="C210" s="50" t="s">
        <v>53</v>
      </c>
      <c r="D210" s="32">
        <f>D206</f>
        <v>152657.61476008588</v>
      </c>
      <c r="E210" s="50"/>
      <c r="F210" s="169"/>
      <c r="G210" s="32"/>
      <c r="H210" s="32"/>
      <c r="I210" s="32"/>
      <c r="J210" s="32"/>
      <c r="K210" s="95"/>
      <c r="L210" s="50"/>
      <c r="M210" s="15"/>
    </row>
    <row r="211" spans="1:13">
      <c r="A211" s="50"/>
      <c r="B211" s="50"/>
      <c r="C211" s="50" t="s">
        <v>143</v>
      </c>
      <c r="D211" s="50"/>
      <c r="E211" s="50"/>
      <c r="F211" s="113"/>
      <c r="G211" s="113"/>
      <c r="H211" s="170">
        <v>1</v>
      </c>
      <c r="I211" s="113">
        <f>H211*(1+I$35)*(1+I$30)*(1-X_industry_wide)</f>
        <v>1.030386247482993</v>
      </c>
      <c r="J211" s="113">
        <f>I211*(1+J$35)*(1+J$30)*(1-X_industry_wide)</f>
        <v>1.060041326578586</v>
      </c>
      <c r="K211" s="95"/>
      <c r="L211" s="50" t="s">
        <v>290</v>
      </c>
    </row>
    <row r="212" spans="1:13">
      <c r="A212" s="50"/>
      <c r="B212" s="50"/>
      <c r="C212" s="50" t="s">
        <v>102</v>
      </c>
      <c r="D212" s="50"/>
      <c r="E212" s="50"/>
      <c r="F212" s="171"/>
      <c r="G212" s="113"/>
      <c r="H212" s="113">
        <f>H211/(1+WACC)^H$203</f>
        <v>0.91937115013330895</v>
      </c>
      <c r="I212" s="113">
        <f>I211/(1+WACC)^I$203</f>
        <v>0.8709270841500264</v>
      </c>
      <c r="J212" s="113">
        <f>J211/(1+WACC)^J$203</f>
        <v>0.82374996912148124</v>
      </c>
      <c r="K212" s="95"/>
      <c r="L212" s="50" t="s">
        <v>165</v>
      </c>
    </row>
    <row r="213" spans="1:13">
      <c r="A213" s="50"/>
      <c r="B213" s="50"/>
      <c r="C213" s="50" t="s">
        <v>91</v>
      </c>
      <c r="D213" s="113">
        <f>SUM(H212:J212)</f>
        <v>2.6140482034048165</v>
      </c>
      <c r="E213" s="50"/>
      <c r="F213" s="171"/>
      <c r="G213" s="113"/>
      <c r="H213" s="113"/>
      <c r="I213" s="113"/>
      <c r="J213" s="113"/>
      <c r="K213" s="95"/>
      <c r="L213" s="50" t="s">
        <v>279</v>
      </c>
    </row>
    <row r="214" spans="1:13">
      <c r="A214" s="50"/>
      <c r="B214" s="50"/>
      <c r="C214" s="50" t="s">
        <v>142</v>
      </c>
      <c r="D214" s="32">
        <f>D210/D213</f>
        <v>58398.928742495358</v>
      </c>
      <c r="E214" s="50"/>
      <c r="F214" s="171"/>
      <c r="G214" s="113"/>
      <c r="H214" s="31"/>
      <c r="I214" s="31"/>
      <c r="J214" s="31"/>
      <c r="K214" s="95"/>
      <c r="L214" s="31"/>
    </row>
    <row r="215" spans="1:13">
      <c r="A215" s="50"/>
      <c r="B215" s="50"/>
      <c r="C215" s="50" t="s">
        <v>138</v>
      </c>
      <c r="D215" s="32"/>
      <c r="E215" s="50"/>
      <c r="F215" s="171"/>
      <c r="G215" s="113"/>
      <c r="H215" s="31">
        <f>$D214*H211</f>
        <v>58398.928742495358</v>
      </c>
      <c r="I215" s="31">
        <f>$D214*I211</f>
        <v>60173.453044006499</v>
      </c>
      <c r="J215" s="31">
        <f>$D214*J211</f>
        <v>61905.277894963096</v>
      </c>
      <c r="K215" s="95"/>
      <c r="L215" s="50" t="s">
        <v>131</v>
      </c>
    </row>
    <row r="216" spans="1:13">
      <c r="A216" s="50"/>
      <c r="B216" s="50"/>
      <c r="C216" s="50" t="s">
        <v>139</v>
      </c>
      <c r="D216" s="32"/>
      <c r="E216" s="50"/>
      <c r="F216" s="171"/>
      <c r="G216" s="113"/>
      <c r="H216" s="54">
        <f>H215/$D$50</f>
        <v>56441.842061854717</v>
      </c>
      <c r="I216" s="54">
        <f>I215/$D$50</f>
        <v>58156.897843142244</v>
      </c>
      <c r="J216" s="54">
        <f>J215/$D$50</f>
        <v>59830.685133787512</v>
      </c>
      <c r="K216" s="95"/>
      <c r="L216" s="50" t="s">
        <v>133</v>
      </c>
    </row>
    <row r="217" spans="1:13">
      <c r="A217" s="50"/>
      <c r="B217" s="50"/>
      <c r="C217" s="50" t="s">
        <v>140</v>
      </c>
      <c r="D217" s="50"/>
      <c r="E217" s="50"/>
      <c r="F217" s="171"/>
      <c r="G217" s="113"/>
      <c r="H217" s="31">
        <f>H215/(1+WACC)^H$203</f>
        <v>53690.290284541108</v>
      </c>
      <c r="I217" s="31">
        <f>I215/(1+WACC)^I$203</f>
        <v>50861.208727186655</v>
      </c>
      <c r="J217" s="31">
        <f>J215/(1+WACC)^J$203</f>
        <v>48106.115748358134</v>
      </c>
      <c r="K217" s="95"/>
      <c r="L217" s="50" t="s">
        <v>181</v>
      </c>
    </row>
    <row r="218" spans="1:13">
      <c r="A218" s="50"/>
      <c r="B218" s="50"/>
      <c r="C218" s="50" t="s">
        <v>141</v>
      </c>
      <c r="D218" s="32">
        <f>SUM(H217:J217)</f>
        <v>152657.61476008588</v>
      </c>
      <c r="E218" s="50"/>
      <c r="F218" s="171"/>
      <c r="G218" s="113"/>
      <c r="H218" s="31"/>
      <c r="I218" s="31"/>
      <c r="J218" s="31"/>
      <c r="K218" s="95"/>
      <c r="L218" s="50" t="s">
        <v>134</v>
      </c>
      <c r="M218" s="15"/>
    </row>
    <row r="219" spans="1:13">
      <c r="A219" s="50"/>
      <c r="B219" s="50"/>
      <c r="C219" s="50" t="s">
        <v>132</v>
      </c>
      <c r="D219" s="172">
        <f>D210-D218</f>
        <v>0</v>
      </c>
      <c r="E219" s="50"/>
      <c r="F219" s="171"/>
      <c r="G219" s="113"/>
      <c r="H219" s="31"/>
      <c r="I219" s="31"/>
      <c r="J219" s="31"/>
      <c r="K219" s="95"/>
      <c r="L219" s="50"/>
      <c r="M219" s="15"/>
    </row>
    <row r="220" spans="1:13">
      <c r="A220" s="50"/>
      <c r="B220" s="50"/>
      <c r="C220" s="50" t="s">
        <v>202</v>
      </c>
      <c r="D220" s="32">
        <f>SUM(I217:J217)</f>
        <v>98967.324475544796</v>
      </c>
      <c r="E220" s="50"/>
      <c r="F220" s="171"/>
      <c r="G220" s="113"/>
      <c r="H220" s="31"/>
      <c r="I220" s="31"/>
      <c r="J220" s="31"/>
      <c r="K220" s="95"/>
      <c r="L220" s="27"/>
      <c r="M220" s="15"/>
    </row>
    <row r="221" spans="1:13">
      <c r="A221" s="50"/>
      <c r="B221" s="50"/>
      <c r="C221" s="50"/>
      <c r="D221" s="31"/>
      <c r="E221" s="50"/>
      <c r="F221" s="123"/>
      <c r="G221" s="50"/>
      <c r="H221" s="50"/>
      <c r="I221" s="50"/>
      <c r="J221" s="50"/>
      <c r="K221" s="95"/>
      <c r="L221" s="50"/>
      <c r="M221" s="15"/>
    </row>
    <row r="222" spans="1:13" ht="21">
      <c r="A222" s="50"/>
      <c r="B222" s="50"/>
      <c r="C222" s="155" t="s">
        <v>113</v>
      </c>
      <c r="D222" s="155"/>
      <c r="E222" s="155"/>
      <c r="F222" s="155"/>
      <c r="G222" s="155"/>
      <c r="H222" s="50"/>
      <c r="I222" s="50"/>
      <c r="J222" s="50"/>
      <c r="K222" s="173"/>
      <c r="L222" s="174"/>
      <c r="M222" s="53"/>
    </row>
    <row r="223" spans="1:13" ht="15.75">
      <c r="A223" s="50"/>
      <c r="B223" s="50"/>
      <c r="C223" s="50"/>
      <c r="D223" s="50"/>
      <c r="E223" s="162" t="str">
        <f>Inputs!D$11</f>
        <v>2009/10</v>
      </c>
      <c r="F223" s="168" t="str">
        <f>Inputs!E$11</f>
        <v>2010/11</v>
      </c>
      <c r="G223" s="162" t="str">
        <f>Inputs!F$11</f>
        <v>2011/12</v>
      </c>
      <c r="H223" s="162" t="str">
        <f>Inputs!G$11</f>
        <v>2012/13</v>
      </c>
      <c r="I223" s="162" t="str">
        <f>Inputs!H$11</f>
        <v>2013/14</v>
      </c>
      <c r="J223" s="162" t="str">
        <f>Inputs!I$11</f>
        <v>2014/15</v>
      </c>
      <c r="K223" s="95"/>
      <c r="L223" s="50"/>
      <c r="M223" s="15"/>
    </row>
    <row r="224" spans="1:13" ht="15.75">
      <c r="A224" s="50"/>
      <c r="B224" s="50"/>
      <c r="C224" s="175" t="s">
        <v>318</v>
      </c>
      <c r="D224" s="50"/>
      <c r="E224" s="162"/>
      <c r="F224" s="95"/>
      <c r="G224" s="95"/>
      <c r="H224" s="95"/>
      <c r="I224" s="95"/>
      <c r="J224" s="95"/>
      <c r="K224" s="95"/>
      <c r="L224" s="50"/>
      <c r="M224" s="15"/>
    </row>
    <row r="225" spans="1:13" ht="15.75">
      <c r="A225" s="50"/>
      <c r="B225" s="50"/>
      <c r="C225" s="175" t="s">
        <v>204</v>
      </c>
      <c r="D225" s="50"/>
      <c r="E225" s="162"/>
      <c r="F225" s="95"/>
      <c r="G225" s="95"/>
      <c r="H225" s="95"/>
      <c r="I225" s="95"/>
      <c r="J225" s="95"/>
      <c r="K225" s="95"/>
      <c r="L225" s="50"/>
      <c r="M225" s="15"/>
    </row>
    <row r="226" spans="1:13">
      <c r="A226" s="50"/>
      <c r="B226" s="50" t="s">
        <v>150</v>
      </c>
      <c r="C226" s="50" t="s">
        <v>203</v>
      </c>
      <c r="D226" s="32">
        <f>D220</f>
        <v>98967.324475544796</v>
      </c>
      <c r="E226" s="50"/>
      <c r="F226" s="169"/>
      <c r="G226" s="32"/>
      <c r="H226" s="32"/>
      <c r="I226" s="32"/>
      <c r="J226" s="32"/>
      <c r="K226" s="95"/>
      <c r="L226" s="50"/>
      <c r="M226" s="15"/>
    </row>
    <row r="227" spans="1:13">
      <c r="A227" s="32"/>
      <c r="B227" s="50" t="s">
        <v>150</v>
      </c>
      <c r="C227" s="50" t="s">
        <v>319</v>
      </c>
      <c r="D227" s="49">
        <f>IF(E26="IWX",X_industry_wide,E26)</f>
        <v>0</v>
      </c>
      <c r="E227" s="32"/>
      <c r="F227" s="49"/>
      <c r="G227" s="49"/>
      <c r="H227" s="49"/>
      <c r="I227" s="49"/>
      <c r="J227" s="49"/>
      <c r="K227" s="95"/>
      <c r="L227" s="50"/>
      <c r="M227" s="15"/>
    </row>
    <row r="228" spans="1:13">
      <c r="A228" s="50"/>
      <c r="B228" s="50" t="s">
        <v>150</v>
      </c>
      <c r="C228" s="50" t="s">
        <v>143</v>
      </c>
      <c r="D228" s="50"/>
      <c r="E228" s="50"/>
      <c r="F228" s="171"/>
      <c r="G228" s="113"/>
      <c r="H228" s="113"/>
      <c r="I228" s="113">
        <v>1</v>
      </c>
      <c r="J228" s="113">
        <f>I228*(1+J$35)*(1+J$30)*(1-D227)</f>
        <v>1.0287805462932309</v>
      </c>
      <c r="K228" s="95"/>
      <c r="L228" s="50" t="s">
        <v>278</v>
      </c>
    </row>
    <row r="229" spans="1:13">
      <c r="A229" s="50"/>
      <c r="B229" s="50" t="s">
        <v>150</v>
      </c>
      <c r="C229" s="50" t="s">
        <v>102</v>
      </c>
      <c r="D229" s="50"/>
      <c r="E229" s="50"/>
      <c r="F229" s="171"/>
      <c r="G229" s="113"/>
      <c r="H229" s="113"/>
      <c r="I229" s="113">
        <f>I228/(1+WACC)^I$203</f>
        <v>0.84524331169744327</v>
      </c>
      <c r="J229" s="113">
        <f>J228/(1+WACC)^J$203</f>
        <v>0.79945745698151649</v>
      </c>
      <c r="K229" s="95"/>
      <c r="L229" s="50" t="s">
        <v>165</v>
      </c>
    </row>
    <row r="230" spans="1:13">
      <c r="A230" s="50"/>
      <c r="B230" s="50" t="s">
        <v>150</v>
      </c>
      <c r="C230" s="50" t="s">
        <v>91</v>
      </c>
      <c r="D230" s="113">
        <f>SUM(I229:J229)</f>
        <v>1.6447007686789599</v>
      </c>
      <c r="E230" s="50"/>
      <c r="F230" s="171"/>
      <c r="G230" s="113"/>
      <c r="H230" s="113"/>
      <c r="I230" s="113"/>
      <c r="J230" s="113"/>
      <c r="K230" s="95"/>
      <c r="L230" s="50" t="s">
        <v>279</v>
      </c>
    </row>
    <row r="231" spans="1:13">
      <c r="A231" s="50"/>
      <c r="B231" s="50" t="s">
        <v>150</v>
      </c>
      <c r="C231" s="50" t="s">
        <v>142</v>
      </c>
      <c r="D231" s="32">
        <f>D226/D230</f>
        <v>60173.453044006506</v>
      </c>
      <c r="E231" s="50"/>
      <c r="F231" s="171"/>
      <c r="G231" s="113"/>
      <c r="H231" s="31"/>
      <c r="I231" s="31"/>
      <c r="J231" s="31"/>
      <c r="K231" s="95"/>
      <c r="L231" s="50"/>
    </row>
    <row r="232" spans="1:13">
      <c r="A232" s="50"/>
      <c r="B232" s="50" t="s">
        <v>150</v>
      </c>
      <c r="C232" s="50" t="s">
        <v>138</v>
      </c>
      <c r="D232" s="32"/>
      <c r="E232" s="50"/>
      <c r="F232" s="171"/>
      <c r="G232" s="113"/>
      <c r="H232" s="31">
        <f>H215</f>
        <v>58398.928742495358</v>
      </c>
      <c r="I232" s="31">
        <f>$D231*I228</f>
        <v>60173.453044006506</v>
      </c>
      <c r="J232" s="31">
        <f>$D231*J228</f>
        <v>61905.277894963088</v>
      </c>
      <c r="K232" s="95"/>
      <c r="L232" s="50" t="s">
        <v>131</v>
      </c>
    </row>
    <row r="233" spans="1:13">
      <c r="A233" s="50"/>
      <c r="B233" s="50" t="s">
        <v>150</v>
      </c>
      <c r="C233" s="50" t="s">
        <v>139</v>
      </c>
      <c r="D233" s="32"/>
      <c r="E233" s="50"/>
      <c r="F233" s="171"/>
      <c r="G233" s="113"/>
      <c r="H233" s="54">
        <f>H232/$D$50</f>
        <v>56441.842061854717</v>
      </c>
      <c r="I233" s="54">
        <f>I232/$D$50</f>
        <v>58156.897843142251</v>
      </c>
      <c r="J233" s="54">
        <f>J232/$D$50</f>
        <v>59830.685133787505</v>
      </c>
      <c r="K233" s="95"/>
      <c r="L233" s="50" t="s">
        <v>133</v>
      </c>
    </row>
    <row r="234" spans="1:13">
      <c r="A234" s="50"/>
      <c r="B234" s="50" t="s">
        <v>150</v>
      </c>
      <c r="C234" s="50" t="s">
        <v>209</v>
      </c>
      <c r="D234" s="50"/>
      <c r="E234" s="50"/>
      <c r="F234" s="171"/>
      <c r="G234" s="113"/>
      <c r="H234" s="31"/>
      <c r="I234" s="31">
        <f>I232/(1+WACC)^I$203</f>
        <v>50861.208727186662</v>
      </c>
      <c r="J234" s="31">
        <f>J232/(1+WACC)^J$203</f>
        <v>48106.115748358126</v>
      </c>
      <c r="K234" s="95"/>
      <c r="L234" s="50" t="s">
        <v>181</v>
      </c>
    </row>
    <row r="235" spans="1:13">
      <c r="A235" s="50"/>
      <c r="B235" s="50" t="s">
        <v>150</v>
      </c>
      <c r="C235" s="50" t="s">
        <v>390</v>
      </c>
      <c r="D235" s="32">
        <f>SUM(I234:J234)</f>
        <v>98967.324475544796</v>
      </c>
      <c r="E235" s="50"/>
      <c r="F235" s="50"/>
      <c r="G235" s="113"/>
      <c r="H235" s="31"/>
      <c r="I235" s="31"/>
      <c r="J235" s="31"/>
      <c r="K235" s="95"/>
      <c r="L235" s="50" t="s">
        <v>134</v>
      </c>
    </row>
    <row r="236" spans="1:13">
      <c r="A236" s="50"/>
      <c r="B236" s="50" t="s">
        <v>150</v>
      </c>
      <c r="C236" s="50" t="s">
        <v>132</v>
      </c>
      <c r="D236" s="172">
        <f>D226-D235</f>
        <v>0</v>
      </c>
      <c r="E236" s="50"/>
      <c r="F236" s="171"/>
      <c r="G236" s="113"/>
      <c r="H236" s="31"/>
      <c r="I236" s="31"/>
      <c r="J236" s="31"/>
      <c r="K236" s="95"/>
      <c r="L236" s="50"/>
      <c r="M236" s="15"/>
    </row>
    <row r="237" spans="1:13">
      <c r="A237" s="50"/>
      <c r="B237" s="119" t="s">
        <v>150</v>
      </c>
      <c r="C237" s="119" t="s">
        <v>190</v>
      </c>
      <c r="D237" s="119"/>
      <c r="E237" s="50"/>
      <c r="F237" s="176"/>
      <c r="G237" s="177"/>
      <c r="H237" s="178">
        <f>(H233+H187-H$189-H$183-H152+H$180)*H$53</f>
        <v>5853.9013146206253</v>
      </c>
      <c r="I237" s="178">
        <f>(I233+I187-I$189-I$183-I152+I$180)*I$53</f>
        <v>5950.2473537460337</v>
      </c>
      <c r="J237" s="178">
        <f>(J233+J187-J$189-J$183-J152+J$180)*J$53</f>
        <v>5963.101612557798</v>
      </c>
      <c r="K237" s="54"/>
      <c r="L237" s="50"/>
      <c r="M237" s="15"/>
    </row>
    <row r="238" spans="1:13">
      <c r="A238" s="50"/>
      <c r="B238" s="119"/>
      <c r="C238" s="119"/>
      <c r="D238" s="119"/>
      <c r="E238" s="178"/>
      <c r="F238" s="176"/>
      <c r="G238" s="177"/>
      <c r="H238" s="178"/>
      <c r="I238" s="178"/>
      <c r="J238" s="178"/>
      <c r="K238" s="95"/>
      <c r="L238" s="50"/>
      <c r="M238" s="15"/>
    </row>
    <row r="239" spans="1:13" ht="21">
      <c r="A239" s="50"/>
      <c r="B239" s="50"/>
      <c r="C239" s="155" t="s">
        <v>199</v>
      </c>
      <c r="D239" s="155"/>
      <c r="E239" s="155"/>
      <c r="F239" s="155"/>
      <c r="G239" s="155"/>
      <c r="H239" s="155"/>
      <c r="I239" s="155"/>
      <c r="J239" s="50"/>
      <c r="K239" s="50"/>
      <c r="L239" s="50"/>
      <c r="M239" s="15"/>
    </row>
    <row r="240" spans="1:13">
      <c r="A240" s="50"/>
      <c r="B240" s="50"/>
      <c r="C240" s="50" t="s">
        <v>197</v>
      </c>
      <c r="D240" s="179"/>
      <c r="E240" s="50"/>
      <c r="F240" s="31">
        <f>G240/((1+G35)*(1+G30)*(1-X_industry_wide))</f>
        <v>53674.003368541256</v>
      </c>
      <c r="G240" s="31">
        <f>H240/((1+H35)*(1+H30)*(1-X_industry_wide))</f>
        <v>54939.338697571678</v>
      </c>
      <c r="H240" s="31">
        <f>H233</f>
        <v>56441.842061854717</v>
      </c>
      <c r="I240" s="50"/>
      <c r="J240" s="50"/>
      <c r="K240" s="50"/>
      <c r="L240" s="50"/>
      <c r="M240" s="15"/>
    </row>
    <row r="241" spans="1:13">
      <c r="A241" s="50"/>
      <c r="B241" s="50"/>
      <c r="C241" s="50"/>
      <c r="D241" s="179"/>
      <c r="E241" s="50"/>
      <c r="F241" s="31"/>
      <c r="G241" s="31"/>
      <c r="H241" s="31"/>
      <c r="I241" s="50"/>
      <c r="J241" s="50"/>
      <c r="K241" s="50"/>
      <c r="L241" s="50"/>
      <c r="M241" s="15"/>
    </row>
    <row r="242" spans="1:13" ht="21">
      <c r="A242" s="50"/>
      <c r="B242" s="50"/>
      <c r="C242" s="155" t="s">
        <v>198</v>
      </c>
      <c r="D242" s="179"/>
      <c r="E242" s="50"/>
      <c r="F242" s="123"/>
      <c r="G242" s="50"/>
      <c r="H242" s="50"/>
      <c r="I242" s="50"/>
      <c r="J242" s="50"/>
      <c r="K242" s="50"/>
      <c r="L242" s="27"/>
      <c r="M242" s="15"/>
    </row>
    <row r="243" spans="1:13">
      <c r="A243" s="50"/>
      <c r="B243" s="50"/>
      <c r="C243" s="180" t="s">
        <v>212</v>
      </c>
      <c r="D243" s="179"/>
      <c r="E243" s="181">
        <f>(1+H30)*(1+I30)</f>
        <v>1.0129871749054993</v>
      </c>
      <c r="F243" s="123"/>
      <c r="G243" s="50"/>
      <c r="H243" s="50"/>
      <c r="I243" s="50"/>
      <c r="J243" s="50"/>
      <c r="K243" s="50"/>
      <c r="L243" s="27"/>
      <c r="M243" s="15"/>
    </row>
    <row r="244" spans="1:13">
      <c r="A244" s="50"/>
      <c r="B244" s="50"/>
      <c r="C244" s="50"/>
      <c r="D244" s="127"/>
      <c r="E244" s="50"/>
      <c r="F244" s="123"/>
      <c r="G244" s="50"/>
      <c r="H244" s="50"/>
      <c r="I244" s="50"/>
      <c r="J244" s="50"/>
      <c r="K244" s="50"/>
      <c r="L244" s="27"/>
    </row>
    <row r="245" spans="1:13" ht="21">
      <c r="A245" s="50"/>
      <c r="B245" s="50"/>
      <c r="C245" s="155" t="s">
        <v>315</v>
      </c>
      <c r="D245" s="162" t="s">
        <v>342</v>
      </c>
      <c r="E245" s="50"/>
      <c r="F245" s="123"/>
      <c r="G245" s="50"/>
      <c r="H245" s="50"/>
      <c r="I245" s="50"/>
      <c r="J245" s="50"/>
      <c r="K245" s="50"/>
      <c r="L245" s="27"/>
    </row>
    <row r="246" spans="1:13">
      <c r="A246" s="50"/>
      <c r="B246" s="50"/>
      <c r="C246" s="50"/>
      <c r="D246" s="50"/>
      <c r="E246" s="99" t="str">
        <f>Inputs!D$11</f>
        <v>2009/10</v>
      </c>
      <c r="F246" s="99" t="str">
        <f>Inputs!E$11</f>
        <v>2010/11</v>
      </c>
      <c r="G246" s="99" t="str">
        <f>Inputs!F$11</f>
        <v>2011/12</v>
      </c>
      <c r="H246" s="99" t="str">
        <f>Inputs!G$11</f>
        <v>2012/13</v>
      </c>
      <c r="I246" s="99" t="str">
        <f>Inputs!H$11</f>
        <v>2013/14</v>
      </c>
      <c r="J246" s="99" t="str">
        <f>Inputs!I$11</f>
        <v>2014/15</v>
      </c>
      <c r="K246" s="50"/>
      <c r="L246" s="27"/>
    </row>
    <row r="247" spans="1:13">
      <c r="A247" s="50"/>
      <c r="B247" s="50"/>
      <c r="C247" s="122" t="str">
        <f>C35</f>
        <v>2009 ΔCPI, 8 index, lagged, no GST adjustment</v>
      </c>
      <c r="D247" s="50"/>
      <c r="E247" s="50"/>
      <c r="F247" s="50"/>
      <c r="G247" s="50"/>
      <c r="H247" s="50"/>
      <c r="I247" s="100">
        <f>I35</f>
        <v>2.3759818812291389E-2</v>
      </c>
      <c r="J247" s="100">
        <f>J35</f>
        <v>2.2164443909808984E-2</v>
      </c>
      <c r="K247" s="50"/>
      <c r="L247" s="27"/>
    </row>
    <row r="248" spans="1:13">
      <c r="A248" s="50"/>
      <c r="B248" s="50"/>
      <c r="C248" s="122" t="str">
        <f>C37</f>
        <v>2012 ΔCPI, 8 index, lagged, with GST adjustment</v>
      </c>
      <c r="D248" s="50"/>
      <c r="E248" s="99"/>
      <c r="F248" s="100"/>
      <c r="G248" s="100"/>
      <c r="H248" s="100"/>
      <c r="I248" s="100">
        <f>I$37</f>
        <v>1.2820512820512775E-2</v>
      </c>
      <c r="J248" s="101">
        <f>J$37</f>
        <v>1.9725095732576747E-2</v>
      </c>
      <c r="K248" s="50"/>
      <c r="L248" s="27"/>
    </row>
    <row r="249" spans="1:13">
      <c r="A249" s="50"/>
      <c r="B249" s="50"/>
      <c r="C249" s="50" t="s">
        <v>200</v>
      </c>
      <c r="D249" s="50"/>
      <c r="E249" s="99"/>
      <c r="F249" s="100"/>
      <c r="G249" s="100">
        <f>G$30</f>
        <v>6.4726399189891882E-3</v>
      </c>
      <c r="H249" s="100">
        <f>H$30</f>
        <v>6.4726399189891882E-3</v>
      </c>
      <c r="I249" s="100">
        <f>I$30</f>
        <v>6.4726399189891882E-3</v>
      </c>
      <c r="J249" s="100">
        <f>J$30</f>
        <v>6.4726399189891882E-3</v>
      </c>
      <c r="K249" s="50"/>
      <c r="L249" s="27"/>
    </row>
    <row r="250" spans="1:13">
      <c r="A250" s="50"/>
      <c r="B250" s="50"/>
      <c r="C250" s="50" t="s">
        <v>309</v>
      </c>
      <c r="D250" s="54">
        <f>E25</f>
        <v>28900</v>
      </c>
      <c r="E250" s="50"/>
      <c r="F250" s="123"/>
      <c r="G250" s="50"/>
      <c r="H250" s="50"/>
      <c r="I250" s="50"/>
      <c r="J250" s="50"/>
      <c r="K250" s="50"/>
      <c r="L250" s="27"/>
    </row>
    <row r="251" spans="1:13">
      <c r="A251" s="50"/>
      <c r="B251" s="50"/>
      <c r="C251" s="119" t="s">
        <v>335</v>
      </c>
      <c r="D251" s="32">
        <f>E24</f>
        <v>55081</v>
      </c>
      <c r="E251" s="50"/>
      <c r="F251" s="123"/>
      <c r="G251" s="50"/>
      <c r="H251" s="50"/>
      <c r="I251" s="50"/>
      <c r="J251" s="50"/>
      <c r="K251" s="50"/>
      <c r="L251" s="27"/>
    </row>
    <row r="252" spans="1:13">
      <c r="A252" s="50"/>
      <c r="B252" s="50"/>
      <c r="C252" s="50" t="s">
        <v>383</v>
      </c>
      <c r="D252" s="50"/>
      <c r="E252" s="50"/>
      <c r="F252" s="123"/>
      <c r="G252" s="50"/>
      <c r="H252" s="124">
        <f>(D251+D250)*(1+G$249)*(1+H$249)-D250</f>
        <v>56171.675935738735</v>
      </c>
      <c r="I252" s="124">
        <f>H252*(1+I249)*(1+I248)</f>
        <v>57260.065928841497</v>
      </c>
      <c r="J252" s="124">
        <f>I252*(1+J249)*(1+J248)</f>
        <v>58767.460589145361</v>
      </c>
      <c r="K252" s="50"/>
      <c r="L252" s="27"/>
    </row>
    <row r="253" spans="1:13">
      <c r="A253" s="50"/>
      <c r="B253" s="50"/>
      <c r="C253" s="50" t="s">
        <v>314</v>
      </c>
      <c r="D253" s="50"/>
      <c r="E253" s="50"/>
      <c r="F253" s="123"/>
      <c r="G253" s="50"/>
      <c r="H253" s="124">
        <f>$D$250</f>
        <v>28900</v>
      </c>
      <c r="I253" s="124">
        <f>H253*(1+I34)</f>
        <v>29412.151898734181</v>
      </c>
      <c r="J253" s="124"/>
      <c r="K253" s="50"/>
      <c r="L253" s="27"/>
    </row>
    <row r="254" spans="1:13">
      <c r="A254" s="50"/>
      <c r="B254" s="50"/>
      <c r="C254" s="119" t="s">
        <v>336</v>
      </c>
      <c r="D254" s="50"/>
      <c r="E254" s="50"/>
      <c r="F254" s="123"/>
      <c r="G254" s="50"/>
      <c r="H254" s="124">
        <f>D251</f>
        <v>55081</v>
      </c>
      <c r="I254" s="124">
        <f>((H254+H253)*(1+G249)-H253)*(1+I248)*(1-X_industry_wide)</f>
        <v>56337.714398331969</v>
      </c>
      <c r="J254" s="97"/>
      <c r="K254" s="50"/>
      <c r="L254" s="27"/>
    </row>
    <row r="255" spans="1:13">
      <c r="A255" s="50"/>
      <c r="B255" s="50"/>
      <c r="C255" s="50" t="s">
        <v>337</v>
      </c>
      <c r="D255" s="50"/>
      <c r="E255" s="50"/>
      <c r="F255" s="123"/>
      <c r="G255" s="50"/>
      <c r="H255" s="124">
        <f>H216</f>
        <v>56441.842061854717</v>
      </c>
      <c r="I255" s="124">
        <f>I216</f>
        <v>58156.897843142244</v>
      </c>
      <c r="J255" s="124">
        <f>J216</f>
        <v>59830.685133787512</v>
      </c>
      <c r="K255" s="50"/>
      <c r="L255" s="27"/>
    </row>
    <row r="256" spans="1:13">
      <c r="A256" s="50"/>
      <c r="B256" s="50"/>
      <c r="C256" s="119" t="s">
        <v>371</v>
      </c>
      <c r="D256" s="50"/>
      <c r="E256" s="50"/>
      <c r="F256" s="123"/>
      <c r="G256" s="50"/>
      <c r="H256" s="124"/>
      <c r="I256" s="124">
        <f>(I255+I253)/((1+H249)*(1+I249))-I253</f>
        <v>57034.203900435401</v>
      </c>
      <c r="J256" s="124"/>
      <c r="K256" s="50"/>
      <c r="L256" s="27"/>
    </row>
    <row r="257" spans="1:12">
      <c r="A257" s="50"/>
      <c r="B257" s="50"/>
      <c r="C257" s="50" t="s">
        <v>344</v>
      </c>
      <c r="D257" s="50"/>
      <c r="E257" s="50"/>
      <c r="F257" s="123"/>
      <c r="G257" s="50"/>
      <c r="H257" s="124">
        <f>H255</f>
        <v>56441.842061854717</v>
      </c>
      <c r="I257" s="124">
        <f>I255*(1+I248)/(1+I247)</f>
        <v>57535.466830371275</v>
      </c>
      <c r="J257" s="124">
        <f>I257*(1+J$248)*(1+J$249)*(1-X_industry_wide)</f>
        <v>59050.111532072653</v>
      </c>
      <c r="K257" s="50"/>
      <c r="L257" s="27"/>
    </row>
    <row r="258" spans="1:12">
      <c r="A258" s="50"/>
      <c r="B258" s="50"/>
      <c r="C258" s="119" t="s">
        <v>346</v>
      </c>
      <c r="D258" s="50"/>
      <c r="E258" s="50"/>
      <c r="F258" s="123"/>
      <c r="G258" s="50"/>
      <c r="H258" s="124"/>
      <c r="I258" s="124">
        <f>(I257+I253)/((1+H249)*(1+I249))-I253</f>
        <v>56420.740049988381</v>
      </c>
      <c r="J258" s="97"/>
      <c r="K258" s="50"/>
      <c r="L258" s="27"/>
    </row>
    <row r="259" spans="1:12">
      <c r="A259" s="50"/>
      <c r="B259" s="50"/>
      <c r="C259" s="50" t="s">
        <v>338</v>
      </c>
      <c r="D259" s="50"/>
      <c r="E259" s="50"/>
      <c r="F259" s="123"/>
      <c r="G259" s="50"/>
      <c r="H259" s="124">
        <f>H233</f>
        <v>56441.842061854717</v>
      </c>
      <c r="I259" s="124">
        <f>I233</f>
        <v>58156.897843142251</v>
      </c>
      <c r="J259" s="124">
        <f>J233</f>
        <v>59830.685133787505</v>
      </c>
      <c r="K259" s="50"/>
      <c r="L259" s="27"/>
    </row>
    <row r="260" spans="1:12">
      <c r="A260" s="50"/>
      <c r="B260" s="50"/>
      <c r="C260" s="50" t="s">
        <v>345</v>
      </c>
      <c r="D260" s="50"/>
      <c r="E260" s="50"/>
      <c r="F260" s="123"/>
      <c r="G260" s="50"/>
      <c r="H260" s="124">
        <f>H259</f>
        <v>56441.842061854717</v>
      </c>
      <c r="I260" s="124">
        <f>I259*(1+I248)/(1+I247)</f>
        <v>57535.466830371282</v>
      </c>
      <c r="J260" s="124">
        <f>I260*(1+J$248)*(1+J$249)*(1-D227)</f>
        <v>59050.11153207266</v>
      </c>
      <c r="K260" s="50"/>
      <c r="L260" s="27"/>
    </row>
    <row r="261" spans="1:12">
      <c r="A261" s="50"/>
      <c r="B261" s="50"/>
      <c r="C261" s="119" t="s">
        <v>347</v>
      </c>
      <c r="D261" s="50"/>
      <c r="E261" s="50"/>
      <c r="F261" s="123"/>
      <c r="G261" s="50"/>
      <c r="H261" s="97"/>
      <c r="I261" s="124">
        <f>(I260+I253)/((1+H249)*(1+I249))-I253</f>
        <v>56420.740049988395</v>
      </c>
      <c r="J261" s="97"/>
      <c r="K261" s="50"/>
      <c r="L261" s="27"/>
    </row>
    <row r="262" spans="1:12">
      <c r="A262" s="50"/>
      <c r="B262" s="50"/>
      <c r="C262" s="50" t="s">
        <v>317</v>
      </c>
      <c r="D262" s="126">
        <f>E27</f>
        <v>0.2</v>
      </c>
      <c r="E262" s="50"/>
      <c r="F262" s="123"/>
      <c r="G262" s="50"/>
      <c r="H262" s="125"/>
      <c r="I262" s="125"/>
      <c r="J262" s="125"/>
      <c r="K262" s="50"/>
      <c r="L262" s="27"/>
    </row>
    <row r="263" spans="1:12" ht="18">
      <c r="A263" s="50"/>
      <c r="B263" s="50"/>
      <c r="C263" s="50" t="s">
        <v>339</v>
      </c>
      <c r="D263" s="127"/>
      <c r="E263" s="50"/>
      <c r="F263" s="123"/>
      <c r="G263" s="50"/>
      <c r="H263" s="124">
        <f>(D251+H253)*(1+G$249)*(1+H$249)-H253</f>
        <v>56171.675935738735</v>
      </c>
      <c r="I263" s="124">
        <f>H263*(1+$D262)*(1+I$247)*(1+I$249)</f>
        <v>69454.226858707887</v>
      </c>
      <c r="J263" s="124">
        <f>I264*(1+$D262)*(1+J247)*(1+J249)</f>
        <v>71029.642796382526</v>
      </c>
      <c r="K263" s="50"/>
      <c r="L263" s="27"/>
    </row>
    <row r="264" spans="1:12">
      <c r="A264" s="50"/>
      <c r="B264" s="50"/>
      <c r="C264" s="50" t="s">
        <v>367</v>
      </c>
      <c r="D264" s="127"/>
      <c r="E264" s="50"/>
      <c r="F264" s="123"/>
      <c r="G264" s="50"/>
      <c r="H264" s="124">
        <f>H260</f>
        <v>56441.842061854717</v>
      </c>
      <c r="I264" s="124">
        <f>MIN(I260,I263)</f>
        <v>57535.466830371282</v>
      </c>
      <c r="J264" s="124">
        <f>MIN(J260,J263)</f>
        <v>59050.11153207266</v>
      </c>
      <c r="K264" s="50"/>
      <c r="L264" s="27"/>
    </row>
    <row r="265" spans="1:12">
      <c r="A265" s="50"/>
      <c r="B265" s="50"/>
      <c r="C265" s="50" t="s">
        <v>373</v>
      </c>
      <c r="D265" s="31">
        <f>NPV(WACC,H255:J255)*D50</f>
        <v>152657.61476008588</v>
      </c>
      <c r="E265" s="50"/>
      <c r="F265" s="123"/>
      <c r="G265" s="50"/>
      <c r="H265" s="50"/>
      <c r="I265" s="50"/>
      <c r="J265" s="50"/>
      <c r="K265" s="50"/>
      <c r="L265" s="27"/>
    </row>
    <row r="266" spans="1:12">
      <c r="A266" s="50"/>
      <c r="B266" s="50"/>
      <c r="C266" s="50" t="s">
        <v>372</v>
      </c>
      <c r="D266" s="31">
        <f>NPV(WACC,H252:J252)*D50</f>
        <v>150761.42106704373</v>
      </c>
      <c r="E266" s="50"/>
      <c r="F266" s="123"/>
      <c r="G266" s="50"/>
      <c r="H266" s="50"/>
      <c r="I266" s="50"/>
      <c r="J266" s="50"/>
      <c r="K266" s="50"/>
      <c r="L266" s="27"/>
    </row>
    <row r="267" spans="1:12">
      <c r="A267" s="50"/>
      <c r="B267" s="50"/>
      <c r="C267" s="50" t="s">
        <v>340</v>
      </c>
      <c r="D267" s="31">
        <f>NPV(WACC,H259:J259)*D50</f>
        <v>152657.61476008588</v>
      </c>
      <c r="E267" s="50"/>
      <c r="F267" s="123"/>
      <c r="G267" s="50"/>
      <c r="H267" s="50"/>
      <c r="I267" s="50"/>
      <c r="J267" s="50"/>
      <c r="K267" s="50"/>
      <c r="L267" s="27"/>
    </row>
    <row r="268" spans="1:12">
      <c r="A268" s="50"/>
      <c r="B268" s="50"/>
      <c r="C268" s="50" t="s">
        <v>351</v>
      </c>
      <c r="D268" s="31">
        <f>NPV(WACC,H264:J264)*D50</f>
        <v>151486.53080284758</v>
      </c>
      <c r="E268" s="50"/>
      <c r="F268" s="123"/>
      <c r="G268" s="50"/>
      <c r="H268" s="50"/>
      <c r="I268" s="50"/>
      <c r="J268" s="50"/>
      <c r="K268" s="50"/>
      <c r="L268" s="27"/>
    </row>
    <row r="269" spans="1:12">
      <c r="A269" s="50"/>
      <c r="B269" s="50"/>
      <c r="C269" s="50" t="s">
        <v>348</v>
      </c>
      <c r="D269" s="31">
        <f>NPV(WACC,H257:J257)*D50</f>
        <v>151486.53080284756</v>
      </c>
      <c r="E269" s="50"/>
      <c r="F269" s="123"/>
      <c r="G269" s="50"/>
      <c r="H269" s="50"/>
      <c r="I269" s="50"/>
      <c r="J269" s="50"/>
      <c r="K269" s="50"/>
      <c r="L269" s="27"/>
    </row>
    <row r="270" spans="1:12">
      <c r="A270" s="50"/>
      <c r="B270" s="50"/>
      <c r="C270" s="50" t="s">
        <v>349</v>
      </c>
      <c r="D270" s="31">
        <f>NPV(WACC,H260:J260)*D50</f>
        <v>151486.53080284758</v>
      </c>
      <c r="E270" s="50"/>
      <c r="F270" s="123"/>
      <c r="G270" s="50"/>
      <c r="H270" s="50"/>
      <c r="I270" s="50"/>
      <c r="J270" s="50"/>
      <c r="K270" s="50"/>
      <c r="L270" s="27"/>
    </row>
    <row r="271" spans="1:12">
      <c r="A271" s="50"/>
      <c r="B271" s="50"/>
      <c r="C271" s="50" t="s">
        <v>368</v>
      </c>
      <c r="D271" s="31" t="b">
        <f>OR(I260&gt;I263,J260&gt;J263)</f>
        <v>0</v>
      </c>
      <c r="E271" s="50"/>
      <c r="F271" s="123"/>
      <c r="G271" s="50"/>
      <c r="H271" s="50"/>
      <c r="I271" s="50"/>
      <c r="J271" s="50"/>
      <c r="K271" s="50"/>
      <c r="L271" s="27"/>
    </row>
    <row r="272" spans="1:12">
      <c r="A272" s="50"/>
      <c r="B272" s="50"/>
      <c r="C272" s="50"/>
      <c r="D272" s="31"/>
      <c r="E272" s="50"/>
      <c r="F272" s="123"/>
      <c r="G272" s="50"/>
      <c r="H272" s="50"/>
      <c r="I272" s="50"/>
      <c r="J272" s="50"/>
      <c r="K272" s="50"/>
      <c r="L272" s="27"/>
    </row>
    <row r="273" spans="1:12" ht="21">
      <c r="A273" s="50"/>
      <c r="B273" s="50"/>
      <c r="C273" s="155" t="s">
        <v>343</v>
      </c>
      <c r="D273" s="127"/>
      <c r="E273" s="50"/>
      <c r="F273" s="123"/>
      <c r="G273" s="50"/>
      <c r="H273" s="50"/>
      <c r="I273" s="50"/>
      <c r="J273" s="50"/>
      <c r="K273" s="50"/>
      <c r="L273" s="27"/>
    </row>
    <row r="274" spans="1:12" ht="30">
      <c r="A274" s="50"/>
      <c r="B274" s="50"/>
      <c r="C274" s="123" t="s">
        <v>370</v>
      </c>
      <c r="D274" s="126">
        <f>I$261/(D$251*(1+I$249)*(1+I$248))-1</f>
        <v>4.8529225374052132E-3</v>
      </c>
      <c r="E274" s="50"/>
      <c r="F274" s="123"/>
      <c r="G274" s="50"/>
      <c r="H274" s="50"/>
      <c r="I274" s="50"/>
      <c r="J274" s="50"/>
      <c r="K274" s="50"/>
      <c r="L274" s="27"/>
    </row>
    <row r="275" spans="1:12" ht="30">
      <c r="A275" s="50"/>
      <c r="B275" s="50"/>
      <c r="C275" s="123" t="s">
        <v>350</v>
      </c>
      <c r="D275" s="31">
        <f>D265-D268</f>
        <v>1171.0839572382974</v>
      </c>
      <c r="E275" s="50"/>
      <c r="F275" s="123"/>
      <c r="G275" s="50"/>
      <c r="H275" s="50"/>
      <c r="I275" s="50"/>
      <c r="J275" s="50"/>
      <c r="K275" s="50"/>
      <c r="L275" s="27"/>
    </row>
    <row r="276" spans="1:12">
      <c r="A276" s="50"/>
      <c r="B276" s="50"/>
      <c r="C276" s="123" t="s">
        <v>366</v>
      </c>
      <c r="D276" s="31">
        <f>ROUNDUP(I264,0)</f>
        <v>57536</v>
      </c>
      <c r="E276" s="50"/>
      <c r="F276" s="123"/>
      <c r="G276" s="50"/>
      <c r="H276" s="50"/>
      <c r="I276" s="50"/>
      <c r="J276" s="50"/>
      <c r="K276" s="50"/>
      <c r="L276" s="27"/>
    </row>
    <row r="277" spans="1:12">
      <c r="A277" s="50"/>
      <c r="B277" s="50"/>
      <c r="C277" s="123" t="s">
        <v>378</v>
      </c>
      <c r="D277" s="31">
        <f>ROUNDUP(H233,0)</f>
        <v>56442</v>
      </c>
      <c r="E277" s="50"/>
      <c r="F277" s="123"/>
      <c r="G277" s="50"/>
      <c r="H277" s="50"/>
      <c r="I277" s="50"/>
      <c r="J277" s="50"/>
      <c r="K277" s="50"/>
      <c r="L277" s="27"/>
    </row>
    <row r="278" spans="1:12">
      <c r="A278" s="50"/>
      <c r="B278" s="50"/>
      <c r="C278" s="114" t="s">
        <v>382</v>
      </c>
      <c r="D278" s="31">
        <f>D269-D266</f>
        <v>725.10973580382415</v>
      </c>
      <c r="E278" s="50"/>
      <c r="F278" s="123"/>
      <c r="G278" s="50"/>
      <c r="H278" s="50"/>
      <c r="I278" s="50"/>
      <c r="J278" s="50"/>
      <c r="K278" s="50"/>
      <c r="L278" s="27"/>
    </row>
    <row r="279" spans="1:12">
      <c r="A279" s="15"/>
      <c r="B279" s="15"/>
      <c r="C279" s="15"/>
      <c r="D279" s="15"/>
      <c r="E279" s="120"/>
      <c r="F279" s="15"/>
      <c r="G279" s="15"/>
      <c r="H279" s="15"/>
      <c r="I279" s="15"/>
      <c r="J279" s="15"/>
      <c r="K279" s="15"/>
    </row>
    <row r="280" spans="1:12">
      <c r="A280" s="15"/>
      <c r="B280" s="15"/>
      <c r="C280" s="15"/>
      <c r="D280" s="15"/>
      <c r="E280" s="120"/>
      <c r="F280" s="15"/>
      <c r="G280" s="15"/>
      <c r="H280" s="15"/>
      <c r="I280" s="15"/>
      <c r="J280" s="15"/>
      <c r="K280" s="15"/>
    </row>
    <row r="281" spans="1:12">
      <c r="A281" s="15"/>
      <c r="B281" s="15"/>
      <c r="C281" s="15"/>
      <c r="D281" s="15"/>
      <c r="E281" s="120"/>
      <c r="F281" s="15"/>
      <c r="G281" s="15"/>
      <c r="H281" s="15"/>
      <c r="I281" s="15"/>
      <c r="J281" s="15"/>
      <c r="K281" s="15"/>
    </row>
    <row r="282" spans="1:12">
      <c r="A282" s="15"/>
      <c r="B282" s="15"/>
      <c r="C282" s="15"/>
      <c r="D282" s="15"/>
      <c r="E282" s="120"/>
      <c r="F282" s="15"/>
      <c r="G282" s="15"/>
      <c r="H282" s="15"/>
      <c r="I282" s="15"/>
      <c r="J282" s="15"/>
      <c r="K282" s="15"/>
    </row>
    <row r="283" spans="1:12">
      <c r="A283" s="15"/>
      <c r="B283" s="15"/>
      <c r="C283" s="15"/>
      <c r="D283" s="15"/>
      <c r="E283" s="120"/>
      <c r="F283" s="15"/>
      <c r="G283" s="15"/>
      <c r="H283" s="15"/>
      <c r="I283" s="15"/>
      <c r="J283" s="15"/>
      <c r="K283" s="15"/>
    </row>
    <row r="284" spans="1:12">
      <c r="A284" s="15"/>
      <c r="B284" s="15"/>
      <c r="C284" s="15"/>
      <c r="D284" s="15"/>
      <c r="E284" s="120"/>
      <c r="F284" s="15"/>
      <c r="G284" s="15"/>
      <c r="H284" s="15"/>
      <c r="I284" s="15"/>
      <c r="J284" s="15"/>
      <c r="K284" s="15"/>
    </row>
    <row r="285" spans="1:12">
      <c r="A285" s="15"/>
      <c r="B285" s="15"/>
      <c r="C285" s="15"/>
      <c r="D285" s="15"/>
      <c r="E285" s="120"/>
      <c r="F285" s="15"/>
      <c r="G285" s="15"/>
      <c r="H285" s="15"/>
      <c r="I285" s="15"/>
      <c r="J285" s="15"/>
      <c r="K285" s="15"/>
    </row>
    <row r="286" spans="1:12">
      <c r="A286" s="15"/>
      <c r="B286" s="15"/>
      <c r="C286" s="15"/>
      <c r="D286" s="15"/>
      <c r="E286" s="120"/>
      <c r="F286" s="15"/>
      <c r="G286" s="15"/>
      <c r="H286" s="15"/>
      <c r="I286" s="15"/>
      <c r="J286" s="15"/>
      <c r="K286" s="15"/>
    </row>
    <row r="287" spans="1:12">
      <c r="A287" s="15"/>
      <c r="B287" s="15"/>
      <c r="C287" s="15"/>
      <c r="D287" s="15"/>
      <c r="E287" s="120"/>
      <c r="F287" s="15"/>
      <c r="G287" s="15"/>
      <c r="H287" s="15"/>
      <c r="I287" s="15"/>
      <c r="J287" s="15"/>
      <c r="K287" s="15"/>
    </row>
    <row r="288" spans="1:12">
      <c r="A288" s="15"/>
      <c r="B288" s="15"/>
      <c r="C288" s="15"/>
      <c r="D288" s="15"/>
      <c r="E288" s="120"/>
      <c r="F288" s="15"/>
      <c r="G288" s="15"/>
      <c r="H288" s="15"/>
      <c r="I288" s="15"/>
      <c r="J288" s="15"/>
      <c r="K288" s="15"/>
    </row>
    <row r="289" spans="1:11">
      <c r="A289" s="15"/>
      <c r="B289" s="15"/>
      <c r="C289" s="15"/>
      <c r="D289" s="15"/>
      <c r="E289" s="120"/>
      <c r="F289" s="15"/>
      <c r="G289" s="15"/>
      <c r="H289" s="15"/>
      <c r="I289" s="15"/>
      <c r="J289" s="15"/>
      <c r="K289" s="15"/>
    </row>
    <row r="290" spans="1:11">
      <c r="A290" s="15"/>
      <c r="B290" s="15"/>
      <c r="C290" s="15"/>
      <c r="D290" s="15"/>
      <c r="E290" s="120"/>
      <c r="F290" s="15"/>
      <c r="G290" s="15"/>
      <c r="H290" s="15"/>
      <c r="I290" s="15"/>
      <c r="J290" s="15"/>
      <c r="K290" s="15"/>
    </row>
    <row r="291" spans="1:11">
      <c r="A291" s="15"/>
      <c r="B291" s="15"/>
      <c r="C291" s="15"/>
      <c r="D291" s="15"/>
      <c r="E291" s="120"/>
      <c r="F291" s="15"/>
      <c r="G291" s="15"/>
      <c r="H291" s="15"/>
      <c r="I291" s="15"/>
      <c r="J291" s="15"/>
      <c r="K291" s="15"/>
    </row>
    <row r="292" spans="1:11">
      <c r="A292" s="15"/>
      <c r="B292" s="15"/>
      <c r="C292" s="15"/>
      <c r="D292" s="15"/>
      <c r="E292" s="120"/>
      <c r="F292" s="15"/>
      <c r="G292" s="15"/>
      <c r="H292" s="15"/>
      <c r="I292" s="15"/>
      <c r="J292" s="15"/>
      <c r="K292" s="15"/>
    </row>
    <row r="293" spans="1:11">
      <c r="A293" s="15"/>
      <c r="B293" s="15"/>
      <c r="C293" s="15"/>
      <c r="D293" s="15"/>
      <c r="E293" s="120"/>
      <c r="F293" s="15"/>
      <c r="G293" s="15"/>
      <c r="H293" s="15"/>
      <c r="I293" s="15"/>
      <c r="J293" s="15"/>
      <c r="K293" s="15"/>
    </row>
    <row r="294" spans="1:11">
      <c r="A294" s="15"/>
      <c r="B294" s="15"/>
      <c r="C294" s="15"/>
      <c r="D294" s="15"/>
      <c r="E294" s="120"/>
      <c r="F294" s="15"/>
      <c r="G294" s="15"/>
      <c r="H294" s="15"/>
      <c r="I294" s="15"/>
      <c r="J294" s="15"/>
      <c r="K294" s="15"/>
    </row>
    <row r="295" spans="1:11">
      <c r="A295" s="15"/>
      <c r="B295" s="15"/>
      <c r="C295" s="15"/>
      <c r="D295" s="15"/>
      <c r="E295" s="120"/>
      <c r="F295" s="15"/>
      <c r="G295" s="15"/>
      <c r="H295" s="15"/>
      <c r="I295" s="15"/>
      <c r="J295" s="15"/>
      <c r="K295" s="15"/>
    </row>
    <row r="296" spans="1:11">
      <c r="A296" s="15"/>
      <c r="B296" s="15"/>
      <c r="C296" s="15"/>
      <c r="D296" s="15"/>
      <c r="E296" s="120"/>
      <c r="F296" s="15"/>
      <c r="G296" s="15"/>
      <c r="H296" s="15"/>
      <c r="I296" s="15"/>
      <c r="J296" s="15"/>
      <c r="K296" s="15"/>
    </row>
    <row r="297" spans="1:11">
      <c r="A297" s="15"/>
      <c r="B297" s="15"/>
      <c r="C297" s="15"/>
      <c r="D297" s="15"/>
      <c r="E297" s="120"/>
      <c r="F297" s="15"/>
      <c r="G297" s="15"/>
      <c r="H297" s="15"/>
      <c r="I297" s="15"/>
      <c r="J297" s="15"/>
      <c r="K297" s="15"/>
    </row>
    <row r="298" spans="1:11">
      <c r="A298" s="15"/>
      <c r="B298" s="15"/>
      <c r="C298" s="15"/>
      <c r="D298" s="15"/>
      <c r="E298" s="120"/>
      <c r="F298" s="15"/>
      <c r="G298" s="15"/>
      <c r="H298" s="15"/>
      <c r="I298" s="15"/>
      <c r="J298" s="15"/>
      <c r="K298" s="15"/>
    </row>
    <row r="299" spans="1:11">
      <c r="A299" s="15"/>
      <c r="B299" s="15"/>
      <c r="C299" s="15"/>
      <c r="D299" s="15"/>
      <c r="E299" s="120"/>
      <c r="F299" s="15"/>
      <c r="G299" s="15"/>
      <c r="H299" s="15"/>
      <c r="I299" s="15"/>
      <c r="J299" s="15"/>
    </row>
    <row r="300" spans="1:11">
      <c r="A300" s="15"/>
      <c r="B300" s="15"/>
      <c r="C300" s="15"/>
      <c r="D300" s="15"/>
      <c r="E300" s="120"/>
      <c r="F300" s="15"/>
      <c r="G300" s="15"/>
      <c r="H300" s="15"/>
      <c r="I300" s="15"/>
      <c r="J300" s="15"/>
    </row>
    <row r="301" spans="1:11">
      <c r="A301" s="15"/>
      <c r="B301" s="15"/>
      <c r="C301" s="15"/>
      <c r="D301" s="15"/>
      <c r="E301" s="120"/>
      <c r="F301" s="15"/>
      <c r="G301" s="15"/>
      <c r="H301" s="15"/>
      <c r="I301" s="15"/>
      <c r="J301" s="15"/>
    </row>
    <row r="302" spans="1:11">
      <c r="A302" s="15"/>
      <c r="B302" s="15"/>
      <c r="C302" s="15"/>
      <c r="D302" s="15"/>
      <c r="E302" s="120"/>
      <c r="F302" s="15"/>
      <c r="G302" s="15"/>
      <c r="H302" s="15"/>
      <c r="I302" s="15"/>
      <c r="J302" s="15"/>
    </row>
    <row r="303" spans="1:11">
      <c r="A303" s="15"/>
      <c r="B303" s="15"/>
      <c r="C303" s="15"/>
      <c r="D303" s="15"/>
      <c r="E303" s="120"/>
      <c r="F303" s="15"/>
      <c r="G303" s="15"/>
      <c r="H303" s="15"/>
      <c r="I303" s="15"/>
      <c r="J303" s="15"/>
    </row>
    <row r="304" spans="1:11">
      <c r="A304" s="15"/>
      <c r="B304" s="15"/>
      <c r="C304" s="15"/>
      <c r="D304" s="15"/>
      <c r="E304" s="120"/>
      <c r="F304" s="15"/>
      <c r="G304" s="15"/>
      <c r="H304" s="15"/>
      <c r="I304" s="15"/>
      <c r="J304" s="15"/>
    </row>
    <row r="305" spans="1:10">
      <c r="A305" s="15"/>
      <c r="B305" s="15"/>
      <c r="C305" s="15"/>
      <c r="D305" s="15"/>
      <c r="E305" s="120"/>
      <c r="F305" s="15"/>
      <c r="G305" s="15"/>
      <c r="H305" s="15"/>
      <c r="I305" s="15"/>
      <c r="J305" s="15"/>
    </row>
    <row r="306" spans="1:10">
      <c r="A306" s="15"/>
      <c r="B306" s="15"/>
      <c r="C306" s="15"/>
      <c r="D306" s="15"/>
      <c r="E306" s="120"/>
      <c r="F306" s="15"/>
      <c r="G306" s="15"/>
      <c r="H306" s="15"/>
      <c r="I306" s="15"/>
      <c r="J306" s="15"/>
    </row>
    <row r="307" spans="1:10">
      <c r="A307" s="15"/>
      <c r="B307" s="15"/>
      <c r="C307" s="15"/>
      <c r="D307" s="15"/>
      <c r="E307" s="120"/>
      <c r="F307" s="15"/>
      <c r="G307" s="15"/>
      <c r="H307" s="15"/>
      <c r="I307" s="15"/>
      <c r="J307" s="15"/>
    </row>
    <row r="308" spans="1:10">
      <c r="A308" s="15"/>
      <c r="B308" s="15"/>
      <c r="C308" s="15"/>
      <c r="D308" s="15"/>
      <c r="E308" s="120"/>
      <c r="F308" s="15"/>
      <c r="G308" s="15"/>
      <c r="H308" s="15"/>
      <c r="I308" s="15"/>
      <c r="J308" s="15"/>
    </row>
    <row r="309" spans="1:10">
      <c r="A309" s="15"/>
      <c r="B309" s="15"/>
      <c r="C309" s="15"/>
      <c r="D309" s="15"/>
      <c r="E309" s="120"/>
      <c r="F309" s="15"/>
      <c r="G309" s="15"/>
      <c r="H309" s="15"/>
      <c r="I309" s="15"/>
      <c r="J309" s="15"/>
    </row>
    <row r="310" spans="1:10">
      <c r="A310" s="15"/>
      <c r="B310" s="15"/>
      <c r="C310" s="15"/>
      <c r="D310" s="15"/>
      <c r="E310" s="120"/>
      <c r="F310" s="15"/>
      <c r="G310" s="15"/>
      <c r="H310" s="15"/>
      <c r="I310" s="15"/>
      <c r="J310" s="15"/>
    </row>
    <row r="311" spans="1:10">
      <c r="A311" s="15"/>
      <c r="B311" s="15"/>
      <c r="C311" s="15"/>
      <c r="D311" s="15"/>
      <c r="E311" s="120"/>
      <c r="F311" s="15"/>
      <c r="G311" s="15"/>
      <c r="H311" s="15"/>
      <c r="I311" s="15"/>
      <c r="J311" s="15"/>
    </row>
    <row r="312" spans="1:10">
      <c r="A312" s="15"/>
      <c r="B312" s="15"/>
      <c r="C312" s="15"/>
      <c r="D312" s="15"/>
      <c r="E312" s="120"/>
      <c r="F312" s="15"/>
      <c r="G312" s="15"/>
      <c r="H312" s="15"/>
      <c r="I312" s="15"/>
      <c r="J312" s="15"/>
    </row>
    <row r="313" spans="1:10">
      <c r="E313" s="19"/>
    </row>
    <row r="314" spans="1:10">
      <c r="E314" s="19"/>
    </row>
    <row r="315" spans="1:10">
      <c r="E315" s="19"/>
    </row>
    <row r="316" spans="1:10">
      <c r="E316" s="19"/>
    </row>
    <row r="317" spans="1:10">
      <c r="E317" s="19"/>
    </row>
    <row r="318" spans="1:10">
      <c r="E318" s="19"/>
    </row>
    <row r="319" spans="1:10">
      <c r="E319" s="19"/>
    </row>
    <row r="320" spans="1:10">
      <c r="E320" s="19"/>
    </row>
    <row r="321" spans="5:5">
      <c r="E321" s="19"/>
    </row>
    <row r="322" spans="5:5">
      <c r="E322" s="19"/>
    </row>
    <row r="323" spans="5:5">
      <c r="E323" s="19"/>
    </row>
    <row r="324" spans="5:5">
      <c r="E324" s="19"/>
    </row>
    <row r="325" spans="5:5">
      <c r="E325" s="19"/>
    </row>
    <row r="326" spans="5:5">
      <c r="E326" s="19"/>
    </row>
    <row r="327" spans="5:5">
      <c r="E327" s="19"/>
    </row>
    <row r="328" spans="5:5">
      <c r="E328" s="19"/>
    </row>
    <row r="329" spans="5:5">
      <c r="E329" s="19"/>
    </row>
    <row r="330" spans="5:5">
      <c r="E330" s="19"/>
    </row>
    <row r="331" spans="5:5">
      <c r="E331" s="19"/>
    </row>
    <row r="332" spans="5:5">
      <c r="E332" s="19"/>
    </row>
    <row r="333" spans="5:5">
      <c r="E333" s="19"/>
    </row>
    <row r="334" spans="5:5">
      <c r="E334" s="19"/>
    </row>
    <row r="335" spans="5:5">
      <c r="E335" s="19"/>
    </row>
    <row r="336" spans="5:5">
      <c r="E336" s="19"/>
    </row>
    <row r="337" spans="5:5">
      <c r="E337" s="19"/>
    </row>
    <row r="338" spans="5:5">
      <c r="E338" s="19"/>
    </row>
    <row r="339" spans="5:5">
      <c r="E339" s="19"/>
    </row>
    <row r="340" spans="5:5">
      <c r="E340" s="19"/>
    </row>
    <row r="341" spans="5:5">
      <c r="E341" s="19"/>
    </row>
    <row r="342" spans="5:5">
      <c r="E342" s="19"/>
    </row>
    <row r="343" spans="5:5">
      <c r="E343" s="19"/>
    </row>
    <row r="344" spans="5:5">
      <c r="E344" s="19"/>
    </row>
    <row r="345" spans="5:5">
      <c r="E345" s="19"/>
    </row>
    <row r="346" spans="5:5">
      <c r="E346" s="19"/>
    </row>
    <row r="347" spans="5:5">
      <c r="E347" s="19"/>
    </row>
    <row r="348" spans="5:5">
      <c r="E348" s="19"/>
    </row>
    <row r="349" spans="5:5">
      <c r="E349" s="19"/>
    </row>
    <row r="350" spans="5:5">
      <c r="E350" s="19"/>
    </row>
    <row r="351" spans="5:5">
      <c r="E351" s="19"/>
    </row>
    <row r="352" spans="5:5">
      <c r="E352" s="19"/>
    </row>
    <row r="353" spans="5:5">
      <c r="E353" s="19"/>
    </row>
    <row r="354" spans="5:5">
      <c r="E354" s="19"/>
    </row>
    <row r="355" spans="5:5">
      <c r="E355" s="19"/>
    </row>
    <row r="356" spans="5:5">
      <c r="E356" s="19"/>
    </row>
    <row r="357" spans="5:5">
      <c r="E357" s="19"/>
    </row>
    <row r="358" spans="5:5">
      <c r="E358" s="19"/>
    </row>
    <row r="359" spans="5:5">
      <c r="E359" s="19"/>
    </row>
    <row r="360" spans="5:5">
      <c r="E360" s="19"/>
    </row>
    <row r="361" spans="5:5">
      <c r="E361" s="19"/>
    </row>
    <row r="362" spans="5:5">
      <c r="E362" s="19"/>
    </row>
    <row r="363" spans="5:5">
      <c r="E363" s="19"/>
    </row>
    <row r="364" spans="5:5">
      <c r="E364" s="19"/>
    </row>
    <row r="365" spans="5:5">
      <c r="E365" s="19"/>
    </row>
    <row r="366" spans="5:5">
      <c r="E366" s="19"/>
    </row>
    <row r="367" spans="5:5">
      <c r="E367" s="19"/>
    </row>
    <row r="368" spans="5:5">
      <c r="E368" s="19"/>
    </row>
    <row r="369" spans="5:5">
      <c r="E369" s="19"/>
    </row>
    <row r="370" spans="5:5">
      <c r="E370" s="19"/>
    </row>
    <row r="371" spans="5:5">
      <c r="E371" s="19"/>
    </row>
    <row r="372" spans="5:5">
      <c r="E372" s="19"/>
    </row>
    <row r="373" spans="5:5">
      <c r="E373" s="19"/>
    </row>
    <row r="374" spans="5:5">
      <c r="E374" s="19"/>
    </row>
    <row r="375" spans="5:5">
      <c r="E375" s="19"/>
    </row>
    <row r="376" spans="5:5">
      <c r="E376" s="19"/>
    </row>
    <row r="377" spans="5:5">
      <c r="E377" s="19"/>
    </row>
    <row r="378" spans="5:5">
      <c r="E378" s="19"/>
    </row>
    <row r="379" spans="5:5">
      <c r="E379" s="19"/>
    </row>
    <row r="380" spans="5:5">
      <c r="E380" s="19"/>
    </row>
    <row r="381" spans="5:5">
      <c r="E381" s="19"/>
    </row>
    <row r="382" spans="5:5">
      <c r="E382" s="19"/>
    </row>
    <row r="383" spans="5:5">
      <c r="E383" s="19"/>
    </row>
    <row r="384" spans="5:5">
      <c r="E384" s="19"/>
    </row>
    <row r="385" spans="5:5">
      <c r="E385" s="19"/>
    </row>
    <row r="386" spans="5:5">
      <c r="E386" s="19"/>
    </row>
    <row r="387" spans="5:5">
      <c r="E387" s="19"/>
    </row>
    <row r="388" spans="5:5">
      <c r="E388" s="19"/>
    </row>
    <row r="389" spans="5:5">
      <c r="E389" s="19"/>
    </row>
    <row r="390" spans="5:5">
      <c r="E390" s="19"/>
    </row>
    <row r="391" spans="5:5">
      <c r="E391" s="19"/>
    </row>
    <row r="392" spans="5:5">
      <c r="E392" s="19"/>
    </row>
    <row r="393" spans="5:5">
      <c r="E393" s="19"/>
    </row>
    <row r="394" spans="5:5">
      <c r="E394" s="19"/>
    </row>
    <row r="395" spans="5:5">
      <c r="E395" s="19"/>
    </row>
    <row r="396" spans="5:5">
      <c r="E396" s="19"/>
    </row>
    <row r="397" spans="5:5">
      <c r="E397" s="19"/>
    </row>
    <row r="398" spans="5:5">
      <c r="E398" s="19"/>
    </row>
    <row r="399" spans="5:5">
      <c r="E399" s="19"/>
    </row>
    <row r="400" spans="5:5">
      <c r="E400" s="19"/>
    </row>
    <row r="401" spans="5:5">
      <c r="E401" s="19"/>
    </row>
    <row r="402" spans="5:5">
      <c r="E402" s="19"/>
    </row>
    <row r="403" spans="5:5">
      <c r="E403" s="19"/>
    </row>
    <row r="404" spans="5:5">
      <c r="E404" s="19"/>
    </row>
    <row r="405" spans="5:5">
      <c r="E405" s="19"/>
    </row>
    <row r="406" spans="5:5">
      <c r="E406" s="19"/>
    </row>
    <row r="407" spans="5:5">
      <c r="E407" s="19"/>
    </row>
    <row r="408" spans="5:5">
      <c r="E408" s="19"/>
    </row>
    <row r="409" spans="5:5">
      <c r="E409" s="19"/>
    </row>
    <row r="410" spans="5:5">
      <c r="E410" s="19"/>
    </row>
    <row r="411" spans="5:5">
      <c r="E411" s="19"/>
    </row>
    <row r="412" spans="5:5">
      <c r="E412" s="19"/>
    </row>
    <row r="413" spans="5:5">
      <c r="E413" s="19"/>
    </row>
    <row r="414" spans="5:5">
      <c r="E414" s="19"/>
    </row>
    <row r="415" spans="5:5">
      <c r="E415" s="19"/>
    </row>
    <row r="416" spans="5:5">
      <c r="E416" s="19"/>
    </row>
    <row r="417" spans="5:5">
      <c r="E417" s="19"/>
    </row>
    <row r="418" spans="5:5">
      <c r="E418" s="19"/>
    </row>
    <row r="419" spans="5:5">
      <c r="E419" s="19"/>
    </row>
    <row r="420" spans="5:5">
      <c r="E420" s="19"/>
    </row>
    <row r="421" spans="5:5">
      <c r="E421" s="19"/>
    </row>
    <row r="422" spans="5:5">
      <c r="E422" s="19"/>
    </row>
    <row r="423" spans="5:5">
      <c r="E423" s="19"/>
    </row>
    <row r="424" spans="5:5">
      <c r="E424" s="19"/>
    </row>
    <row r="425" spans="5:5">
      <c r="E425" s="19"/>
    </row>
    <row r="426" spans="5:5">
      <c r="E426" s="19"/>
    </row>
    <row r="427" spans="5:5">
      <c r="E427" s="19"/>
    </row>
    <row r="428" spans="5:5">
      <c r="E428" s="19"/>
    </row>
    <row r="429" spans="5:5">
      <c r="E429" s="19"/>
    </row>
    <row r="430" spans="5:5">
      <c r="E430" s="19"/>
    </row>
    <row r="431" spans="5:5">
      <c r="E431" s="19"/>
    </row>
    <row r="432" spans="5:5">
      <c r="E432" s="19"/>
    </row>
    <row r="433" spans="5:5">
      <c r="E433" s="19"/>
    </row>
    <row r="434" spans="5:5">
      <c r="E434" s="19"/>
    </row>
    <row r="435" spans="5:5">
      <c r="E435" s="19"/>
    </row>
    <row r="436" spans="5:5">
      <c r="E436" s="19"/>
    </row>
    <row r="437" spans="5:5">
      <c r="E437" s="19"/>
    </row>
    <row r="438" spans="5:5">
      <c r="E438" s="19"/>
    </row>
    <row r="439" spans="5:5">
      <c r="E439" s="19"/>
    </row>
    <row r="440" spans="5:5">
      <c r="E440" s="19"/>
    </row>
    <row r="441" spans="5:5">
      <c r="E441" s="19"/>
    </row>
    <row r="442" spans="5:5">
      <c r="E442" s="19"/>
    </row>
    <row r="443" spans="5:5">
      <c r="E443" s="19"/>
    </row>
    <row r="444" spans="5:5">
      <c r="E444" s="19"/>
    </row>
    <row r="445" spans="5:5">
      <c r="E445" s="19"/>
    </row>
    <row r="446" spans="5:5">
      <c r="E446" s="19"/>
    </row>
    <row r="447" spans="5:5">
      <c r="E447" s="19"/>
    </row>
    <row r="448" spans="5:5">
      <c r="E448" s="19"/>
    </row>
    <row r="449" spans="5:5">
      <c r="E449" s="19"/>
    </row>
    <row r="450" spans="5:5">
      <c r="E450" s="19"/>
    </row>
    <row r="451" spans="5:5">
      <c r="E451" s="19"/>
    </row>
    <row r="452" spans="5:5">
      <c r="E452" s="19"/>
    </row>
    <row r="453" spans="5:5">
      <c r="E453" s="19"/>
    </row>
    <row r="454" spans="5:5">
      <c r="E454" s="19"/>
    </row>
    <row r="455" spans="5:5">
      <c r="E455" s="19"/>
    </row>
    <row r="456" spans="5:5">
      <c r="E456" s="19"/>
    </row>
    <row r="457" spans="5:5">
      <c r="E457" s="19"/>
    </row>
    <row r="458" spans="5:5">
      <c r="E458" s="19"/>
    </row>
    <row r="459" spans="5:5">
      <c r="E459" s="19"/>
    </row>
    <row r="460" spans="5:5">
      <c r="E460" s="19"/>
    </row>
    <row r="461" spans="5:5">
      <c r="E461" s="19"/>
    </row>
    <row r="462" spans="5:5">
      <c r="E462" s="19"/>
    </row>
    <row r="463" spans="5:5">
      <c r="E463" s="19"/>
    </row>
    <row r="464" spans="5:5">
      <c r="E464" s="19"/>
    </row>
    <row r="465" spans="5:5">
      <c r="E465" s="19"/>
    </row>
    <row r="466" spans="5:5">
      <c r="E466" s="19"/>
    </row>
    <row r="467" spans="5:5">
      <c r="E467" s="19"/>
    </row>
    <row r="468" spans="5:5">
      <c r="E468" s="19"/>
    </row>
    <row r="469" spans="5:5">
      <c r="E469" s="19"/>
    </row>
    <row r="470" spans="5:5">
      <c r="E470" s="19"/>
    </row>
    <row r="471" spans="5:5">
      <c r="E471" s="19"/>
    </row>
    <row r="472" spans="5:5">
      <c r="E472" s="19"/>
    </row>
    <row r="473" spans="5:5">
      <c r="E473" s="19"/>
    </row>
    <row r="474" spans="5:5">
      <c r="E474" s="19"/>
    </row>
    <row r="475" spans="5:5">
      <c r="E475" s="19"/>
    </row>
    <row r="476" spans="5:5">
      <c r="E476" s="19"/>
    </row>
    <row r="477" spans="5:5">
      <c r="E477" s="19"/>
    </row>
    <row r="478" spans="5:5">
      <c r="E478" s="19"/>
    </row>
    <row r="479" spans="5:5">
      <c r="E479" s="19"/>
    </row>
    <row r="480" spans="5:5">
      <c r="E480" s="19"/>
    </row>
    <row r="481" spans="5:5">
      <c r="E481" s="19"/>
    </row>
    <row r="482" spans="5:5">
      <c r="E482" s="19"/>
    </row>
    <row r="483" spans="5:5">
      <c r="E483" s="19"/>
    </row>
    <row r="484" spans="5:5">
      <c r="E484" s="19"/>
    </row>
    <row r="485" spans="5:5">
      <c r="E485" s="19"/>
    </row>
    <row r="486" spans="5:5">
      <c r="E486" s="19"/>
    </row>
    <row r="487" spans="5:5">
      <c r="E487" s="19"/>
    </row>
    <row r="488" spans="5:5">
      <c r="E488" s="19"/>
    </row>
    <row r="489" spans="5:5">
      <c r="E489" s="19"/>
    </row>
    <row r="490" spans="5:5">
      <c r="E490" s="19"/>
    </row>
    <row r="491" spans="5:5">
      <c r="E491" s="19"/>
    </row>
    <row r="492" spans="5:5">
      <c r="E492" s="19"/>
    </row>
    <row r="493" spans="5:5">
      <c r="E493" s="19"/>
    </row>
    <row r="494" spans="5:5">
      <c r="E494" s="19"/>
    </row>
    <row r="495" spans="5:5">
      <c r="E495" s="19"/>
    </row>
    <row r="496" spans="5:5">
      <c r="E496" s="19"/>
    </row>
    <row r="497" spans="5:5">
      <c r="E497" s="19"/>
    </row>
    <row r="498" spans="5:5">
      <c r="E498" s="19"/>
    </row>
    <row r="499" spans="5:5">
      <c r="E499" s="19"/>
    </row>
    <row r="500" spans="5:5">
      <c r="E500" s="19"/>
    </row>
    <row r="501" spans="5:5">
      <c r="E501" s="19"/>
    </row>
    <row r="502" spans="5:5">
      <c r="E502" s="19"/>
    </row>
    <row r="503" spans="5:5">
      <c r="E503" s="19"/>
    </row>
    <row r="504" spans="5:5">
      <c r="E504" s="19"/>
    </row>
    <row r="505" spans="5:5">
      <c r="E505" s="19"/>
    </row>
    <row r="506" spans="5:5">
      <c r="E506" s="19"/>
    </row>
    <row r="507" spans="5:5">
      <c r="E507" s="19"/>
    </row>
    <row r="508" spans="5:5">
      <c r="E508" s="19"/>
    </row>
    <row r="509" spans="5:5">
      <c r="E509" s="19"/>
    </row>
    <row r="510" spans="5:5">
      <c r="E510" s="19"/>
    </row>
    <row r="511" spans="5:5">
      <c r="E511" s="19"/>
    </row>
    <row r="512" spans="5:5">
      <c r="E512" s="19"/>
    </row>
    <row r="513" spans="5:5">
      <c r="E513" s="19"/>
    </row>
    <row r="514" spans="5:5">
      <c r="E514" s="19"/>
    </row>
    <row r="515" spans="5:5">
      <c r="E515" s="19"/>
    </row>
    <row r="516" spans="5:5">
      <c r="E516" s="19"/>
    </row>
    <row r="517" spans="5:5">
      <c r="E517" s="19"/>
    </row>
    <row r="518" spans="5:5">
      <c r="E518" s="19"/>
    </row>
    <row r="519" spans="5:5">
      <c r="E519" s="19"/>
    </row>
    <row r="520" spans="5:5">
      <c r="E520" s="19"/>
    </row>
    <row r="521" spans="5:5">
      <c r="E521" s="19"/>
    </row>
    <row r="522" spans="5:5">
      <c r="E522" s="19"/>
    </row>
    <row r="523" spans="5:5">
      <c r="E523" s="19"/>
    </row>
    <row r="524" spans="5:5">
      <c r="E524" s="19"/>
    </row>
    <row r="525" spans="5:5">
      <c r="E525" s="19"/>
    </row>
    <row r="526" spans="5:5">
      <c r="E526" s="19"/>
    </row>
    <row r="527" spans="5:5">
      <c r="E527" s="19"/>
    </row>
    <row r="528" spans="5:5">
      <c r="E528" s="19"/>
    </row>
    <row r="529" spans="5:5">
      <c r="E529" s="19"/>
    </row>
    <row r="530" spans="5:5">
      <c r="E530" s="19"/>
    </row>
    <row r="531" spans="5:5">
      <c r="E531" s="19"/>
    </row>
    <row r="532" spans="5:5">
      <c r="E532" s="19"/>
    </row>
    <row r="533" spans="5:5">
      <c r="E533" s="19"/>
    </row>
    <row r="534" spans="5:5">
      <c r="E534" s="19"/>
    </row>
    <row r="535" spans="5:5">
      <c r="E535" s="19"/>
    </row>
    <row r="536" spans="5:5">
      <c r="E536" s="19"/>
    </row>
    <row r="537" spans="5:5">
      <c r="E537" s="19"/>
    </row>
    <row r="538" spans="5:5">
      <c r="E538" s="19"/>
    </row>
    <row r="539" spans="5:5">
      <c r="E539" s="19"/>
    </row>
    <row r="540" spans="5:5">
      <c r="E540" s="19"/>
    </row>
    <row r="541" spans="5:5">
      <c r="E541" s="19"/>
    </row>
    <row r="542" spans="5:5">
      <c r="E542" s="19"/>
    </row>
    <row r="543" spans="5:5">
      <c r="E543" s="19"/>
    </row>
    <row r="544" spans="5:5">
      <c r="E544" s="19"/>
    </row>
    <row r="545" spans="5:5">
      <c r="E545" s="19"/>
    </row>
    <row r="546" spans="5:5">
      <c r="E546" s="19"/>
    </row>
    <row r="547" spans="5:5">
      <c r="E547" s="19"/>
    </row>
    <row r="548" spans="5:5">
      <c r="E548" s="19"/>
    </row>
    <row r="549" spans="5:5">
      <c r="E549" s="19"/>
    </row>
    <row r="550" spans="5:5">
      <c r="E550" s="19"/>
    </row>
    <row r="551" spans="5:5">
      <c r="E551" s="19"/>
    </row>
    <row r="552" spans="5:5">
      <c r="E552" s="19"/>
    </row>
    <row r="553" spans="5:5">
      <c r="E553" s="19"/>
    </row>
    <row r="554" spans="5:5">
      <c r="E554" s="19"/>
    </row>
    <row r="555" spans="5:5">
      <c r="E555" s="19"/>
    </row>
    <row r="556" spans="5:5">
      <c r="E556" s="19"/>
    </row>
    <row r="557" spans="5:5">
      <c r="E557" s="19"/>
    </row>
    <row r="558" spans="5:5">
      <c r="E558" s="19"/>
    </row>
    <row r="559" spans="5:5">
      <c r="E559" s="19"/>
    </row>
    <row r="560" spans="5:5">
      <c r="E560" s="19"/>
    </row>
    <row r="561" spans="5:5">
      <c r="E561" s="19"/>
    </row>
    <row r="562" spans="5:5">
      <c r="E562" s="19"/>
    </row>
    <row r="563" spans="5:5">
      <c r="E563" s="19"/>
    </row>
    <row r="564" spans="5:5">
      <c r="E564" s="19"/>
    </row>
    <row r="565" spans="5:5">
      <c r="E565" s="19"/>
    </row>
    <row r="566" spans="5:5">
      <c r="E566" s="19"/>
    </row>
    <row r="567" spans="5:5">
      <c r="E567" s="19"/>
    </row>
    <row r="568" spans="5:5">
      <c r="E568" s="19"/>
    </row>
    <row r="569" spans="5:5">
      <c r="E569" s="19"/>
    </row>
    <row r="570" spans="5:5">
      <c r="E570" s="19"/>
    </row>
    <row r="571" spans="5:5">
      <c r="E571" s="19"/>
    </row>
    <row r="572" spans="5:5">
      <c r="E572" s="19"/>
    </row>
    <row r="573" spans="5:5">
      <c r="E573" s="19"/>
    </row>
    <row r="574" spans="5:5">
      <c r="E574" s="19"/>
    </row>
    <row r="575" spans="5:5">
      <c r="E575" s="19"/>
    </row>
    <row r="576" spans="5:5">
      <c r="E576" s="19"/>
    </row>
    <row r="577" spans="5:5">
      <c r="E577" s="19"/>
    </row>
    <row r="578" spans="5:5">
      <c r="E578" s="19"/>
    </row>
    <row r="579" spans="5:5">
      <c r="E579" s="19"/>
    </row>
    <row r="580" spans="5:5">
      <c r="E580" s="19"/>
    </row>
    <row r="581" spans="5:5">
      <c r="E581" s="19"/>
    </row>
    <row r="582" spans="5:5">
      <c r="E582" s="19"/>
    </row>
    <row r="583" spans="5:5">
      <c r="E583" s="19"/>
    </row>
    <row r="584" spans="5:5">
      <c r="E584" s="19"/>
    </row>
    <row r="585" spans="5:5">
      <c r="E585" s="19"/>
    </row>
    <row r="586" spans="5:5">
      <c r="E586" s="19"/>
    </row>
    <row r="587" spans="5:5">
      <c r="E587" s="19"/>
    </row>
    <row r="588" spans="5:5">
      <c r="E588" s="19"/>
    </row>
    <row r="589" spans="5:5">
      <c r="E589" s="19"/>
    </row>
    <row r="590" spans="5:5">
      <c r="E590" s="19"/>
    </row>
    <row r="591" spans="5:5">
      <c r="E591" s="19"/>
    </row>
    <row r="592" spans="5:5">
      <c r="E592" s="19"/>
    </row>
    <row r="593" spans="5:5">
      <c r="E593" s="19"/>
    </row>
    <row r="594" spans="5:5">
      <c r="E594" s="19"/>
    </row>
    <row r="595" spans="5:5">
      <c r="E595" s="19"/>
    </row>
    <row r="596" spans="5:5">
      <c r="E596" s="19"/>
    </row>
    <row r="597" spans="5:5">
      <c r="E597" s="19"/>
    </row>
    <row r="598" spans="5:5">
      <c r="E598" s="19"/>
    </row>
    <row r="599" spans="5:5">
      <c r="E599" s="19"/>
    </row>
    <row r="600" spans="5:5">
      <c r="E600" s="19"/>
    </row>
    <row r="601" spans="5:5">
      <c r="E601" s="19"/>
    </row>
    <row r="602" spans="5:5">
      <c r="E602" s="19"/>
    </row>
    <row r="603" spans="5:5">
      <c r="E603" s="19"/>
    </row>
    <row r="604" spans="5:5">
      <c r="E604" s="19"/>
    </row>
    <row r="605" spans="5:5">
      <c r="E605" s="19"/>
    </row>
    <row r="606" spans="5:5">
      <c r="E606" s="19"/>
    </row>
    <row r="607" spans="5:5">
      <c r="E607" s="19"/>
    </row>
    <row r="608" spans="5:5">
      <c r="E608" s="19"/>
    </row>
    <row r="609" spans="5:5">
      <c r="E609" s="19"/>
    </row>
    <row r="610" spans="5:5">
      <c r="E610" s="19"/>
    </row>
    <row r="611" spans="5:5">
      <c r="E611" s="19"/>
    </row>
    <row r="612" spans="5:5">
      <c r="E612" s="19"/>
    </row>
    <row r="613" spans="5:5">
      <c r="E613" s="19"/>
    </row>
    <row r="614" spans="5:5">
      <c r="E614" s="19"/>
    </row>
    <row r="615" spans="5:5">
      <c r="E615" s="19"/>
    </row>
    <row r="616" spans="5:5">
      <c r="E616" s="19"/>
    </row>
    <row r="617" spans="5:5">
      <c r="E617" s="19"/>
    </row>
    <row r="618" spans="5:5">
      <c r="E618" s="19"/>
    </row>
    <row r="619" spans="5:5">
      <c r="E619" s="19"/>
    </row>
    <row r="620" spans="5:5">
      <c r="E620" s="19"/>
    </row>
    <row r="621" spans="5:5">
      <c r="E621" s="19"/>
    </row>
    <row r="622" spans="5:5">
      <c r="E622" s="19"/>
    </row>
    <row r="623" spans="5:5">
      <c r="E623" s="19"/>
    </row>
    <row r="624" spans="5:5">
      <c r="E624" s="19"/>
    </row>
    <row r="625" spans="5:5">
      <c r="E625" s="19"/>
    </row>
    <row r="626" spans="5:5">
      <c r="E626" s="19"/>
    </row>
    <row r="627" spans="5:5">
      <c r="E627" s="19"/>
    </row>
    <row r="628" spans="5:5">
      <c r="E628" s="19"/>
    </row>
    <row r="629" spans="5:5">
      <c r="E629" s="19"/>
    </row>
    <row r="630" spans="5:5">
      <c r="E630" s="19"/>
    </row>
    <row r="631" spans="5:5">
      <c r="E631" s="19"/>
    </row>
    <row r="632" spans="5:5">
      <c r="E632" s="19"/>
    </row>
    <row r="633" spans="5:5">
      <c r="E633" s="19"/>
    </row>
    <row r="634" spans="5:5">
      <c r="E634" s="19"/>
    </row>
    <row r="635" spans="5:5">
      <c r="E635" s="19"/>
    </row>
    <row r="636" spans="5:5">
      <c r="E636" s="19"/>
    </row>
    <row r="637" spans="5:5">
      <c r="E637" s="19"/>
    </row>
    <row r="638" spans="5:5">
      <c r="E638" s="19"/>
    </row>
    <row r="639" spans="5:5">
      <c r="E639" s="19"/>
    </row>
    <row r="640" spans="5:5">
      <c r="E640" s="19"/>
    </row>
    <row r="641" spans="5:5">
      <c r="E641" s="19"/>
    </row>
    <row r="642" spans="5:5">
      <c r="E642" s="19"/>
    </row>
    <row r="643" spans="5:5">
      <c r="E643" s="19"/>
    </row>
    <row r="644" spans="5:5">
      <c r="E644" s="19"/>
    </row>
    <row r="645" spans="5:5">
      <c r="E645" s="19"/>
    </row>
    <row r="646" spans="5:5">
      <c r="E646" s="19"/>
    </row>
    <row r="647" spans="5:5">
      <c r="E647" s="19"/>
    </row>
    <row r="648" spans="5:5">
      <c r="E648" s="19"/>
    </row>
    <row r="649" spans="5:5">
      <c r="E649" s="19"/>
    </row>
    <row r="650" spans="5:5">
      <c r="E650" s="19"/>
    </row>
    <row r="651" spans="5:5">
      <c r="E651" s="19"/>
    </row>
    <row r="652" spans="5:5">
      <c r="E652" s="19"/>
    </row>
    <row r="653" spans="5:5">
      <c r="E653" s="19"/>
    </row>
    <row r="654" spans="5:5">
      <c r="E654" s="19"/>
    </row>
    <row r="655" spans="5:5">
      <c r="E655" s="19"/>
    </row>
    <row r="656" spans="5:5">
      <c r="E656" s="19"/>
    </row>
    <row r="657" spans="5:5">
      <c r="E657" s="19"/>
    </row>
    <row r="658" spans="5:5">
      <c r="E658" s="19"/>
    </row>
    <row r="659" spans="5:5">
      <c r="E659" s="19"/>
    </row>
    <row r="660" spans="5:5">
      <c r="E660" s="19"/>
    </row>
    <row r="661" spans="5:5">
      <c r="E661" s="19"/>
    </row>
    <row r="662" spans="5:5">
      <c r="E662" s="19"/>
    </row>
    <row r="663" spans="5:5">
      <c r="E663" s="19"/>
    </row>
    <row r="664" spans="5:5">
      <c r="E664" s="19"/>
    </row>
    <row r="665" spans="5:5">
      <c r="E665" s="19"/>
    </row>
    <row r="666" spans="5:5">
      <c r="E666" s="19"/>
    </row>
    <row r="667" spans="5:5">
      <c r="E667" s="19"/>
    </row>
    <row r="668" spans="5:5">
      <c r="E668" s="19"/>
    </row>
    <row r="669" spans="5:5">
      <c r="E669" s="19"/>
    </row>
    <row r="670" spans="5:5">
      <c r="E670" s="19"/>
    </row>
    <row r="671" spans="5:5">
      <c r="E671" s="19"/>
    </row>
    <row r="672" spans="5:5">
      <c r="E672" s="19"/>
    </row>
    <row r="673" spans="5:5">
      <c r="E673" s="19"/>
    </row>
    <row r="674" spans="5:5">
      <c r="E674" s="19"/>
    </row>
    <row r="675" spans="5:5">
      <c r="E675" s="19"/>
    </row>
    <row r="676" spans="5:5">
      <c r="E676" s="19"/>
    </row>
    <row r="677" spans="5:5">
      <c r="E677" s="19"/>
    </row>
    <row r="678" spans="5:5">
      <c r="E678" s="19"/>
    </row>
    <row r="679" spans="5:5">
      <c r="E679" s="19"/>
    </row>
    <row r="680" spans="5:5">
      <c r="E680" s="19"/>
    </row>
    <row r="681" spans="5:5">
      <c r="E681" s="19"/>
    </row>
    <row r="682" spans="5:5">
      <c r="E682" s="19"/>
    </row>
    <row r="683" spans="5:5">
      <c r="E683" s="19"/>
    </row>
    <row r="684" spans="5:5">
      <c r="E684" s="19"/>
    </row>
    <row r="685" spans="5:5">
      <c r="E685" s="19"/>
    </row>
    <row r="686" spans="5:5">
      <c r="E686" s="19"/>
    </row>
    <row r="687" spans="5:5">
      <c r="E687" s="19"/>
    </row>
    <row r="688" spans="5:5">
      <c r="E688" s="19"/>
    </row>
    <row r="689" spans="5:5">
      <c r="E689" s="19"/>
    </row>
    <row r="690" spans="5:5">
      <c r="E690" s="19"/>
    </row>
    <row r="691" spans="5:5">
      <c r="E691" s="19"/>
    </row>
    <row r="692" spans="5:5">
      <c r="E692" s="19"/>
    </row>
    <row r="693" spans="5:5">
      <c r="E693" s="19"/>
    </row>
    <row r="694" spans="5:5">
      <c r="E694" s="19"/>
    </row>
    <row r="695" spans="5:5">
      <c r="E695" s="19"/>
    </row>
    <row r="696" spans="5:5">
      <c r="E696" s="19"/>
    </row>
    <row r="697" spans="5:5">
      <c r="E697" s="19"/>
    </row>
    <row r="698" spans="5:5">
      <c r="E698" s="19"/>
    </row>
    <row r="699" spans="5:5">
      <c r="E699" s="19"/>
    </row>
    <row r="700" spans="5:5">
      <c r="E700" s="19"/>
    </row>
    <row r="701" spans="5:5">
      <c r="E701" s="19"/>
    </row>
    <row r="702" spans="5:5">
      <c r="E702" s="19"/>
    </row>
    <row r="703" spans="5:5">
      <c r="E703" s="19"/>
    </row>
    <row r="704" spans="5:5">
      <c r="E704" s="19"/>
    </row>
    <row r="705" spans="5:5">
      <c r="E705" s="19"/>
    </row>
    <row r="706" spans="5:5">
      <c r="E706" s="19"/>
    </row>
    <row r="707" spans="5:5">
      <c r="E707" s="19"/>
    </row>
    <row r="708" spans="5:5">
      <c r="E708" s="19"/>
    </row>
    <row r="709" spans="5:5">
      <c r="E709" s="19"/>
    </row>
    <row r="710" spans="5:5">
      <c r="E710" s="19"/>
    </row>
    <row r="711" spans="5:5">
      <c r="E711" s="19"/>
    </row>
    <row r="712" spans="5:5">
      <c r="E712" s="19"/>
    </row>
    <row r="713" spans="5:5">
      <c r="E713" s="19"/>
    </row>
    <row r="714" spans="5:5">
      <c r="E714" s="19"/>
    </row>
    <row r="715" spans="5:5">
      <c r="E715" s="19"/>
    </row>
    <row r="716" spans="5:5">
      <c r="E716" s="19"/>
    </row>
    <row r="717" spans="5:5">
      <c r="E717" s="19"/>
    </row>
    <row r="718" spans="5:5">
      <c r="E718" s="19"/>
    </row>
    <row r="719" spans="5:5">
      <c r="E719" s="19"/>
    </row>
    <row r="720" spans="5:5">
      <c r="E720" s="19"/>
    </row>
    <row r="721" spans="5:5">
      <c r="E721" s="19"/>
    </row>
    <row r="722" spans="5:5">
      <c r="E722" s="19"/>
    </row>
    <row r="723" spans="5:5">
      <c r="E723" s="19"/>
    </row>
    <row r="724" spans="5:5">
      <c r="E724" s="19"/>
    </row>
    <row r="725" spans="5:5">
      <c r="E725" s="19"/>
    </row>
    <row r="726" spans="5:5">
      <c r="E726" s="19"/>
    </row>
    <row r="727" spans="5:5">
      <c r="E727" s="19"/>
    </row>
    <row r="728" spans="5:5">
      <c r="E728" s="19"/>
    </row>
    <row r="729" spans="5:5">
      <c r="E729" s="19"/>
    </row>
    <row r="730" spans="5:5">
      <c r="E730" s="19"/>
    </row>
    <row r="731" spans="5:5">
      <c r="E731" s="19"/>
    </row>
    <row r="732" spans="5:5">
      <c r="E732" s="19"/>
    </row>
    <row r="733" spans="5:5">
      <c r="E733" s="19"/>
    </row>
    <row r="734" spans="5:5">
      <c r="E734" s="19"/>
    </row>
    <row r="735" spans="5:5">
      <c r="E735" s="19"/>
    </row>
    <row r="736" spans="5:5">
      <c r="E736" s="19"/>
    </row>
    <row r="737" spans="5:5">
      <c r="E737" s="19"/>
    </row>
    <row r="738" spans="5:5">
      <c r="E738" s="19"/>
    </row>
    <row r="739" spans="5:5">
      <c r="E739" s="19"/>
    </row>
    <row r="740" spans="5:5">
      <c r="E740" s="19"/>
    </row>
    <row r="741" spans="5:5">
      <c r="E741" s="19"/>
    </row>
    <row r="742" spans="5:5">
      <c r="E742" s="19"/>
    </row>
    <row r="743" spans="5:5">
      <c r="E743" s="19"/>
    </row>
    <row r="744" spans="5:5">
      <c r="E744" s="19"/>
    </row>
    <row r="745" spans="5:5">
      <c r="E745" s="19"/>
    </row>
    <row r="746" spans="5:5">
      <c r="E746" s="19"/>
    </row>
    <row r="747" spans="5:5">
      <c r="E747" s="19"/>
    </row>
    <row r="748" spans="5:5">
      <c r="E748" s="19"/>
    </row>
    <row r="749" spans="5:5">
      <c r="E749" s="19"/>
    </row>
    <row r="750" spans="5:5">
      <c r="E750" s="19"/>
    </row>
    <row r="751" spans="5:5">
      <c r="E751" s="19"/>
    </row>
    <row r="752" spans="5:5">
      <c r="E752" s="19"/>
    </row>
    <row r="753" spans="5:5">
      <c r="E753" s="19"/>
    </row>
    <row r="754" spans="5:5">
      <c r="E754" s="19"/>
    </row>
    <row r="755" spans="5:5">
      <c r="E755" s="19"/>
    </row>
    <row r="756" spans="5:5">
      <c r="E756" s="19"/>
    </row>
    <row r="757" spans="5:5">
      <c r="E757" s="19"/>
    </row>
    <row r="758" spans="5:5">
      <c r="E758" s="19"/>
    </row>
    <row r="759" spans="5:5">
      <c r="E759" s="19"/>
    </row>
    <row r="760" spans="5:5">
      <c r="E760" s="19"/>
    </row>
    <row r="761" spans="5:5">
      <c r="E761" s="19"/>
    </row>
    <row r="762" spans="5:5">
      <c r="E762" s="19"/>
    </row>
    <row r="763" spans="5:5">
      <c r="E763" s="19"/>
    </row>
    <row r="764" spans="5:5">
      <c r="E764" s="19"/>
    </row>
    <row r="765" spans="5:5">
      <c r="E765" s="19"/>
    </row>
    <row r="766" spans="5:5">
      <c r="E766" s="19"/>
    </row>
    <row r="767" spans="5:5">
      <c r="E767" s="19"/>
    </row>
    <row r="768" spans="5:5">
      <c r="E768" s="19"/>
    </row>
    <row r="769" spans="5:5">
      <c r="E769" s="19"/>
    </row>
    <row r="770" spans="5:5">
      <c r="E770" s="19"/>
    </row>
    <row r="771" spans="5:5">
      <c r="E771" s="19"/>
    </row>
    <row r="772" spans="5:5">
      <c r="E772" s="19"/>
    </row>
    <row r="773" spans="5:5">
      <c r="E773" s="19"/>
    </row>
    <row r="774" spans="5:5">
      <c r="E774" s="19"/>
    </row>
    <row r="775" spans="5:5">
      <c r="E775" s="19"/>
    </row>
    <row r="776" spans="5:5">
      <c r="E776" s="19"/>
    </row>
    <row r="777" spans="5:5">
      <c r="E777" s="19"/>
    </row>
    <row r="778" spans="5:5">
      <c r="E778" s="19"/>
    </row>
    <row r="779" spans="5:5">
      <c r="E779" s="19"/>
    </row>
    <row r="780" spans="5:5">
      <c r="E780" s="19"/>
    </row>
    <row r="781" spans="5:5">
      <c r="E781" s="19"/>
    </row>
    <row r="782" spans="5:5">
      <c r="E782" s="19"/>
    </row>
    <row r="783" spans="5:5">
      <c r="E783" s="19"/>
    </row>
    <row r="784" spans="5:5">
      <c r="E784" s="19"/>
    </row>
    <row r="785" spans="5:5">
      <c r="E785" s="19"/>
    </row>
    <row r="786" spans="5:5">
      <c r="E786" s="19"/>
    </row>
    <row r="787" spans="5:5">
      <c r="E787" s="19"/>
    </row>
    <row r="788" spans="5:5">
      <c r="E788" s="19"/>
    </row>
    <row r="789" spans="5:5">
      <c r="E789" s="19"/>
    </row>
    <row r="790" spans="5:5">
      <c r="E790" s="19"/>
    </row>
    <row r="791" spans="5:5">
      <c r="E791" s="19"/>
    </row>
    <row r="792" spans="5:5">
      <c r="E792" s="19"/>
    </row>
    <row r="793" spans="5:5">
      <c r="E793" s="19"/>
    </row>
    <row r="794" spans="5:5">
      <c r="E794" s="19"/>
    </row>
    <row r="795" spans="5:5">
      <c r="E795" s="19"/>
    </row>
    <row r="796" spans="5:5">
      <c r="E796" s="19"/>
    </row>
    <row r="797" spans="5:5">
      <c r="E797" s="19"/>
    </row>
    <row r="798" spans="5:5">
      <c r="E798" s="19"/>
    </row>
    <row r="799" spans="5:5">
      <c r="E799" s="19"/>
    </row>
    <row r="800" spans="5:5">
      <c r="E800" s="19"/>
    </row>
    <row r="801" spans="5:5">
      <c r="E801" s="19"/>
    </row>
    <row r="802" spans="5:5">
      <c r="E802" s="19"/>
    </row>
    <row r="803" spans="5:5">
      <c r="E803" s="19"/>
    </row>
    <row r="804" spans="5:5">
      <c r="E804" s="19"/>
    </row>
    <row r="805" spans="5:5">
      <c r="E805" s="19"/>
    </row>
    <row r="806" spans="5:5">
      <c r="E806" s="19"/>
    </row>
    <row r="807" spans="5:5">
      <c r="E807" s="19"/>
    </row>
    <row r="808" spans="5:5">
      <c r="E808" s="19"/>
    </row>
    <row r="809" spans="5:5">
      <c r="E809" s="19"/>
    </row>
    <row r="810" spans="5:5">
      <c r="E810" s="19"/>
    </row>
    <row r="811" spans="5:5">
      <c r="E811" s="19"/>
    </row>
    <row r="812" spans="5:5">
      <c r="E812" s="19"/>
    </row>
    <row r="813" spans="5:5">
      <c r="E813" s="19"/>
    </row>
    <row r="814" spans="5:5">
      <c r="E814" s="19"/>
    </row>
    <row r="815" spans="5:5">
      <c r="E815" s="19"/>
    </row>
    <row r="816" spans="5:5">
      <c r="E816" s="19"/>
    </row>
    <row r="817" spans="5:5">
      <c r="E817" s="19"/>
    </row>
    <row r="818" spans="5:5">
      <c r="E818" s="19"/>
    </row>
    <row r="819" spans="5:5">
      <c r="E819" s="19"/>
    </row>
    <row r="820" spans="5:5">
      <c r="E820" s="19"/>
    </row>
    <row r="821" spans="5:5">
      <c r="E821" s="19"/>
    </row>
    <row r="822" spans="5:5">
      <c r="E822" s="19"/>
    </row>
    <row r="823" spans="5:5">
      <c r="E823" s="19"/>
    </row>
    <row r="824" spans="5:5">
      <c r="E824" s="19"/>
    </row>
    <row r="825" spans="5:5">
      <c r="E825" s="19"/>
    </row>
    <row r="826" spans="5:5">
      <c r="E826" s="19"/>
    </row>
    <row r="827" spans="5:5">
      <c r="E827" s="19"/>
    </row>
    <row r="828" spans="5:5">
      <c r="E828" s="19"/>
    </row>
    <row r="829" spans="5:5">
      <c r="E829" s="19"/>
    </row>
    <row r="830" spans="5:5">
      <c r="E830" s="19"/>
    </row>
    <row r="831" spans="5:5">
      <c r="E831" s="19"/>
    </row>
    <row r="832" spans="5:5">
      <c r="E832" s="19"/>
    </row>
    <row r="833" spans="5:5">
      <c r="E833" s="19"/>
    </row>
    <row r="834" spans="5:5">
      <c r="E834" s="19"/>
    </row>
    <row r="835" spans="5:5">
      <c r="E835" s="19"/>
    </row>
    <row r="836" spans="5:5">
      <c r="E836" s="19"/>
    </row>
    <row r="837" spans="5:5">
      <c r="E837" s="19"/>
    </row>
    <row r="838" spans="5:5">
      <c r="E838" s="19"/>
    </row>
    <row r="839" spans="5:5">
      <c r="E839" s="19"/>
    </row>
    <row r="840" spans="5:5">
      <c r="E840" s="19"/>
    </row>
    <row r="841" spans="5:5">
      <c r="E841" s="19"/>
    </row>
    <row r="842" spans="5:5">
      <c r="E842" s="19"/>
    </row>
    <row r="843" spans="5:5">
      <c r="E843" s="19"/>
    </row>
    <row r="844" spans="5:5">
      <c r="E844" s="19"/>
    </row>
    <row r="845" spans="5:5">
      <c r="E845" s="19"/>
    </row>
    <row r="846" spans="5:5">
      <c r="E846" s="19"/>
    </row>
    <row r="847" spans="5:5">
      <c r="E847" s="19"/>
    </row>
    <row r="848" spans="5:5">
      <c r="E848" s="19"/>
    </row>
    <row r="849" spans="5:5">
      <c r="E849" s="19"/>
    </row>
    <row r="850" spans="5:5">
      <c r="E850" s="19"/>
    </row>
    <row r="851" spans="5:5">
      <c r="E851" s="19"/>
    </row>
    <row r="852" spans="5:5">
      <c r="E852" s="19"/>
    </row>
    <row r="853" spans="5:5">
      <c r="E853" s="19"/>
    </row>
    <row r="854" spans="5:5">
      <c r="E854" s="19"/>
    </row>
    <row r="855" spans="5:5">
      <c r="E855" s="19"/>
    </row>
    <row r="856" spans="5:5">
      <c r="E856" s="19"/>
    </row>
    <row r="857" spans="5:5">
      <c r="E857" s="19"/>
    </row>
    <row r="858" spans="5:5">
      <c r="E858" s="19"/>
    </row>
  </sheetData>
  <conditionalFormatting sqref="G229:G237 F229:F234 F236:F237 F227:J227 H237:K237 H229:H231 E238:J238 H233:H236 I229:J236 F212:J220">
    <cfRule type="expression" dxfId="14" priority="1">
      <formula>#REF!=0</formula>
    </cfRule>
  </conditionalFormatting>
  <printOptions headings="1"/>
  <pageMargins left="0.23622047244094491" right="0.27559055118110237" top="0.74803149606299213" bottom="0.74803149606299213" header="0.31496062992125984" footer="0.31496062992125984"/>
  <pageSetup paperSize="8" scale="53" fitToHeight="0" orientation="portrait" r:id="rId1"/>
  <drawing r:id="rId2"/>
  <legacyDrawing r:id="rId3"/>
</worksheet>
</file>

<file path=xl/worksheets/sheet7.xml><?xml version="1.0" encoding="utf-8"?>
<worksheet xmlns="http://schemas.openxmlformats.org/spreadsheetml/2006/main" xmlns:r="http://schemas.openxmlformats.org/officeDocument/2006/relationships">
  <sheetPr codeName="Sheet44">
    <tabColor theme="9" tint="0.79998168889431442"/>
    <pageSetUpPr fitToPage="1"/>
  </sheetPr>
  <dimension ref="A1:Z858"/>
  <sheetViews>
    <sheetView zoomScaleNormal="100" workbookViewId="0"/>
  </sheetViews>
  <sheetFormatPr defaultRowHeight="15"/>
  <cols>
    <col min="1" max="2" width="4.140625" style="22" customWidth="1"/>
    <col min="3" max="3" width="47.5703125" style="22" customWidth="1"/>
    <col min="4" max="4" width="13.5703125" style="22" customWidth="1"/>
    <col min="5" max="5" width="10.5703125" style="22" customWidth="1"/>
    <col min="6" max="6" width="13.42578125" style="22" customWidth="1"/>
    <col min="7" max="7" width="10.42578125" style="22" customWidth="1"/>
    <col min="8" max="8" width="11.5703125" style="22" customWidth="1"/>
    <col min="9" max="9" width="10.28515625" style="22" customWidth="1"/>
    <col min="10" max="10" width="13.7109375" style="22" customWidth="1"/>
    <col min="11" max="11" width="11.28515625" style="22" customWidth="1"/>
    <col min="12" max="12" width="19.5703125" style="22" bestFit="1" customWidth="1"/>
    <col min="13" max="13" width="11.5703125" style="22" bestFit="1" customWidth="1"/>
    <col min="14" max="16384" width="9.140625" style="22"/>
  </cols>
  <sheetData>
    <row r="1" spans="1:16" ht="23.25">
      <c r="A1" s="27"/>
      <c r="C1" s="1" t="str">
        <f ca="1">OFFSET(Inputs_Anchor,0,G1+1)</f>
        <v xml:space="preserve">Centralines </v>
      </c>
      <c r="D1" s="1"/>
      <c r="E1" s="1"/>
      <c r="F1" s="4" t="s">
        <v>109</v>
      </c>
      <c r="G1" s="5">
        <v>3</v>
      </c>
      <c r="H1" s="1"/>
      <c r="I1" s="1"/>
      <c r="J1" s="1"/>
      <c r="K1" s="1"/>
      <c r="L1" s="1"/>
      <c r="M1" s="1"/>
      <c r="N1" s="1"/>
      <c r="O1" s="1"/>
      <c r="P1" s="1"/>
    </row>
    <row r="2" spans="1:16">
      <c r="A2" s="27"/>
      <c r="L2" s="26"/>
    </row>
    <row r="3" spans="1:16" ht="23.25">
      <c r="C3" s="1" t="s">
        <v>3</v>
      </c>
      <c r="D3" s="1"/>
      <c r="E3" s="1"/>
      <c r="F3" s="1"/>
      <c r="G3" s="1"/>
      <c r="H3" s="1"/>
      <c r="I3" s="1"/>
      <c r="J3" s="1"/>
      <c r="K3" s="1"/>
      <c r="L3" s="1"/>
      <c r="M3" s="1"/>
      <c r="N3" s="1"/>
      <c r="O3" s="1"/>
      <c r="P3" s="1"/>
    </row>
    <row r="4" spans="1:16">
      <c r="A4" s="27"/>
      <c r="B4" s="27"/>
      <c r="C4" s="27"/>
      <c r="D4" s="147" t="s">
        <v>57</v>
      </c>
      <c r="E4" s="147" t="s">
        <v>58</v>
      </c>
      <c r="F4" s="27"/>
      <c r="G4" s="27"/>
      <c r="H4" s="148" t="s">
        <v>5</v>
      </c>
      <c r="I4" s="27"/>
      <c r="J4" s="27"/>
      <c r="K4" s="27"/>
      <c r="L4" s="27"/>
    </row>
    <row r="5" spans="1:16">
      <c r="A5" s="30"/>
      <c r="B5" s="27"/>
      <c r="C5" s="27"/>
      <c r="D5" s="147" t="s">
        <v>56</v>
      </c>
      <c r="E5" s="147"/>
      <c r="F5" s="27"/>
      <c r="G5" s="27"/>
      <c r="H5" s="27"/>
      <c r="I5" s="27"/>
      <c r="J5" s="27"/>
      <c r="K5" s="27"/>
      <c r="L5" s="27"/>
    </row>
    <row r="6" spans="1:16">
      <c r="A6" s="119"/>
      <c r="B6" s="50"/>
      <c r="C6" s="99" t="s">
        <v>1</v>
      </c>
      <c r="D6" s="50"/>
      <c r="E6" s="99" t="str">
        <f>Inputs!D11</f>
        <v>2009/10</v>
      </c>
      <c r="F6" s="99" t="str">
        <f>Inputs!E11</f>
        <v>2010/11</v>
      </c>
      <c r="G6" s="99" t="str">
        <f>Inputs!F11</f>
        <v>2011/12</v>
      </c>
      <c r="H6" s="99" t="str">
        <f>Inputs!G11</f>
        <v>2012/13</v>
      </c>
      <c r="I6" s="99" t="str">
        <f>Inputs!H11</f>
        <v>2013/14</v>
      </c>
      <c r="J6" s="99" t="str">
        <f>Inputs!I11</f>
        <v>2014/15</v>
      </c>
      <c r="K6" s="99"/>
      <c r="L6" s="67"/>
    </row>
    <row r="7" spans="1:16">
      <c r="A7" s="119"/>
      <c r="B7" s="50"/>
      <c r="C7" s="50" t="s">
        <v>59</v>
      </c>
      <c r="D7" s="50"/>
      <c r="E7" s="125">
        <v>1</v>
      </c>
      <c r="F7" s="125">
        <v>2</v>
      </c>
      <c r="G7" s="125">
        <v>3</v>
      </c>
      <c r="H7" s="125">
        <v>4</v>
      </c>
      <c r="I7" s="125">
        <v>5</v>
      </c>
      <c r="J7" s="125">
        <v>6</v>
      </c>
      <c r="K7" s="125"/>
      <c r="L7" s="67"/>
    </row>
    <row r="8" spans="1:16">
      <c r="A8" s="119">
        <v>1</v>
      </c>
      <c r="B8" s="149"/>
      <c r="C8" s="50" t="str">
        <f>Inputs!B20</f>
        <v>Line Revenue through Prices</v>
      </c>
      <c r="D8" s="50"/>
      <c r="E8" s="47">
        <f t="shared" ref="E8:E27" si="0">INDEX(InputsBlock,A8+1,$G$1+2)</f>
        <v>8632</v>
      </c>
      <c r="F8" s="50"/>
      <c r="G8" s="50"/>
      <c r="H8" s="50"/>
      <c r="I8" s="50"/>
      <c r="J8" s="50"/>
      <c r="K8" s="50"/>
      <c r="L8" s="27"/>
    </row>
    <row r="9" spans="1:16">
      <c r="A9" s="119">
        <f t="shared" ref="A9:A27" si="1">A8+1</f>
        <v>2</v>
      </c>
      <c r="B9" s="149"/>
      <c r="C9" s="50" t="str">
        <f>Inputs!B21</f>
        <v>Pass-through costs</v>
      </c>
      <c r="D9" s="50"/>
      <c r="E9" s="47">
        <f t="shared" si="0"/>
        <v>63</v>
      </c>
      <c r="F9" s="50"/>
      <c r="G9" s="50"/>
      <c r="H9" s="50"/>
      <c r="I9" s="50"/>
      <c r="J9" s="50"/>
      <c r="K9" s="50"/>
      <c r="L9" s="27"/>
    </row>
    <row r="10" spans="1:16">
      <c r="A10" s="119">
        <f t="shared" si="1"/>
        <v>3</v>
      </c>
      <c r="B10" s="149"/>
      <c r="C10" s="50" t="str">
        <f>Inputs!B22</f>
        <v>Recoverable costs</v>
      </c>
      <c r="D10" s="50"/>
      <c r="E10" s="47">
        <f t="shared" si="0"/>
        <v>2257</v>
      </c>
      <c r="F10" s="50"/>
      <c r="G10" s="50"/>
      <c r="H10" s="50"/>
      <c r="I10" s="50"/>
      <c r="J10" s="50"/>
      <c r="K10" s="50"/>
      <c r="L10" s="27"/>
    </row>
    <row r="11" spans="1:16">
      <c r="A11" s="119">
        <f t="shared" si="1"/>
        <v>4</v>
      </c>
      <c r="B11" s="149"/>
      <c r="C11" s="50" t="str">
        <f>Inputs!B23</f>
        <v>Opening RAB</v>
      </c>
      <c r="D11" s="50"/>
      <c r="E11" s="47">
        <f t="shared" si="0"/>
        <v>42857</v>
      </c>
      <c r="F11" s="50"/>
      <c r="G11" s="50"/>
      <c r="H11" s="50"/>
      <c r="I11" s="50"/>
      <c r="J11" s="50"/>
      <c r="K11" s="50"/>
      <c r="L11" s="150"/>
    </row>
    <row r="12" spans="1:16">
      <c r="A12" s="119">
        <f t="shared" si="1"/>
        <v>5</v>
      </c>
      <c r="B12" s="149"/>
      <c r="C12" s="50" t="str">
        <f>Inputs!B24</f>
        <v>Lost assets</v>
      </c>
      <c r="D12" s="50"/>
      <c r="E12" s="47">
        <f t="shared" si="0"/>
        <v>0</v>
      </c>
      <c r="F12" s="50"/>
      <c r="G12" s="50"/>
      <c r="H12" s="50"/>
      <c r="I12" s="50"/>
      <c r="J12" s="50"/>
      <c r="K12" s="50"/>
      <c r="L12" s="150"/>
    </row>
    <row r="13" spans="1:16">
      <c r="A13" s="119">
        <f t="shared" si="1"/>
        <v>6</v>
      </c>
      <c r="B13" s="149"/>
      <c r="C13" s="50" t="str">
        <f>Inputs!B25</f>
        <v>Found Assets</v>
      </c>
      <c r="D13" s="50"/>
      <c r="E13" s="47">
        <f t="shared" si="0"/>
        <v>0</v>
      </c>
      <c r="F13" s="50"/>
      <c r="G13" s="50"/>
      <c r="H13" s="50"/>
      <c r="I13" s="50"/>
      <c r="J13" s="50"/>
      <c r="K13" s="50"/>
      <c r="L13" s="150"/>
    </row>
    <row r="14" spans="1:16">
      <c r="A14" s="119">
        <f t="shared" si="1"/>
        <v>7</v>
      </c>
      <c r="B14" s="149"/>
      <c r="C14" s="50" t="str">
        <f>Inputs!B26</f>
        <v>Total Depreciation</v>
      </c>
      <c r="D14" s="50"/>
      <c r="E14" s="47">
        <f t="shared" si="0"/>
        <v>2023</v>
      </c>
      <c r="F14" s="47"/>
      <c r="G14" s="191" t="s">
        <v>280</v>
      </c>
      <c r="H14" s="50"/>
      <c r="I14" s="50"/>
      <c r="J14" s="50"/>
      <c r="K14" s="50"/>
      <c r="L14" s="27"/>
    </row>
    <row r="15" spans="1:16">
      <c r="A15" s="119">
        <f t="shared" si="1"/>
        <v>8</v>
      </c>
      <c r="B15" s="149"/>
      <c r="C15" s="50" t="str">
        <f>Inputs!B27</f>
        <v>RAB of disposed assets</v>
      </c>
      <c r="D15" s="50"/>
      <c r="E15" s="47">
        <f t="shared" si="0"/>
        <v>0</v>
      </c>
      <c r="F15" s="50"/>
      <c r="G15" s="175" t="s">
        <v>281</v>
      </c>
      <c r="H15" s="50"/>
      <c r="I15" s="50"/>
      <c r="J15" s="50"/>
      <c r="K15" s="50"/>
      <c r="L15" s="27"/>
    </row>
    <row r="16" spans="1:16">
      <c r="A16" s="119">
        <f t="shared" si="1"/>
        <v>9</v>
      </c>
      <c r="B16" s="149"/>
      <c r="C16" s="50" t="str">
        <f>Inputs!B28</f>
        <v>Discretionary discounts &amp;  rebates</v>
      </c>
      <c r="D16" s="50"/>
      <c r="E16" s="47">
        <f t="shared" si="0"/>
        <v>772</v>
      </c>
      <c r="F16" s="50"/>
      <c r="G16" s="175" t="s">
        <v>282</v>
      </c>
      <c r="H16" s="50"/>
      <c r="I16" s="50"/>
      <c r="J16" s="50"/>
      <c r="K16" s="50"/>
      <c r="L16" s="27"/>
    </row>
    <row r="17" spans="1:22">
      <c r="A17" s="119">
        <f t="shared" si="1"/>
        <v>10</v>
      </c>
      <c r="B17" s="149"/>
      <c r="C17" s="50" t="str">
        <f>Inputs!B29</f>
        <v>Tax Depreciation</v>
      </c>
      <c r="D17" s="50"/>
      <c r="E17" s="47">
        <f t="shared" si="0"/>
        <v>1623</v>
      </c>
      <c r="F17" s="50"/>
      <c r="G17" s="175" t="s">
        <v>283</v>
      </c>
      <c r="H17" s="50"/>
      <c r="I17" s="50"/>
      <c r="J17" s="50"/>
      <c r="K17" s="50"/>
      <c r="L17" s="27"/>
    </row>
    <row r="18" spans="1:22">
      <c r="A18" s="119">
        <f t="shared" si="1"/>
        <v>11</v>
      </c>
      <c r="B18" s="149"/>
      <c r="C18" s="50" t="str">
        <f>Inputs!B30</f>
        <v>Opening regulatory tax asset value</v>
      </c>
      <c r="D18" s="50"/>
      <c r="E18" s="47">
        <f t="shared" si="0"/>
        <v>16845.659</v>
      </c>
      <c r="F18" s="50"/>
      <c r="G18" s="50"/>
      <c r="H18" s="50"/>
      <c r="I18" s="50"/>
      <c r="J18" s="50"/>
      <c r="K18" s="50"/>
      <c r="L18" s="27"/>
    </row>
    <row r="19" spans="1:22">
      <c r="A19" s="119">
        <f t="shared" si="1"/>
        <v>12</v>
      </c>
      <c r="B19" s="149"/>
      <c r="C19" s="50" t="str">
        <f>Inputs!B31</f>
        <v>Weighted Average Remaining Life at year-end</v>
      </c>
      <c r="D19" s="50"/>
      <c r="E19" s="47">
        <f t="shared" si="0"/>
        <v>26.827782749565365</v>
      </c>
      <c r="F19" s="50"/>
      <c r="G19" s="50"/>
      <c r="H19" s="50"/>
      <c r="I19" s="50"/>
      <c r="J19" s="50"/>
      <c r="K19" s="50"/>
      <c r="L19" s="27"/>
    </row>
    <row r="20" spans="1:22">
      <c r="A20" s="119">
        <f t="shared" si="1"/>
        <v>13</v>
      </c>
      <c r="B20" s="149"/>
      <c r="C20" s="50" t="str">
        <f>Inputs!B32</f>
        <v>Term Credit Spread Differential Allowance</v>
      </c>
      <c r="D20" s="50"/>
      <c r="E20" s="47">
        <f t="shared" si="0"/>
        <v>0</v>
      </c>
      <c r="F20" s="50"/>
      <c r="G20" s="50"/>
      <c r="H20" s="50"/>
      <c r="I20" s="50"/>
      <c r="J20" s="50"/>
      <c r="K20" s="50"/>
      <c r="L20" s="27"/>
    </row>
    <row r="21" spans="1:22">
      <c r="A21" s="119">
        <f t="shared" si="1"/>
        <v>14</v>
      </c>
      <c r="B21" s="149"/>
      <c r="C21" s="50" t="s">
        <v>98</v>
      </c>
      <c r="D21" s="50"/>
      <c r="E21" s="47">
        <f t="shared" si="0"/>
        <v>2549.2330000000002</v>
      </c>
      <c r="F21" s="50"/>
      <c r="G21" s="50"/>
      <c r="H21" s="50"/>
      <c r="I21" s="50"/>
      <c r="J21" s="50"/>
      <c r="K21" s="50"/>
      <c r="L21" s="27"/>
    </row>
    <row r="22" spans="1:22">
      <c r="A22" s="119">
        <f t="shared" si="1"/>
        <v>15</v>
      </c>
      <c r="B22" s="149"/>
      <c r="C22" s="50" t="str">
        <f>Inputs!B34</f>
        <v>Operating expenditure 2009/10</v>
      </c>
      <c r="D22" s="50"/>
      <c r="E22" s="47">
        <f t="shared" si="0"/>
        <v>2559</v>
      </c>
      <c r="F22" s="50"/>
      <c r="G22" s="50"/>
      <c r="H22" s="50"/>
      <c r="I22" s="50"/>
      <c r="J22" s="50"/>
      <c r="K22" s="50"/>
      <c r="L22" s="27"/>
    </row>
    <row r="23" spans="1:22">
      <c r="A23" s="119">
        <f t="shared" si="1"/>
        <v>16</v>
      </c>
      <c r="B23" s="149"/>
      <c r="C23" s="50" t="str">
        <f>Inputs!B35</f>
        <v>Other reg income (avg of 2008 to 11, in 2009/10 $)</v>
      </c>
      <c r="D23" s="50"/>
      <c r="E23" s="47">
        <f t="shared" si="0"/>
        <v>23.558760919341299</v>
      </c>
      <c r="F23" s="50"/>
      <c r="G23" s="50"/>
      <c r="H23" s="50"/>
      <c r="I23" s="50"/>
      <c r="J23" s="50"/>
      <c r="K23" s="49"/>
      <c r="L23" s="27"/>
    </row>
    <row r="24" spans="1:22">
      <c r="A24" s="119">
        <f t="shared" si="1"/>
        <v>17</v>
      </c>
      <c r="B24" s="149"/>
      <c r="C24" s="119" t="str">
        <f>Inputs!B36</f>
        <v>Allowable notional revenue 2012/13</v>
      </c>
      <c r="D24" s="50"/>
      <c r="E24" s="47">
        <f t="shared" si="0"/>
        <v>7961</v>
      </c>
      <c r="F24" s="50"/>
      <c r="G24" s="50"/>
      <c r="H24" s="50"/>
      <c r="I24" s="50"/>
      <c r="J24" s="50"/>
      <c r="K24" s="49"/>
      <c r="L24" s="27"/>
    </row>
    <row r="25" spans="1:22">
      <c r="A25" s="119">
        <f t="shared" si="1"/>
        <v>18</v>
      </c>
      <c r="B25" s="149"/>
      <c r="C25" s="119" t="str">
        <f>Inputs!B37</f>
        <v>Pass-through costs 2012/13</v>
      </c>
      <c r="D25" s="50"/>
      <c r="E25" s="47">
        <f t="shared" si="0"/>
        <v>2691</v>
      </c>
      <c r="F25" s="50"/>
      <c r="G25" s="50"/>
      <c r="H25" s="50"/>
      <c r="I25" s="50"/>
      <c r="J25" s="50"/>
      <c r="K25" s="49"/>
      <c r="L25" s="27"/>
    </row>
    <row r="26" spans="1:22">
      <c r="A26" s="119">
        <f t="shared" si="1"/>
        <v>19</v>
      </c>
      <c r="B26" s="50"/>
      <c r="C26" s="50" t="str">
        <f>Inputs!B38</f>
        <v>Alternate X value to 2014/15</v>
      </c>
      <c r="D26" s="49"/>
      <c r="E26" s="151">
        <f t="shared" si="0"/>
        <v>-0.1</v>
      </c>
      <c r="F26" s="50"/>
      <c r="G26" s="50"/>
      <c r="H26" s="50"/>
      <c r="I26" s="50"/>
      <c r="J26" s="50"/>
      <c r="K26" s="49"/>
      <c r="L26" s="27"/>
    </row>
    <row r="27" spans="1:22">
      <c r="A27" s="119">
        <f t="shared" si="1"/>
        <v>20</v>
      </c>
      <c r="B27" s="50"/>
      <c r="C27" s="50" t="str">
        <f>Inputs!B39</f>
        <v>Cap on growth of maximum allowable revenue</v>
      </c>
      <c r="D27" s="50"/>
      <c r="E27" s="151">
        <f t="shared" si="0"/>
        <v>0.1</v>
      </c>
      <c r="F27" s="50"/>
      <c r="G27" s="50"/>
      <c r="H27" s="50"/>
      <c r="I27" s="50"/>
      <c r="J27" s="50"/>
      <c r="K27" s="49"/>
      <c r="L27" s="27"/>
    </row>
    <row r="28" spans="1:22">
      <c r="A28" s="119"/>
      <c r="B28" s="149"/>
      <c r="C28" s="50" t="s">
        <v>30</v>
      </c>
      <c r="D28" s="50"/>
      <c r="E28" s="130">
        <f>E22</f>
        <v>2559</v>
      </c>
      <c r="F28" s="47">
        <f>INDEX(OpexBlock,F7-1,$G$1)</f>
        <v>2624.6857229443099</v>
      </c>
      <c r="G28" s="47">
        <f>INDEX(OpexBlock,G7-1,$G$1)</f>
        <v>2703.4648677433279</v>
      </c>
      <c r="H28" s="47">
        <f>INDEX(OpexBlock,H7-1,$G$1)</f>
        <v>2775.2350452102005</v>
      </c>
      <c r="I28" s="47">
        <f>INDEX(OpexBlock,I7-1,$G$1)</f>
        <v>2845.4746533096431</v>
      </c>
      <c r="J28" s="47">
        <f>INDEX(OpexBlock,J7-1,$G$1)</f>
        <v>2920.6397709002285</v>
      </c>
      <c r="K28" s="49"/>
      <c r="L28" s="50"/>
      <c r="M28" s="15"/>
    </row>
    <row r="29" spans="1:22">
      <c r="A29" s="119"/>
      <c r="B29" s="149"/>
      <c r="C29" s="50" t="s">
        <v>158</v>
      </c>
      <c r="D29" s="47"/>
      <c r="E29" s="130">
        <f>E21</f>
        <v>2549.2330000000002</v>
      </c>
      <c r="F29" s="47">
        <f>INDEX(CommAssetsBlock,F7-1,$G$1)</f>
        <v>5870.1685608770731</v>
      </c>
      <c r="G29" s="47">
        <f>INDEX(CommAssetsBlock,G7-1,$G$1)</f>
        <v>3012.9462199141931</v>
      </c>
      <c r="H29" s="47">
        <f>INDEX(CommAssetsBlock,H7-1,$G$1)</f>
        <v>3811.7571848262128</v>
      </c>
      <c r="I29" s="47">
        <f>INDEX(CommAssetsBlock,I7-1,$G$1)</f>
        <v>3206.8712330157809</v>
      </c>
      <c r="J29" s="47">
        <f>INDEX(CommAssetsBlock,J7-1,$G$1)</f>
        <v>3451.3129347213116</v>
      </c>
      <c r="K29" s="49"/>
      <c r="L29" s="50"/>
      <c r="M29" s="15"/>
    </row>
    <row r="30" spans="1:22">
      <c r="A30" s="119"/>
      <c r="B30" s="149"/>
      <c r="C30" s="50" t="s">
        <v>200</v>
      </c>
      <c r="D30" s="47"/>
      <c r="E30" s="49"/>
      <c r="F30" s="110">
        <f>INDEX(ConstPriceRevGrwth,F$7-1,$G$1)</f>
        <v>-2.5500588774990756E-3</v>
      </c>
      <c r="G30" s="110">
        <f>INDEX(ConstPriceRevGrwth,G$7-1,$G$1)</f>
        <v>-2.5500588774990756E-3</v>
      </c>
      <c r="H30" s="110">
        <f>INDEX(ConstPriceRevGrwth,H$7-1,$G$1)</f>
        <v>-2.5500588774990756E-3</v>
      </c>
      <c r="I30" s="110">
        <f>INDEX(ConstPriceRevGrwth,I$7-1,$G$1)</f>
        <v>-2.5500588774990756E-3</v>
      </c>
      <c r="J30" s="110">
        <f>INDEX(ConstPriceRevGrwth,J$7-1,$G$1)</f>
        <v>-2.5500588774990756E-3</v>
      </c>
      <c r="K30" s="49"/>
      <c r="L30" s="50"/>
      <c r="M30" s="15"/>
      <c r="U30" s="15"/>
      <c r="V30" s="15"/>
    </row>
    <row r="31" spans="1:22" ht="15.75" thickBot="1">
      <c r="A31" s="119"/>
      <c r="B31" s="149"/>
      <c r="C31" s="50"/>
      <c r="D31" s="47"/>
      <c r="E31" s="49"/>
      <c r="F31" s="50"/>
      <c r="G31" s="49"/>
      <c r="H31" s="49"/>
      <c r="I31" s="49"/>
      <c r="J31" s="49"/>
      <c r="K31" s="49"/>
      <c r="L31" s="27"/>
      <c r="M31" s="15"/>
      <c r="U31" s="15"/>
      <c r="V31" s="15"/>
    </row>
    <row r="32" spans="1:22" ht="16.5" thickBot="1">
      <c r="A32" s="119"/>
      <c r="B32" s="149"/>
      <c r="C32" s="121" t="s">
        <v>182</v>
      </c>
      <c r="D32" s="47"/>
      <c r="E32" s="49"/>
      <c r="F32" s="50"/>
      <c r="G32" s="49"/>
      <c r="H32" s="49"/>
      <c r="I32" s="49"/>
      <c r="J32" s="49"/>
      <c r="K32" s="49"/>
      <c r="L32" s="195" t="s">
        <v>322</v>
      </c>
      <c r="M32" s="111"/>
      <c r="N32" s="34"/>
      <c r="O32" s="34"/>
      <c r="P32" s="34"/>
      <c r="Q32" s="34"/>
      <c r="R32" s="34"/>
      <c r="S32" s="34"/>
      <c r="T32" s="34"/>
      <c r="U32" s="34"/>
      <c r="V32" s="35"/>
    </row>
    <row r="33" spans="1:26">
      <c r="A33" s="119"/>
      <c r="B33" s="149"/>
      <c r="C33" s="122" t="str">
        <f>Inputs!B13</f>
        <v>2009 ΔCPI, 2 index, no lag, no GST adjustment</v>
      </c>
      <c r="D33" s="47"/>
      <c r="E33" s="49">
        <f>Inputs!D13</f>
        <v>1.7233850022212005E-2</v>
      </c>
      <c r="F33" s="49">
        <f>Inputs!E13</f>
        <v>1.9812209526758329E-2</v>
      </c>
      <c r="G33" s="49">
        <f>Inputs!F13</f>
        <v>2.4339880629970168E-2</v>
      </c>
      <c r="H33" s="49">
        <f>Inputs!G13</f>
        <v>2.2893253753313525E-2</v>
      </c>
      <c r="I33" s="49">
        <f>Inputs!H13</f>
        <v>2.144662687665666E-2</v>
      </c>
      <c r="J33" s="49">
        <f>Inputs!I13</f>
        <v>2.0000000000000018E-2</v>
      </c>
      <c r="K33" s="50"/>
      <c r="L33" s="196" t="s">
        <v>194</v>
      </c>
      <c r="M33" s="50"/>
      <c r="N33" s="15"/>
      <c r="O33" s="15"/>
      <c r="P33" s="15"/>
      <c r="Q33" s="15"/>
      <c r="R33" s="15"/>
      <c r="S33" s="15"/>
      <c r="T33" s="15"/>
      <c r="U33" s="15"/>
      <c r="V33" s="29"/>
    </row>
    <row r="34" spans="1:26">
      <c r="A34" s="119"/>
      <c r="B34" s="149"/>
      <c r="C34" s="122" t="str">
        <f>Inputs!B14</f>
        <v>2012 ΔCPI, 2 index, no lag, no GST adjustment</v>
      </c>
      <c r="D34" s="47"/>
      <c r="E34" s="49"/>
      <c r="F34" s="49">
        <f>Inputs!E14</f>
        <v>4.4667274384685429E-2</v>
      </c>
      <c r="G34" s="49">
        <f>Inputs!F14</f>
        <v>1.5706806282722585E-2</v>
      </c>
      <c r="H34" s="49">
        <f>Inputs!G14</f>
        <v>1.8041237113401998E-2</v>
      </c>
      <c r="I34" s="49">
        <f>Inputs!H14</f>
        <v>1.7721518987341867E-2</v>
      </c>
      <c r="J34" s="49">
        <f>Inputs!I14</f>
        <v>2.3217247097844007E-2</v>
      </c>
      <c r="K34" s="50"/>
      <c r="L34" s="196" t="s">
        <v>320</v>
      </c>
      <c r="M34" s="50"/>
      <c r="N34" s="15"/>
      <c r="O34" s="15"/>
      <c r="P34" s="15"/>
      <c r="Q34" s="15"/>
      <c r="R34" s="15"/>
      <c r="S34" s="15"/>
      <c r="T34" s="15"/>
      <c r="U34" s="15"/>
      <c r="V34" s="29"/>
    </row>
    <row r="35" spans="1:26">
      <c r="A35" s="119"/>
      <c r="B35" s="149"/>
      <c r="C35" s="122" t="str">
        <f>Inputs!B15</f>
        <v>2009 ΔCPI, 8 index, lagged, no GST adjustment</v>
      </c>
      <c r="D35" s="47"/>
      <c r="E35" s="49"/>
      <c r="F35" s="49"/>
      <c r="G35" s="49">
        <f>Inputs!F15</f>
        <v>1.6991832174541255E-2</v>
      </c>
      <c r="H35" s="49">
        <f>Inputs!G15</f>
        <v>2.0741514169093644E-2</v>
      </c>
      <c r="I35" s="49">
        <f>Inputs!H15</f>
        <v>2.3759818812291389E-2</v>
      </c>
      <c r="J35" s="49">
        <f>Inputs!I15</f>
        <v>2.2164443909808984E-2</v>
      </c>
      <c r="K35" s="50"/>
      <c r="L35" s="196" t="s">
        <v>321</v>
      </c>
      <c r="M35" s="50"/>
      <c r="N35" s="15"/>
      <c r="O35" s="15"/>
      <c r="P35" s="15"/>
      <c r="Q35" s="15"/>
      <c r="R35" s="15"/>
      <c r="S35" s="15"/>
      <c r="T35" s="15"/>
      <c r="U35" s="15"/>
      <c r="V35" s="29"/>
    </row>
    <row r="36" spans="1:26">
      <c r="A36" s="149"/>
      <c r="B36" s="149"/>
      <c r="C36" s="122" t="str">
        <f>Inputs!B16</f>
        <v>2012 ΔCPI, 8 index, lagged, no GST adjustment</v>
      </c>
      <c r="D36" s="50"/>
      <c r="E36" s="49"/>
      <c r="F36" s="49">
        <f>Inputs!E16</f>
        <v>2.465039108793543E-2</v>
      </c>
      <c r="G36" s="49">
        <f>Inputs!F16</f>
        <v>1.7811704834605591E-2</v>
      </c>
      <c r="H36" s="49">
        <f>Inputs!G16</f>
        <v>4.5909090909090899E-2</v>
      </c>
      <c r="I36" s="49">
        <f>Inputs!H16</f>
        <v>1.2820512820512775E-2</v>
      </c>
      <c r="J36" s="49">
        <f>Inputs!I16</f>
        <v>1.9725095732576747E-2</v>
      </c>
      <c r="K36" s="50"/>
      <c r="L36" s="196" t="s">
        <v>365</v>
      </c>
      <c r="M36" s="50"/>
      <c r="N36" s="15"/>
      <c r="O36" s="15"/>
      <c r="P36" s="15"/>
      <c r="Q36" s="15"/>
      <c r="R36" s="15"/>
      <c r="S36" s="15"/>
      <c r="T36" s="15"/>
      <c r="U36" s="15"/>
      <c r="V36" s="29"/>
    </row>
    <row r="37" spans="1:26" ht="15.75" thickBot="1">
      <c r="A37" s="149"/>
      <c r="B37" s="149"/>
      <c r="C37" s="122" t="str">
        <f>Inputs!B17</f>
        <v>2012 ΔCPI, 8 index, lagged, with GST adjustment</v>
      </c>
      <c r="D37" s="50"/>
      <c r="E37" s="49"/>
      <c r="F37" s="112">
        <f>Inputs!E17</f>
        <v>2.4650391087935652E-2</v>
      </c>
      <c r="G37" s="112">
        <f>Inputs!F17</f>
        <v>1.7811704834605369E-2</v>
      </c>
      <c r="H37" s="112">
        <f>Inputs!G17</f>
        <v>2.5401069518716568E-2</v>
      </c>
      <c r="I37" s="49">
        <f>Inputs!H17</f>
        <v>1.2820512820512775E-2</v>
      </c>
      <c r="J37" s="49">
        <f>Inputs!I17</f>
        <v>1.9725095732576747E-2</v>
      </c>
      <c r="K37" s="50"/>
      <c r="L37" s="219" t="s">
        <v>409</v>
      </c>
      <c r="M37" s="220"/>
      <c r="N37" s="220"/>
      <c r="O37" s="220"/>
      <c r="P37" s="220"/>
      <c r="Q37" s="220"/>
      <c r="R37" s="220"/>
      <c r="S37" s="220"/>
      <c r="T37" s="220"/>
      <c r="U37" s="220"/>
      <c r="V37" s="221"/>
    </row>
    <row r="38" spans="1:26">
      <c r="A38" s="149"/>
      <c r="B38" s="149"/>
      <c r="C38" s="122"/>
      <c r="D38" s="50"/>
      <c r="E38" s="49"/>
      <c r="F38" s="112"/>
      <c r="G38" s="112"/>
      <c r="H38" s="112"/>
      <c r="I38" s="49"/>
      <c r="J38" s="49"/>
      <c r="K38" s="49"/>
      <c r="L38" s="49"/>
      <c r="M38" s="49"/>
      <c r="N38" s="49"/>
      <c r="O38" s="49"/>
      <c r="P38" s="49"/>
      <c r="Q38" s="49"/>
      <c r="R38" s="49"/>
      <c r="S38" s="49"/>
      <c r="T38" s="49"/>
      <c r="U38" s="49"/>
      <c r="V38" s="49"/>
      <c r="W38" s="49"/>
      <c r="X38" s="49"/>
      <c r="Y38" s="49"/>
      <c r="Z38" s="49"/>
    </row>
    <row r="39" spans="1:26" ht="23.25">
      <c r="A39" s="50"/>
      <c r="B39" s="50"/>
      <c r="C39" s="1" t="s">
        <v>4</v>
      </c>
      <c r="D39" s="153" t="s">
        <v>36</v>
      </c>
      <c r="E39" s="153" t="s">
        <v>35</v>
      </c>
      <c r="F39" s="152"/>
      <c r="G39" s="152"/>
      <c r="H39" s="152"/>
      <c r="I39" s="152"/>
      <c r="J39" s="152"/>
      <c r="K39" s="152"/>
      <c r="L39" s="152"/>
      <c r="M39" s="152"/>
      <c r="N39" s="194"/>
      <c r="O39" s="194"/>
      <c r="P39" s="194"/>
    </row>
    <row r="40" spans="1:26">
      <c r="A40" s="50"/>
      <c r="B40" s="50"/>
      <c r="C40" s="50"/>
      <c r="D40" s="50"/>
      <c r="E40" s="154" t="s">
        <v>183</v>
      </c>
      <c r="F40" s="154" t="s">
        <v>184</v>
      </c>
      <c r="G40" s="154" t="s">
        <v>185</v>
      </c>
      <c r="H40" s="154" t="s">
        <v>186</v>
      </c>
      <c r="I40" s="154" t="s">
        <v>187</v>
      </c>
      <c r="J40" s="154" t="s">
        <v>188</v>
      </c>
      <c r="K40" s="154"/>
      <c r="L40" s="154"/>
      <c r="M40" s="48"/>
    </row>
    <row r="41" spans="1:26">
      <c r="A41" s="50"/>
      <c r="B41" s="50"/>
      <c r="C41" s="50" t="s">
        <v>129</v>
      </c>
      <c r="D41" s="50"/>
      <c r="E41" s="49">
        <f t="shared" ref="E41:J41" si="2">E33</f>
        <v>1.7233850022212005E-2</v>
      </c>
      <c r="F41" s="49">
        <f t="shared" si="2"/>
        <v>1.9812209526758329E-2</v>
      </c>
      <c r="G41" s="49">
        <f t="shared" si="2"/>
        <v>2.4339880629970168E-2</v>
      </c>
      <c r="H41" s="49">
        <f t="shared" si="2"/>
        <v>2.2893253753313525E-2</v>
      </c>
      <c r="I41" s="49">
        <f t="shared" si="2"/>
        <v>2.144662687665666E-2</v>
      </c>
      <c r="J41" s="49">
        <f t="shared" si="2"/>
        <v>2.0000000000000018E-2</v>
      </c>
      <c r="K41" s="51"/>
      <c r="L41" s="47"/>
      <c r="M41" s="15"/>
    </row>
    <row r="42" spans="1:26">
      <c r="A42" s="50"/>
      <c r="B42" s="50"/>
      <c r="C42" s="50" t="s">
        <v>163</v>
      </c>
      <c r="D42" s="50"/>
      <c r="E42" s="49"/>
      <c r="F42" s="49">
        <f>F34</f>
        <v>4.4667274384685429E-2</v>
      </c>
      <c r="G42" s="49">
        <f>G34</f>
        <v>1.5706806282722585E-2</v>
      </c>
      <c r="H42" s="49">
        <f>H34</f>
        <v>1.8041237113401998E-2</v>
      </c>
      <c r="I42" s="49">
        <f>I34</f>
        <v>1.7721518987341867E-2</v>
      </c>
      <c r="J42" s="49">
        <f>J34</f>
        <v>2.3217247097844007E-2</v>
      </c>
      <c r="K42" s="51"/>
      <c r="L42" s="47"/>
      <c r="M42" s="15"/>
    </row>
    <row r="43" spans="1:26">
      <c r="A43" s="50"/>
      <c r="B43" s="50"/>
      <c r="C43" s="50" t="s">
        <v>122</v>
      </c>
      <c r="D43" s="50"/>
      <c r="E43" s="130">
        <f>E23</f>
        <v>23.558760919341299</v>
      </c>
      <c r="F43" s="47">
        <f>E43*(1+F42)</f>
        <v>24.611066557488723</v>
      </c>
      <c r="G43" s="47">
        <f>F43*(1+G42)</f>
        <v>24.997627812318392</v>
      </c>
      <c r="H43" s="47">
        <f>G43*(1+H42)</f>
        <v>25.448615942953001</v>
      </c>
      <c r="I43" s="47">
        <f>H43*(1+I42)</f>
        <v>25.899604073587614</v>
      </c>
      <c r="J43" s="47">
        <f>I43*(1+J42)</f>
        <v>26.500921581100425</v>
      </c>
      <c r="K43" s="50"/>
      <c r="L43" s="47"/>
      <c r="M43" s="15"/>
    </row>
    <row r="44" spans="1:26">
      <c r="A44" s="50"/>
      <c r="B44" s="50"/>
      <c r="C44" s="50"/>
      <c r="D44" s="50"/>
      <c r="E44" s="51"/>
      <c r="F44" s="51"/>
      <c r="G44" s="51"/>
      <c r="H44" s="51"/>
      <c r="I44" s="51"/>
      <c r="J44" s="51"/>
      <c r="K44" s="51"/>
      <c r="L44" s="27"/>
      <c r="M44" s="15"/>
    </row>
    <row r="45" spans="1:26" ht="21">
      <c r="A45" s="50"/>
      <c r="B45" s="50"/>
      <c r="C45" s="155" t="s">
        <v>69</v>
      </c>
      <c r="D45" s="50"/>
      <c r="E45" s="50"/>
      <c r="F45" s="51"/>
      <c r="G45" s="51"/>
      <c r="H45" s="51"/>
      <c r="I45" s="51"/>
      <c r="J45" s="51"/>
      <c r="K45" s="51"/>
      <c r="L45" s="27"/>
      <c r="M45" s="15"/>
    </row>
    <row r="46" spans="1:26" ht="18">
      <c r="A46" s="50"/>
      <c r="B46" s="50"/>
      <c r="C46" s="50" t="s">
        <v>70</v>
      </c>
      <c r="D46" s="156">
        <f>'Timing Assumptions'!C23</f>
        <v>1.0428084742793051</v>
      </c>
      <c r="E46" s="50"/>
      <c r="F46" s="51"/>
      <c r="G46" s="51"/>
      <c r="H46" s="51"/>
      <c r="I46" s="51"/>
      <c r="J46" s="51"/>
      <c r="K46" s="51"/>
      <c r="L46" s="51"/>
      <c r="M46" s="15"/>
    </row>
    <row r="47" spans="1:26" ht="18">
      <c r="A47" s="50"/>
      <c r="B47" s="50"/>
      <c r="C47" s="50" t="s">
        <v>71</v>
      </c>
      <c r="D47" s="156">
        <f>'Timing Assumptions'!C24</f>
        <v>1.0428084742793051</v>
      </c>
      <c r="E47" s="50"/>
      <c r="F47" s="51"/>
      <c r="G47" s="51"/>
      <c r="H47" s="51"/>
      <c r="I47" s="51"/>
      <c r="J47" s="51"/>
      <c r="K47" s="51"/>
      <c r="L47" s="51"/>
      <c r="M47" s="15"/>
    </row>
    <row r="48" spans="1:26" ht="18">
      <c r="A48" s="50"/>
      <c r="B48" s="50"/>
      <c r="C48" s="50" t="s">
        <v>125</v>
      </c>
      <c r="D48" s="156">
        <f>'Timing Assumptions'!C25</f>
        <v>1.0428084742793051</v>
      </c>
      <c r="E48" s="50"/>
      <c r="F48" s="50"/>
      <c r="G48" s="51"/>
      <c r="H48" s="51"/>
      <c r="I48" s="51"/>
      <c r="J48" s="51"/>
      <c r="K48" s="95"/>
      <c r="L48" s="51"/>
      <c r="M48" s="15"/>
    </row>
    <row r="49" spans="1:16" ht="18">
      <c r="A49" s="50"/>
      <c r="B49" s="50"/>
      <c r="C49" s="50" t="s">
        <v>123</v>
      </c>
      <c r="D49" s="156">
        <f>'Timing Assumptions'!C26</f>
        <v>1.0428084742793051</v>
      </c>
      <c r="E49" s="50"/>
      <c r="F49" s="50"/>
      <c r="G49" s="51"/>
      <c r="H49" s="51"/>
      <c r="I49" s="51"/>
      <c r="J49" s="51"/>
      <c r="K49" s="95"/>
      <c r="L49" s="51"/>
      <c r="M49" s="15"/>
    </row>
    <row r="50" spans="1:16" ht="18">
      <c r="A50" s="50"/>
      <c r="B50" s="50"/>
      <c r="C50" s="50" t="s">
        <v>72</v>
      </c>
      <c r="D50" s="156">
        <f>'Timing Assumptions'!C27</f>
        <v>1.0346743941931567</v>
      </c>
      <c r="E50" s="51"/>
      <c r="F50" s="51"/>
      <c r="G50" s="51"/>
      <c r="H50" s="51"/>
      <c r="I50" s="50"/>
      <c r="J50" s="50"/>
      <c r="K50" s="95"/>
      <c r="L50" s="51"/>
      <c r="M50" s="15"/>
    </row>
    <row r="51" spans="1:16">
      <c r="A51" s="50"/>
      <c r="B51" s="50"/>
      <c r="C51" s="50"/>
      <c r="D51" s="50"/>
      <c r="E51" s="50"/>
      <c r="F51" s="50"/>
      <c r="G51" s="50"/>
      <c r="H51" s="50"/>
      <c r="I51" s="50"/>
      <c r="J51" s="50"/>
      <c r="K51" s="95"/>
      <c r="L51" s="27"/>
      <c r="M51" s="15"/>
    </row>
    <row r="52" spans="1:16" ht="21">
      <c r="A52" s="50"/>
      <c r="B52" s="50"/>
      <c r="C52" s="155" t="s">
        <v>105</v>
      </c>
      <c r="D52" s="155"/>
      <c r="E52" s="155"/>
      <c r="F52" s="155"/>
      <c r="G52" s="155"/>
      <c r="H52" s="155"/>
      <c r="I52" s="155"/>
      <c r="J52" s="155"/>
      <c r="K52" s="155"/>
      <c r="L52" s="157"/>
      <c r="M52" s="52"/>
      <c r="N52" s="2"/>
      <c r="O52" s="2"/>
      <c r="P52" s="2"/>
    </row>
    <row r="53" spans="1:16" ht="15.75">
      <c r="A53" s="50"/>
      <c r="B53" s="50"/>
      <c r="C53" s="158" t="s">
        <v>37</v>
      </c>
      <c r="D53" s="50"/>
      <c r="E53" s="159">
        <f>Inputs!D12</f>
        <v>0.3</v>
      </c>
      <c r="F53" s="159">
        <f>Inputs!E12</f>
        <v>0.3</v>
      </c>
      <c r="G53" s="159">
        <f>Inputs!F12</f>
        <v>0.28000000000000003</v>
      </c>
      <c r="H53" s="159">
        <f>Inputs!G12</f>
        <v>0.28000000000000003</v>
      </c>
      <c r="I53" s="159">
        <f>Inputs!H12</f>
        <v>0.28000000000000003</v>
      </c>
      <c r="J53" s="159">
        <f>Inputs!I12</f>
        <v>0.28000000000000003</v>
      </c>
      <c r="K53" s="95"/>
      <c r="L53" s="50"/>
      <c r="M53" s="15"/>
    </row>
    <row r="54" spans="1:16">
      <c r="A54" s="50"/>
      <c r="B54" s="50"/>
      <c r="C54" s="50" t="s">
        <v>38</v>
      </c>
      <c r="D54" s="50"/>
      <c r="E54" s="160">
        <f>E11/E14</f>
        <v>21.184873949579831</v>
      </c>
      <c r="F54" s="161">
        <f>E54-1</f>
        <v>20.184873949579831</v>
      </c>
      <c r="G54" s="161">
        <f>F54-1</f>
        <v>19.184873949579831</v>
      </c>
      <c r="H54" s="161">
        <f>G54-1</f>
        <v>18.184873949579831</v>
      </c>
      <c r="I54" s="161">
        <f>H54-1</f>
        <v>17.184873949579831</v>
      </c>
      <c r="J54" s="161">
        <f>I54-1</f>
        <v>16.184873949579831</v>
      </c>
      <c r="K54" s="95"/>
      <c r="L54" s="50"/>
      <c r="M54" s="15"/>
    </row>
    <row r="55" spans="1:16">
      <c r="A55" s="50"/>
      <c r="B55" s="50"/>
      <c r="C55" s="50" t="s">
        <v>159</v>
      </c>
      <c r="D55" s="50"/>
      <c r="E55" s="156"/>
      <c r="F55" s="49">
        <f>F34</f>
        <v>4.4667274384685429E-2</v>
      </c>
      <c r="G55" s="49">
        <f>G34</f>
        <v>1.5706806282722585E-2</v>
      </c>
      <c r="H55" s="49">
        <f>H34</f>
        <v>1.8041237113401998E-2</v>
      </c>
      <c r="I55" s="49">
        <f>I34</f>
        <v>1.7721518987341867E-2</v>
      </c>
      <c r="J55" s="49">
        <f>J34</f>
        <v>2.3217247097844007E-2</v>
      </c>
      <c r="K55" s="95"/>
      <c r="L55" s="50"/>
      <c r="M55" s="15"/>
    </row>
    <row r="56" spans="1:16">
      <c r="A56" s="50"/>
      <c r="B56" s="50"/>
      <c r="C56" s="50" t="s">
        <v>40</v>
      </c>
      <c r="D56" s="50"/>
      <c r="E56" s="129">
        <f>E15</f>
        <v>0</v>
      </c>
      <c r="F56" s="32">
        <f>E56*(1+F55)</f>
        <v>0</v>
      </c>
      <c r="G56" s="32">
        <f>F56*(1+G55)</f>
        <v>0</v>
      </c>
      <c r="H56" s="32">
        <f>G56*(1+H55)</f>
        <v>0</v>
      </c>
      <c r="I56" s="32">
        <f>H56*(1+I55)</f>
        <v>0</v>
      </c>
      <c r="J56" s="32">
        <f>I56*(1+J55)</f>
        <v>0</v>
      </c>
      <c r="K56" s="95"/>
      <c r="L56" s="50"/>
      <c r="M56" s="15"/>
    </row>
    <row r="57" spans="1:16">
      <c r="A57" s="50"/>
      <c r="B57" s="50"/>
      <c r="C57" s="50"/>
      <c r="D57" s="122"/>
      <c r="E57" s="50"/>
      <c r="F57" s="50"/>
      <c r="G57" s="50"/>
      <c r="H57" s="50"/>
      <c r="I57" s="50"/>
      <c r="J57" s="50"/>
      <c r="K57" s="95"/>
      <c r="L57" s="27"/>
      <c r="M57" s="15"/>
    </row>
    <row r="58" spans="1:16" ht="15.75">
      <c r="A58" s="50"/>
      <c r="B58" s="50"/>
      <c r="C58" s="162" t="s">
        <v>89</v>
      </c>
      <c r="D58" s="32"/>
      <c r="E58" s="163" t="str">
        <f>Inputs!D11</f>
        <v>2009/10</v>
      </c>
      <c r="F58" s="163" t="str">
        <f>Inputs!E11</f>
        <v>2010/11</v>
      </c>
      <c r="G58" s="163" t="str">
        <f>Inputs!F11</f>
        <v>2011/12</v>
      </c>
      <c r="H58" s="163" t="str">
        <f>Inputs!G11</f>
        <v>2012/13</v>
      </c>
      <c r="I58" s="163" t="str">
        <f>Inputs!H11</f>
        <v>2013/14</v>
      </c>
      <c r="J58" s="163" t="str">
        <f>Inputs!I11</f>
        <v>2014/15</v>
      </c>
      <c r="K58" s="95"/>
      <c r="L58" s="27"/>
      <c r="M58" s="15"/>
    </row>
    <row r="59" spans="1:16">
      <c r="A59" s="50"/>
      <c r="B59" s="50"/>
      <c r="C59" s="50" t="s">
        <v>110</v>
      </c>
      <c r="D59" s="50"/>
      <c r="E59" s="129">
        <f>E11</f>
        <v>42857</v>
      </c>
      <c r="F59" s="32">
        <f>E65</f>
        <v>41571.85251929154</v>
      </c>
      <c r="G59" s="32">
        <f>F65</f>
        <v>40335.104416422793</v>
      </c>
      <c r="H59" s="32">
        <f>G65</f>
        <v>39213.431266717285</v>
      </c>
      <c r="I59" s="32">
        <f>H65</f>
        <v>37953.880272727838</v>
      </c>
      <c r="J59" s="32">
        <f>I65</f>
        <v>36558.485794615321</v>
      </c>
      <c r="K59" s="95"/>
      <c r="L59" s="50"/>
      <c r="M59" s="15"/>
    </row>
    <row r="60" spans="1:16">
      <c r="A60" s="50"/>
      <c r="B60" s="50"/>
      <c r="C60" s="50" t="s">
        <v>40</v>
      </c>
      <c r="D60" s="32"/>
      <c r="E60" s="32">
        <f t="shared" ref="E60:J60" si="3">E56</f>
        <v>0</v>
      </c>
      <c r="F60" s="32">
        <f t="shared" si="3"/>
        <v>0</v>
      </c>
      <c r="G60" s="32">
        <f t="shared" si="3"/>
        <v>0</v>
      </c>
      <c r="H60" s="32">
        <f t="shared" si="3"/>
        <v>0</v>
      </c>
      <c r="I60" s="32">
        <f t="shared" si="3"/>
        <v>0</v>
      </c>
      <c r="J60" s="32">
        <f t="shared" si="3"/>
        <v>0</v>
      </c>
      <c r="K60" s="95"/>
      <c r="L60" s="50"/>
      <c r="M60" s="15"/>
    </row>
    <row r="61" spans="1:16">
      <c r="A61" s="50"/>
      <c r="B61" s="50"/>
      <c r="C61" s="50" t="s">
        <v>312</v>
      </c>
      <c r="D61" s="32"/>
      <c r="E61" s="32">
        <f>Ctl!E12</f>
        <v>0</v>
      </c>
      <c r="F61" s="95"/>
      <c r="G61" s="95"/>
      <c r="H61" s="95"/>
      <c r="I61" s="95"/>
      <c r="J61" s="95"/>
      <c r="K61" s="95"/>
      <c r="L61" s="50"/>
      <c r="M61" s="15"/>
    </row>
    <row r="62" spans="1:16">
      <c r="A62" s="50"/>
      <c r="B62" s="50"/>
      <c r="C62" s="50" t="s">
        <v>313</v>
      </c>
      <c r="D62" s="32"/>
      <c r="E62" s="32">
        <f>Ctl!E13</f>
        <v>0</v>
      </c>
      <c r="F62" s="95"/>
      <c r="G62" s="95"/>
      <c r="H62" s="95"/>
      <c r="I62" s="95"/>
      <c r="J62" s="95"/>
      <c r="K62" s="95"/>
      <c r="L62" s="50"/>
      <c r="M62" s="15"/>
    </row>
    <row r="63" spans="1:16">
      <c r="A63" s="50"/>
      <c r="B63" s="50"/>
      <c r="C63" s="50" t="s">
        <v>41</v>
      </c>
      <c r="D63" s="50"/>
      <c r="E63" s="32">
        <f t="shared" ref="E63:J63" si="4">(E59*0.999-E60)*E41</f>
        <v>737.85251929153787</v>
      </c>
      <c r="F63" s="32">
        <f t="shared" si="4"/>
        <v>822.80662227517234</v>
      </c>
      <c r="G63" s="32">
        <f t="shared" si="4"/>
        <v>980.76987506642024</v>
      </c>
      <c r="H63" s="32">
        <f t="shared" si="4"/>
        <v>896.82530949455031</v>
      </c>
      <c r="I63" s="32">
        <f t="shared" si="4"/>
        <v>813.1687260217634</v>
      </c>
      <c r="J63" s="32">
        <f t="shared" si="4"/>
        <v>730.43854617641477</v>
      </c>
      <c r="K63" s="95"/>
      <c r="L63" s="50"/>
      <c r="M63" s="15"/>
    </row>
    <row r="64" spans="1:16">
      <c r="A64" s="50"/>
      <c r="B64" s="50"/>
      <c r="C64" s="50" t="s">
        <v>42</v>
      </c>
      <c r="D64" s="50"/>
      <c r="E64" s="129">
        <f>E14</f>
        <v>2023</v>
      </c>
      <c r="F64" s="32">
        <f>F59/F54</f>
        <v>2059.5547251439189</v>
      </c>
      <c r="G64" s="32">
        <f>G59/G54</f>
        <v>2102.4430247719283</v>
      </c>
      <c r="H64" s="32">
        <f>H59/H54</f>
        <v>2156.3763034839913</v>
      </c>
      <c r="I64" s="32">
        <f>I59/I54</f>
        <v>2208.5632041342851</v>
      </c>
      <c r="J64" s="32">
        <f>J59/J54</f>
        <v>2258.8057162820473</v>
      </c>
      <c r="K64" s="95"/>
      <c r="L64" s="50"/>
      <c r="M64" s="15"/>
    </row>
    <row r="65" spans="1:13">
      <c r="A65" s="50"/>
      <c r="B65" s="50"/>
      <c r="C65" s="50" t="s">
        <v>43</v>
      </c>
      <c r="D65" s="50"/>
      <c r="E65" s="129">
        <f>E59-E60-E61+E62+E63-E64</f>
        <v>41571.85251929154</v>
      </c>
      <c r="F65" s="32">
        <f>F59-F60+F63-F64</f>
        <v>40335.104416422793</v>
      </c>
      <c r="G65" s="32">
        <f>G59-G60+G63-G64</f>
        <v>39213.431266717285</v>
      </c>
      <c r="H65" s="32">
        <f>H59-H60+H63-H64</f>
        <v>37953.880272727838</v>
      </c>
      <c r="I65" s="32">
        <f>I59-I60+I63-I64</f>
        <v>36558.485794615321</v>
      </c>
      <c r="J65" s="32">
        <f>J59-J60+J63-J64</f>
        <v>35030.118624509691</v>
      </c>
      <c r="K65" s="95"/>
      <c r="L65" s="50"/>
      <c r="M65" s="15"/>
    </row>
    <row r="66" spans="1:13">
      <c r="A66" s="50"/>
      <c r="B66" s="50"/>
      <c r="C66" s="50"/>
      <c r="D66" s="50"/>
      <c r="E66" s="50"/>
      <c r="F66" s="50"/>
      <c r="G66" s="50"/>
      <c r="H66" s="50"/>
      <c r="I66" s="50"/>
      <c r="J66" s="50"/>
      <c r="K66" s="95"/>
      <c r="L66" s="27"/>
      <c r="M66" s="15"/>
    </row>
    <row r="67" spans="1:13" ht="15.75">
      <c r="A67" s="50"/>
      <c r="B67" s="50"/>
      <c r="C67" s="162" t="s">
        <v>67</v>
      </c>
      <c r="D67" s="50"/>
      <c r="E67" s="162" t="str">
        <f>Inputs!D$11</f>
        <v>2009/10</v>
      </c>
      <c r="F67" s="162" t="str">
        <f>Inputs!E$11</f>
        <v>2010/11</v>
      </c>
      <c r="G67" s="162" t="str">
        <f>Inputs!F$11</f>
        <v>2011/12</v>
      </c>
      <c r="H67" s="162" t="str">
        <f>Inputs!G$11</f>
        <v>2012/13</v>
      </c>
      <c r="I67" s="162" t="str">
        <f>Inputs!H$11</f>
        <v>2013/14</v>
      </c>
      <c r="J67" s="162" t="str">
        <f>Inputs!I$11</f>
        <v>2014/15</v>
      </c>
      <c r="K67" s="95"/>
      <c r="L67" s="27"/>
      <c r="M67" s="15"/>
    </row>
    <row r="68" spans="1:13">
      <c r="A68" s="50"/>
      <c r="B68" s="50"/>
      <c r="C68" s="164" t="s">
        <v>60</v>
      </c>
      <c r="D68" s="50"/>
      <c r="E68" s="192">
        <v>1</v>
      </c>
      <c r="F68" s="164">
        <f>E68+1</f>
        <v>2</v>
      </c>
      <c r="G68" s="164">
        <f>F68+1</f>
        <v>3</v>
      </c>
      <c r="H68" s="164">
        <f>G68+1</f>
        <v>4</v>
      </c>
      <c r="I68" s="164">
        <f>H68+1</f>
        <v>5</v>
      </c>
      <c r="J68" s="164">
        <f>I68+1</f>
        <v>6</v>
      </c>
      <c r="K68" s="95"/>
      <c r="L68" s="27"/>
      <c r="M68" s="15"/>
    </row>
    <row r="69" spans="1:13">
      <c r="A69" s="50"/>
      <c r="B69" s="50"/>
      <c r="C69" s="50" t="s">
        <v>39</v>
      </c>
      <c r="D69" s="32"/>
      <c r="E69" s="32">
        <f t="shared" ref="E69:J69" si="5">E$29</f>
        <v>2549.2330000000002</v>
      </c>
      <c r="F69" s="32">
        <f t="shared" si="5"/>
        <v>5870.1685608770731</v>
      </c>
      <c r="G69" s="32">
        <f t="shared" si="5"/>
        <v>3012.9462199141931</v>
      </c>
      <c r="H69" s="32">
        <f t="shared" si="5"/>
        <v>3811.7571848262128</v>
      </c>
      <c r="I69" s="32">
        <f t="shared" si="5"/>
        <v>3206.8712330157809</v>
      </c>
      <c r="J69" s="32">
        <f t="shared" si="5"/>
        <v>3451.3129347213116</v>
      </c>
      <c r="K69" s="95"/>
      <c r="L69" s="50"/>
      <c r="M69" s="15"/>
    </row>
    <row r="70" spans="1:13">
      <c r="A70" s="50">
        <v>1</v>
      </c>
      <c r="B70" s="50"/>
      <c r="C70" s="50" t="s">
        <v>254</v>
      </c>
      <c r="D70" s="50"/>
      <c r="E70" s="129">
        <v>0</v>
      </c>
      <c r="F70" s="32">
        <f t="shared" ref="F70:J75" si="6">E94</f>
        <v>2549.2330000000002</v>
      </c>
      <c r="G70" s="32">
        <f t="shared" si="6"/>
        <v>2543.0893161063045</v>
      </c>
      <c r="H70" s="32">
        <f t="shared" si="6"/>
        <v>2547.1903220347226</v>
      </c>
      <c r="I70" s="32">
        <f t="shared" si="6"/>
        <v>2546.2668122016826</v>
      </c>
      <c r="J70" s="32">
        <f t="shared" si="6"/>
        <v>2540.2502461608701</v>
      </c>
      <c r="K70" s="95"/>
      <c r="L70" s="50"/>
      <c r="M70" s="15"/>
    </row>
    <row r="71" spans="1:13">
      <c r="A71" s="50">
        <v>2</v>
      </c>
      <c r="B71" s="50"/>
      <c r="C71" s="50" t="s">
        <v>255</v>
      </c>
      <c r="D71" s="50"/>
      <c r="E71" s="129">
        <v>0</v>
      </c>
      <c r="F71" s="32">
        <f t="shared" si="6"/>
        <v>0</v>
      </c>
      <c r="G71" s="32">
        <f t="shared" si="6"/>
        <v>5870.1685608770731</v>
      </c>
      <c r="H71" s="32">
        <f t="shared" si="6"/>
        <v>5882.5995726849123</v>
      </c>
      <c r="I71" s="32">
        <f t="shared" si="6"/>
        <v>5883.5759725977732</v>
      </c>
      <c r="J71" s="32">
        <f t="shared" si="6"/>
        <v>5872.9314829825917</v>
      </c>
      <c r="K71" s="95"/>
      <c r="L71" s="50"/>
      <c r="M71" s="15"/>
    </row>
    <row r="72" spans="1:13">
      <c r="A72" s="50">
        <v>3</v>
      </c>
      <c r="B72" s="50"/>
      <c r="C72" s="50" t="s">
        <v>256</v>
      </c>
      <c r="D72" s="50"/>
      <c r="E72" s="129">
        <v>0</v>
      </c>
      <c r="F72" s="32">
        <f t="shared" si="6"/>
        <v>0</v>
      </c>
      <c r="G72" s="32">
        <f t="shared" si="6"/>
        <v>0</v>
      </c>
      <c r="H72" s="32">
        <f t="shared" si="6"/>
        <v>3012.9462199141931</v>
      </c>
      <c r="I72" s="32">
        <f t="shared" si="6"/>
        <v>3014.9680018292379</v>
      </c>
      <c r="J72" s="32">
        <f t="shared" si="6"/>
        <v>3011.1068955679552</v>
      </c>
      <c r="K72" s="95"/>
      <c r="L72" s="50"/>
      <c r="M72" s="15"/>
    </row>
    <row r="73" spans="1:13">
      <c r="A73" s="50">
        <v>4</v>
      </c>
      <c r="B73" s="50"/>
      <c r="C73" s="50" t="s">
        <v>257</v>
      </c>
      <c r="D73" s="50"/>
      <c r="E73" s="129">
        <v>0</v>
      </c>
      <c r="F73" s="32">
        <f t="shared" si="6"/>
        <v>0</v>
      </c>
      <c r="G73" s="32">
        <f t="shared" si="6"/>
        <v>0</v>
      </c>
      <c r="H73" s="32">
        <f t="shared" si="6"/>
        <v>0</v>
      </c>
      <c r="I73" s="32">
        <f t="shared" si="6"/>
        <v>3811.7571848262128</v>
      </c>
      <c r="J73" s="32">
        <f t="shared" si="6"/>
        <v>3808.8008036952356</v>
      </c>
      <c r="K73" s="95"/>
      <c r="L73" s="50"/>
      <c r="M73" s="15"/>
    </row>
    <row r="74" spans="1:13">
      <c r="A74" s="50">
        <v>5</v>
      </c>
      <c r="B74" s="50"/>
      <c r="C74" s="50" t="s">
        <v>258</v>
      </c>
      <c r="D74" s="50"/>
      <c r="E74" s="129">
        <v>0</v>
      </c>
      <c r="F74" s="32">
        <f t="shared" si="6"/>
        <v>0</v>
      </c>
      <c r="G74" s="32">
        <f t="shared" si="6"/>
        <v>0</v>
      </c>
      <c r="H74" s="32">
        <f t="shared" si="6"/>
        <v>0</v>
      </c>
      <c r="I74" s="32">
        <f t="shared" si="6"/>
        <v>0</v>
      </c>
      <c r="J74" s="32">
        <f t="shared" si="6"/>
        <v>3206.8712330157809</v>
      </c>
      <c r="K74" s="95"/>
      <c r="L74" s="50"/>
      <c r="M74" s="15"/>
    </row>
    <row r="75" spans="1:13">
      <c r="A75" s="50">
        <v>6</v>
      </c>
      <c r="B75" s="50"/>
      <c r="C75" s="50" t="s">
        <v>259</v>
      </c>
      <c r="D75" s="50"/>
      <c r="E75" s="129">
        <v>0</v>
      </c>
      <c r="F75" s="32">
        <f t="shared" si="6"/>
        <v>0</v>
      </c>
      <c r="G75" s="32">
        <f t="shared" si="6"/>
        <v>0</v>
      </c>
      <c r="H75" s="32">
        <f t="shared" si="6"/>
        <v>0</v>
      </c>
      <c r="I75" s="32">
        <f t="shared" si="6"/>
        <v>0</v>
      </c>
      <c r="J75" s="32">
        <f t="shared" si="6"/>
        <v>0</v>
      </c>
      <c r="K75" s="95"/>
      <c r="L75" s="50"/>
      <c r="M75" s="15"/>
    </row>
    <row r="76" spans="1:13">
      <c r="A76" s="50">
        <v>1</v>
      </c>
      <c r="B76" s="50"/>
      <c r="C76" s="50" t="s">
        <v>236</v>
      </c>
      <c r="D76" s="50"/>
      <c r="E76" s="129">
        <f>Inputs!$C$7+$A76</f>
        <v>46</v>
      </c>
      <c r="F76" s="32">
        <f t="shared" ref="F76:J81" si="7">E76-1</f>
        <v>45</v>
      </c>
      <c r="G76" s="32">
        <f t="shared" si="7"/>
        <v>44</v>
      </c>
      <c r="H76" s="32">
        <f t="shared" si="7"/>
        <v>43</v>
      </c>
      <c r="I76" s="32">
        <f t="shared" si="7"/>
        <v>42</v>
      </c>
      <c r="J76" s="32">
        <f t="shared" si="7"/>
        <v>41</v>
      </c>
      <c r="K76" s="95"/>
      <c r="L76" s="50"/>
      <c r="M76" s="15"/>
    </row>
    <row r="77" spans="1:13">
      <c r="A77" s="50">
        <v>2</v>
      </c>
      <c r="B77" s="50"/>
      <c r="C77" s="50" t="s">
        <v>237</v>
      </c>
      <c r="D77" s="50"/>
      <c r="E77" s="129">
        <f>Inputs!$C$7+$A77</f>
        <v>47</v>
      </c>
      <c r="F77" s="32">
        <f t="shared" si="7"/>
        <v>46</v>
      </c>
      <c r="G77" s="32">
        <f t="shared" si="7"/>
        <v>45</v>
      </c>
      <c r="H77" s="32">
        <f t="shared" si="7"/>
        <v>44</v>
      </c>
      <c r="I77" s="32">
        <f t="shared" si="7"/>
        <v>43</v>
      </c>
      <c r="J77" s="32">
        <f t="shared" si="7"/>
        <v>42</v>
      </c>
      <c r="K77" s="95"/>
      <c r="L77" s="50"/>
      <c r="M77" s="15"/>
    </row>
    <row r="78" spans="1:13">
      <c r="A78" s="50">
        <v>3</v>
      </c>
      <c r="B78" s="50"/>
      <c r="C78" s="50" t="s">
        <v>238</v>
      </c>
      <c r="D78" s="50"/>
      <c r="E78" s="129">
        <f>Inputs!$C$7+$A78</f>
        <v>48</v>
      </c>
      <c r="F78" s="32">
        <f t="shared" si="7"/>
        <v>47</v>
      </c>
      <c r="G78" s="32">
        <f t="shared" si="7"/>
        <v>46</v>
      </c>
      <c r="H78" s="32">
        <f t="shared" si="7"/>
        <v>45</v>
      </c>
      <c r="I78" s="32">
        <f t="shared" si="7"/>
        <v>44</v>
      </c>
      <c r="J78" s="32">
        <f t="shared" si="7"/>
        <v>43</v>
      </c>
      <c r="K78" s="95"/>
      <c r="L78" s="50"/>
      <c r="M78" s="15"/>
    </row>
    <row r="79" spans="1:13">
      <c r="A79" s="50">
        <v>4</v>
      </c>
      <c r="B79" s="50"/>
      <c r="C79" s="50" t="s">
        <v>239</v>
      </c>
      <c r="D79" s="50"/>
      <c r="E79" s="129">
        <f>Inputs!$C$7+$A79</f>
        <v>49</v>
      </c>
      <c r="F79" s="32">
        <f t="shared" si="7"/>
        <v>48</v>
      </c>
      <c r="G79" s="32">
        <f t="shared" si="7"/>
        <v>47</v>
      </c>
      <c r="H79" s="32">
        <f t="shared" si="7"/>
        <v>46</v>
      </c>
      <c r="I79" s="32">
        <f t="shared" si="7"/>
        <v>45</v>
      </c>
      <c r="J79" s="32">
        <f t="shared" si="7"/>
        <v>44</v>
      </c>
      <c r="K79" s="95"/>
      <c r="L79" s="50"/>
      <c r="M79" s="15"/>
    </row>
    <row r="80" spans="1:13">
      <c r="A80" s="50">
        <v>5</v>
      </c>
      <c r="B80" s="50"/>
      <c r="C80" s="50" t="s">
        <v>240</v>
      </c>
      <c r="D80" s="50"/>
      <c r="E80" s="129">
        <f>Inputs!$C$7+$A80</f>
        <v>50</v>
      </c>
      <c r="F80" s="32">
        <f t="shared" si="7"/>
        <v>49</v>
      </c>
      <c r="G80" s="32">
        <f t="shared" si="7"/>
        <v>48</v>
      </c>
      <c r="H80" s="32">
        <f t="shared" si="7"/>
        <v>47</v>
      </c>
      <c r="I80" s="32">
        <f t="shared" si="7"/>
        <v>46</v>
      </c>
      <c r="J80" s="32">
        <f t="shared" si="7"/>
        <v>45</v>
      </c>
      <c r="K80" s="95"/>
      <c r="L80" s="50"/>
      <c r="M80" s="15"/>
    </row>
    <row r="81" spans="1:13">
      <c r="A81" s="50">
        <v>6</v>
      </c>
      <c r="B81" s="50"/>
      <c r="C81" s="50" t="s">
        <v>241</v>
      </c>
      <c r="D81" s="50"/>
      <c r="E81" s="129">
        <f>Inputs!$C$7+$A81</f>
        <v>51</v>
      </c>
      <c r="F81" s="32">
        <f t="shared" si="7"/>
        <v>50</v>
      </c>
      <c r="G81" s="32">
        <f t="shared" si="7"/>
        <v>49</v>
      </c>
      <c r="H81" s="32">
        <f t="shared" si="7"/>
        <v>48</v>
      </c>
      <c r="I81" s="32">
        <f t="shared" si="7"/>
        <v>47</v>
      </c>
      <c r="J81" s="32">
        <f t="shared" si="7"/>
        <v>46</v>
      </c>
      <c r="K81" s="95"/>
      <c r="L81" s="50"/>
      <c r="M81" s="15"/>
    </row>
    <row r="82" spans="1:13">
      <c r="A82" s="50">
        <v>1</v>
      </c>
      <c r="B82" s="50"/>
      <c r="C82" s="50" t="s">
        <v>260</v>
      </c>
      <c r="D82" s="50"/>
      <c r="E82" s="32">
        <f t="shared" ref="E82:J87" si="8">E70*E$41</f>
        <v>0</v>
      </c>
      <c r="F82" s="32">
        <f t="shared" si="8"/>
        <v>50.505938328526717</v>
      </c>
      <c r="G82" s="32">
        <f t="shared" si="8"/>
        <v>61.898490385379922</v>
      </c>
      <c r="H82" s="32">
        <f t="shared" si="8"/>
        <v>58.313474400325298</v>
      </c>
      <c r="I82" s="32">
        <f t="shared" si="8"/>
        <v>54.608834249703484</v>
      </c>
      <c r="J82" s="32">
        <f t="shared" si="8"/>
        <v>50.805004923217446</v>
      </c>
      <c r="K82" s="95"/>
      <c r="L82" s="50"/>
      <c r="M82" s="15"/>
    </row>
    <row r="83" spans="1:13">
      <c r="A83" s="50">
        <v>2</v>
      </c>
      <c r="B83" s="50"/>
      <c r="C83" s="50" t="s">
        <v>261</v>
      </c>
      <c r="D83" s="50"/>
      <c r="E83" s="32">
        <f t="shared" si="8"/>
        <v>0</v>
      </c>
      <c r="F83" s="32">
        <f t="shared" si="8"/>
        <v>0</v>
      </c>
      <c r="G83" s="32">
        <f t="shared" si="8"/>
        <v>142.87920204955174</v>
      </c>
      <c r="H83" s="32">
        <f t="shared" si="8"/>
        <v>134.67184474660939</v>
      </c>
      <c r="I83" s="32">
        <f t="shared" si="8"/>
        <v>126.18285858476675</v>
      </c>
      <c r="J83" s="32">
        <f t="shared" si="8"/>
        <v>117.45862965965193</v>
      </c>
      <c r="K83" s="95"/>
      <c r="L83" s="50"/>
      <c r="M83" s="15"/>
    </row>
    <row r="84" spans="1:13">
      <c r="A84" s="50">
        <v>3</v>
      </c>
      <c r="B84" s="50"/>
      <c r="C84" s="50" t="s">
        <v>262</v>
      </c>
      <c r="D84" s="50"/>
      <c r="E84" s="32">
        <f t="shared" si="8"/>
        <v>0</v>
      </c>
      <c r="F84" s="32">
        <f t="shared" si="8"/>
        <v>0</v>
      </c>
      <c r="G84" s="32">
        <f t="shared" si="8"/>
        <v>0</v>
      </c>
      <c r="H84" s="32">
        <f t="shared" si="8"/>
        <v>68.976142357582404</v>
      </c>
      <c r="I84" s="32">
        <f t="shared" si="8"/>
        <v>64.660893780290763</v>
      </c>
      <c r="J84" s="32">
        <f t="shared" si="8"/>
        <v>60.222137911359155</v>
      </c>
      <c r="K84" s="95"/>
      <c r="L84" s="50"/>
      <c r="M84" s="15"/>
    </row>
    <row r="85" spans="1:13">
      <c r="A85" s="50">
        <v>4</v>
      </c>
      <c r="B85" s="50"/>
      <c r="C85" s="50" t="s">
        <v>263</v>
      </c>
      <c r="D85" s="50"/>
      <c r="E85" s="32">
        <f t="shared" si="8"/>
        <v>0</v>
      </c>
      <c r="F85" s="32">
        <f t="shared" si="8"/>
        <v>0</v>
      </c>
      <c r="G85" s="32">
        <f t="shared" si="8"/>
        <v>0</v>
      </c>
      <c r="H85" s="32">
        <f t="shared" si="8"/>
        <v>0</v>
      </c>
      <c r="I85" s="32">
        <f t="shared" si="8"/>
        <v>81.749334087382991</v>
      </c>
      <c r="J85" s="32">
        <f t="shared" si="8"/>
        <v>76.176016073904776</v>
      </c>
      <c r="K85" s="95"/>
      <c r="L85" s="50"/>
      <c r="M85" s="15"/>
    </row>
    <row r="86" spans="1:13">
      <c r="A86" s="50">
        <v>5</v>
      </c>
      <c r="B86" s="50"/>
      <c r="C86" s="50" t="s">
        <v>264</v>
      </c>
      <c r="D86" s="50"/>
      <c r="E86" s="32">
        <f t="shared" si="8"/>
        <v>0</v>
      </c>
      <c r="F86" s="32">
        <f t="shared" si="8"/>
        <v>0</v>
      </c>
      <c r="G86" s="32">
        <f t="shared" si="8"/>
        <v>0</v>
      </c>
      <c r="H86" s="32">
        <f t="shared" si="8"/>
        <v>0</v>
      </c>
      <c r="I86" s="32">
        <f t="shared" si="8"/>
        <v>0</v>
      </c>
      <c r="J86" s="32">
        <f t="shared" si="8"/>
        <v>64.137424660315673</v>
      </c>
      <c r="K86" s="95"/>
      <c r="L86" s="50"/>
      <c r="M86" s="15"/>
    </row>
    <row r="87" spans="1:13">
      <c r="A87" s="50">
        <v>6</v>
      </c>
      <c r="B87" s="50"/>
      <c r="C87" s="50" t="s">
        <v>265</v>
      </c>
      <c r="D87" s="50"/>
      <c r="E87" s="32">
        <f t="shared" si="8"/>
        <v>0</v>
      </c>
      <c r="F87" s="32">
        <f t="shared" si="8"/>
        <v>0</v>
      </c>
      <c r="G87" s="32">
        <f t="shared" si="8"/>
        <v>0</v>
      </c>
      <c r="H87" s="32">
        <f t="shared" si="8"/>
        <v>0</v>
      </c>
      <c r="I87" s="32">
        <f t="shared" si="8"/>
        <v>0</v>
      </c>
      <c r="J87" s="32">
        <f t="shared" si="8"/>
        <v>0</v>
      </c>
      <c r="K87" s="95"/>
      <c r="L87" s="50"/>
      <c r="M87" s="15"/>
    </row>
    <row r="88" spans="1:13">
      <c r="A88" s="50">
        <v>1</v>
      </c>
      <c r="B88" s="50"/>
      <c r="C88" s="50" t="s">
        <v>266</v>
      </c>
      <c r="D88" s="50"/>
      <c r="E88" s="32">
        <f t="shared" ref="E88:J93" si="9">E70/E76</f>
        <v>0</v>
      </c>
      <c r="F88" s="32">
        <f t="shared" si="9"/>
        <v>56.649622222222227</v>
      </c>
      <c r="G88" s="32">
        <f t="shared" si="9"/>
        <v>57.797484456961463</v>
      </c>
      <c r="H88" s="32">
        <f t="shared" si="9"/>
        <v>59.236984233365639</v>
      </c>
      <c r="I88" s="32">
        <f t="shared" si="9"/>
        <v>60.625400290516254</v>
      </c>
      <c r="J88" s="32">
        <f t="shared" si="9"/>
        <v>61.957323077094394</v>
      </c>
      <c r="K88" s="95"/>
      <c r="L88" s="50"/>
      <c r="M88" s="15"/>
    </row>
    <row r="89" spans="1:13">
      <c r="A89" s="50">
        <v>2</v>
      </c>
      <c r="B89" s="50"/>
      <c r="C89" s="50" t="s">
        <v>267</v>
      </c>
      <c r="D89" s="50"/>
      <c r="E89" s="32">
        <f t="shared" si="9"/>
        <v>0</v>
      </c>
      <c r="F89" s="32">
        <f t="shared" si="9"/>
        <v>0</v>
      </c>
      <c r="G89" s="32">
        <f t="shared" si="9"/>
        <v>130.44819024171272</v>
      </c>
      <c r="H89" s="32">
        <f t="shared" si="9"/>
        <v>133.69544483374801</v>
      </c>
      <c r="I89" s="32">
        <f t="shared" si="9"/>
        <v>136.8273481999482</v>
      </c>
      <c r="J89" s="32">
        <f t="shared" si="9"/>
        <v>139.83170197577599</v>
      </c>
      <c r="K89" s="95"/>
      <c r="L89" s="50"/>
      <c r="M89" s="15"/>
    </row>
    <row r="90" spans="1:13">
      <c r="A90" s="50">
        <v>3</v>
      </c>
      <c r="B90" s="50"/>
      <c r="C90" s="50" t="s">
        <v>268</v>
      </c>
      <c r="D90" s="50"/>
      <c r="E90" s="32">
        <f t="shared" si="9"/>
        <v>0</v>
      </c>
      <c r="F90" s="32">
        <f t="shared" si="9"/>
        <v>0</v>
      </c>
      <c r="G90" s="32">
        <f t="shared" si="9"/>
        <v>0</v>
      </c>
      <c r="H90" s="32">
        <f t="shared" si="9"/>
        <v>66.95436044253762</v>
      </c>
      <c r="I90" s="32">
        <f t="shared" si="9"/>
        <v>68.522000041573591</v>
      </c>
      <c r="J90" s="32">
        <f t="shared" si="9"/>
        <v>70.025741757394314</v>
      </c>
      <c r="K90" s="95"/>
      <c r="L90" s="50"/>
      <c r="M90" s="15"/>
    </row>
    <row r="91" spans="1:13">
      <c r="A91" s="50">
        <v>4</v>
      </c>
      <c r="B91" s="50"/>
      <c r="C91" s="50" t="s">
        <v>269</v>
      </c>
      <c r="D91" s="50"/>
      <c r="E91" s="32">
        <f t="shared" si="9"/>
        <v>0</v>
      </c>
      <c r="F91" s="32">
        <f t="shared" si="9"/>
        <v>0</v>
      </c>
      <c r="G91" s="32">
        <f t="shared" si="9"/>
        <v>0</v>
      </c>
      <c r="H91" s="32">
        <f t="shared" si="9"/>
        <v>0</v>
      </c>
      <c r="I91" s="32">
        <f t="shared" si="9"/>
        <v>84.705715218360282</v>
      </c>
      <c r="J91" s="32">
        <f t="shared" si="9"/>
        <v>86.563654629437167</v>
      </c>
      <c r="K91" s="95"/>
      <c r="L91" s="50"/>
      <c r="M91" s="15"/>
    </row>
    <row r="92" spans="1:13">
      <c r="A92" s="50">
        <v>5</v>
      </c>
      <c r="B92" s="50"/>
      <c r="C92" s="50" t="s">
        <v>270</v>
      </c>
      <c r="D92" s="50"/>
      <c r="E92" s="32">
        <f t="shared" si="9"/>
        <v>0</v>
      </c>
      <c r="F92" s="32">
        <f t="shared" si="9"/>
        <v>0</v>
      </c>
      <c r="G92" s="32">
        <f t="shared" si="9"/>
        <v>0</v>
      </c>
      <c r="H92" s="32">
        <f t="shared" si="9"/>
        <v>0</v>
      </c>
      <c r="I92" s="32">
        <f t="shared" si="9"/>
        <v>0</v>
      </c>
      <c r="J92" s="32">
        <f t="shared" si="9"/>
        <v>71.263805178128464</v>
      </c>
      <c r="K92" s="95"/>
      <c r="L92" s="50"/>
      <c r="M92" s="15"/>
    </row>
    <row r="93" spans="1:13">
      <c r="A93" s="50">
        <v>6</v>
      </c>
      <c r="B93" s="50"/>
      <c r="C93" s="50" t="s">
        <v>271</v>
      </c>
      <c r="D93" s="50"/>
      <c r="E93" s="32">
        <f t="shared" si="9"/>
        <v>0</v>
      </c>
      <c r="F93" s="32">
        <f t="shared" si="9"/>
        <v>0</v>
      </c>
      <c r="G93" s="32">
        <f t="shared" si="9"/>
        <v>0</v>
      </c>
      <c r="H93" s="32">
        <f t="shared" si="9"/>
        <v>0</v>
      </c>
      <c r="I93" s="32">
        <f t="shared" si="9"/>
        <v>0</v>
      </c>
      <c r="J93" s="32">
        <f t="shared" si="9"/>
        <v>0</v>
      </c>
      <c r="K93" s="95"/>
      <c r="L93" s="50"/>
      <c r="M93" s="15"/>
    </row>
    <row r="94" spans="1:13">
      <c r="A94" s="50">
        <v>1</v>
      </c>
      <c r="B94" s="50"/>
      <c r="C94" s="50" t="s">
        <v>272</v>
      </c>
      <c r="D94" s="50"/>
      <c r="E94" s="32">
        <f t="shared" ref="E94:J99" si="10">E70+E82-E88+IF($A94=E$68,E$69,0)</f>
        <v>2549.2330000000002</v>
      </c>
      <c r="F94" s="32">
        <f t="shared" si="10"/>
        <v>2543.0893161063045</v>
      </c>
      <c r="G94" s="32">
        <f t="shared" si="10"/>
        <v>2547.1903220347226</v>
      </c>
      <c r="H94" s="32">
        <f t="shared" si="10"/>
        <v>2546.2668122016826</v>
      </c>
      <c r="I94" s="32">
        <f t="shared" si="10"/>
        <v>2540.2502461608701</v>
      </c>
      <c r="J94" s="32">
        <f t="shared" si="10"/>
        <v>2529.0979280069932</v>
      </c>
      <c r="K94" s="95"/>
      <c r="L94" s="50"/>
      <c r="M94" s="15"/>
    </row>
    <row r="95" spans="1:13">
      <c r="A95" s="50">
        <v>2</v>
      </c>
      <c r="B95" s="50"/>
      <c r="C95" s="50" t="s">
        <v>273</v>
      </c>
      <c r="D95" s="50"/>
      <c r="E95" s="32">
        <f t="shared" si="10"/>
        <v>0</v>
      </c>
      <c r="F95" s="32">
        <f t="shared" si="10"/>
        <v>5870.1685608770731</v>
      </c>
      <c r="G95" s="32">
        <f t="shared" si="10"/>
        <v>5882.5995726849123</v>
      </c>
      <c r="H95" s="32">
        <f t="shared" si="10"/>
        <v>5883.5759725977732</v>
      </c>
      <c r="I95" s="32">
        <f t="shared" si="10"/>
        <v>5872.9314829825917</v>
      </c>
      <c r="J95" s="32">
        <f t="shared" si="10"/>
        <v>5850.5584106664674</v>
      </c>
      <c r="K95" s="95"/>
      <c r="L95" s="50"/>
      <c r="M95" s="15"/>
    </row>
    <row r="96" spans="1:13">
      <c r="A96" s="50">
        <v>3</v>
      </c>
      <c r="B96" s="50"/>
      <c r="C96" s="50" t="s">
        <v>274</v>
      </c>
      <c r="D96" s="50"/>
      <c r="E96" s="32">
        <f t="shared" si="10"/>
        <v>0</v>
      </c>
      <c r="F96" s="32">
        <f t="shared" si="10"/>
        <v>0</v>
      </c>
      <c r="G96" s="32">
        <f t="shared" si="10"/>
        <v>3012.9462199141931</v>
      </c>
      <c r="H96" s="32">
        <f t="shared" si="10"/>
        <v>3014.9680018292379</v>
      </c>
      <c r="I96" s="32">
        <f t="shared" si="10"/>
        <v>3011.1068955679552</v>
      </c>
      <c r="J96" s="32">
        <f t="shared" si="10"/>
        <v>3001.3032917219202</v>
      </c>
      <c r="K96" s="95"/>
      <c r="L96" s="50"/>
      <c r="M96" s="15"/>
    </row>
    <row r="97" spans="1:13">
      <c r="A97" s="50">
        <v>4</v>
      </c>
      <c r="B97" s="50"/>
      <c r="C97" s="50" t="s">
        <v>275</v>
      </c>
      <c r="D97" s="50"/>
      <c r="E97" s="32">
        <f t="shared" si="10"/>
        <v>0</v>
      </c>
      <c r="F97" s="32">
        <f t="shared" si="10"/>
        <v>0</v>
      </c>
      <c r="G97" s="32">
        <f t="shared" si="10"/>
        <v>0</v>
      </c>
      <c r="H97" s="32">
        <f t="shared" si="10"/>
        <v>3811.7571848262128</v>
      </c>
      <c r="I97" s="32">
        <f t="shared" si="10"/>
        <v>3808.8008036952356</v>
      </c>
      <c r="J97" s="32">
        <f t="shared" si="10"/>
        <v>3798.4131651397033</v>
      </c>
      <c r="K97" s="95"/>
      <c r="L97" s="50"/>
      <c r="M97" s="15"/>
    </row>
    <row r="98" spans="1:13">
      <c r="A98" s="50">
        <v>5</v>
      </c>
      <c r="B98" s="50"/>
      <c r="C98" s="50" t="s">
        <v>276</v>
      </c>
      <c r="D98" s="50"/>
      <c r="E98" s="32">
        <f t="shared" si="10"/>
        <v>0</v>
      </c>
      <c r="F98" s="32">
        <f t="shared" si="10"/>
        <v>0</v>
      </c>
      <c r="G98" s="32">
        <f t="shared" si="10"/>
        <v>0</v>
      </c>
      <c r="H98" s="32">
        <f t="shared" si="10"/>
        <v>0</v>
      </c>
      <c r="I98" s="32">
        <f t="shared" si="10"/>
        <v>3206.8712330157809</v>
      </c>
      <c r="J98" s="32">
        <f t="shared" si="10"/>
        <v>3199.7448524979682</v>
      </c>
      <c r="K98" s="95"/>
      <c r="L98" s="50"/>
      <c r="M98" s="15"/>
    </row>
    <row r="99" spans="1:13">
      <c r="A99" s="50">
        <v>6</v>
      </c>
      <c r="B99" s="50"/>
      <c r="C99" s="50" t="s">
        <v>277</v>
      </c>
      <c r="D99" s="50"/>
      <c r="E99" s="32">
        <f t="shared" si="10"/>
        <v>0</v>
      </c>
      <c r="F99" s="32">
        <f t="shared" si="10"/>
        <v>0</v>
      </c>
      <c r="G99" s="32">
        <f t="shared" si="10"/>
        <v>0</v>
      </c>
      <c r="H99" s="32">
        <f t="shared" si="10"/>
        <v>0</v>
      </c>
      <c r="I99" s="32">
        <f t="shared" si="10"/>
        <v>0</v>
      </c>
      <c r="J99" s="32">
        <f t="shared" si="10"/>
        <v>3451.3129347213116</v>
      </c>
      <c r="K99" s="95"/>
      <c r="L99" s="50"/>
      <c r="M99" s="15"/>
    </row>
    <row r="100" spans="1:13">
      <c r="A100" s="50"/>
      <c r="B100" s="50"/>
      <c r="C100" s="50" t="s">
        <v>146</v>
      </c>
      <c r="D100" s="50"/>
      <c r="E100" s="32">
        <f t="shared" ref="E100:J100" si="11">SUM(E70:E75)</f>
        <v>0</v>
      </c>
      <c r="F100" s="32">
        <f t="shared" si="11"/>
        <v>2549.2330000000002</v>
      </c>
      <c r="G100" s="32">
        <f t="shared" si="11"/>
        <v>8413.2578769833781</v>
      </c>
      <c r="H100" s="32">
        <f t="shared" si="11"/>
        <v>11442.736114633828</v>
      </c>
      <c r="I100" s="32">
        <f t="shared" si="11"/>
        <v>15256.567971454906</v>
      </c>
      <c r="J100" s="32">
        <f t="shared" si="11"/>
        <v>18439.960661422432</v>
      </c>
      <c r="K100" s="95"/>
      <c r="L100" s="27"/>
      <c r="M100" s="15"/>
    </row>
    <row r="101" spans="1:13">
      <c r="A101" s="50"/>
      <c r="B101" s="50"/>
      <c r="C101" s="50" t="s">
        <v>147</v>
      </c>
      <c r="D101" s="50"/>
      <c r="E101" s="32">
        <f t="shared" ref="E101:J101" si="12">SUM(E82:E87)</f>
        <v>0</v>
      </c>
      <c r="F101" s="32">
        <f t="shared" si="12"/>
        <v>50.505938328526717</v>
      </c>
      <c r="G101" s="32">
        <f t="shared" si="12"/>
        <v>204.77769243493165</v>
      </c>
      <c r="H101" s="32">
        <f t="shared" si="12"/>
        <v>261.9614615045171</v>
      </c>
      <c r="I101" s="32">
        <f t="shared" si="12"/>
        <v>327.20192070214398</v>
      </c>
      <c r="J101" s="32">
        <f t="shared" si="12"/>
        <v>368.79921322844893</v>
      </c>
      <c r="K101" s="95"/>
      <c r="L101" s="27"/>
      <c r="M101" s="15"/>
    </row>
    <row r="102" spans="1:13">
      <c r="A102" s="50"/>
      <c r="B102" s="50"/>
      <c r="C102" s="50" t="s">
        <v>68</v>
      </c>
      <c r="D102" s="50"/>
      <c r="E102" s="32">
        <f t="shared" ref="E102:J102" si="13">SUM(E88:E93)</f>
        <v>0</v>
      </c>
      <c r="F102" s="32">
        <f t="shared" si="13"/>
        <v>56.649622222222227</v>
      </c>
      <c r="G102" s="32">
        <f t="shared" si="13"/>
        <v>188.24567469867418</v>
      </c>
      <c r="H102" s="32">
        <f t="shared" si="13"/>
        <v>259.88678950965129</v>
      </c>
      <c r="I102" s="32">
        <f t="shared" si="13"/>
        <v>350.6804637503983</v>
      </c>
      <c r="J102" s="32">
        <f t="shared" si="13"/>
        <v>429.64222661783032</v>
      </c>
      <c r="K102" s="95"/>
      <c r="L102" s="27"/>
      <c r="M102" s="15"/>
    </row>
    <row r="103" spans="1:13">
      <c r="A103" s="50"/>
      <c r="B103" s="50"/>
      <c r="C103" s="50" t="s">
        <v>148</v>
      </c>
      <c r="D103" s="50"/>
      <c r="E103" s="32">
        <f t="shared" ref="E103:J103" si="14">SUM(E94:E99)</f>
        <v>2549.2330000000002</v>
      </c>
      <c r="F103" s="32">
        <f t="shared" si="14"/>
        <v>8413.2578769833781</v>
      </c>
      <c r="G103" s="32">
        <f t="shared" si="14"/>
        <v>11442.736114633828</v>
      </c>
      <c r="H103" s="32">
        <f t="shared" si="14"/>
        <v>15256.567971454906</v>
      </c>
      <c r="I103" s="32">
        <f t="shared" si="14"/>
        <v>18439.960661422432</v>
      </c>
      <c r="J103" s="32">
        <f t="shared" si="14"/>
        <v>21830.430582754365</v>
      </c>
      <c r="K103" s="95"/>
      <c r="L103" s="50"/>
      <c r="M103" s="15"/>
    </row>
    <row r="104" spans="1:13">
      <c r="A104" s="50"/>
      <c r="B104" s="50"/>
      <c r="C104" s="50"/>
      <c r="D104" s="50"/>
      <c r="E104" s="32"/>
      <c r="F104" s="32"/>
      <c r="G104" s="32"/>
      <c r="H104" s="32"/>
      <c r="I104" s="32"/>
      <c r="J104" s="32"/>
      <c r="K104" s="95"/>
      <c r="L104" s="50"/>
      <c r="M104" s="15"/>
    </row>
    <row r="105" spans="1:13" ht="15.75">
      <c r="A105" s="50"/>
      <c r="B105" s="50"/>
      <c r="C105" s="162" t="s">
        <v>121</v>
      </c>
      <c r="D105" s="50"/>
      <c r="E105" s="162" t="str">
        <f>Inputs!D$11</f>
        <v>2009/10</v>
      </c>
      <c r="F105" s="162" t="str">
        <f>Inputs!E$11</f>
        <v>2010/11</v>
      </c>
      <c r="G105" s="162" t="str">
        <f>Inputs!F$11</f>
        <v>2011/12</v>
      </c>
      <c r="H105" s="162" t="str">
        <f>Inputs!G$11</f>
        <v>2012/13</v>
      </c>
      <c r="I105" s="162" t="str">
        <f>Inputs!H$11</f>
        <v>2013/14</v>
      </c>
      <c r="J105" s="162" t="str">
        <f>Inputs!I$11</f>
        <v>2014/15</v>
      </c>
      <c r="K105" s="95"/>
      <c r="L105" s="50"/>
      <c r="M105" s="15"/>
    </row>
    <row r="106" spans="1:13">
      <c r="A106" s="50"/>
      <c r="B106" s="50"/>
      <c r="C106" s="164" t="s">
        <v>60</v>
      </c>
      <c r="D106" s="50"/>
      <c r="E106" s="164">
        <v>1</v>
      </c>
      <c r="F106" s="164">
        <v>2</v>
      </c>
      <c r="G106" s="164">
        <v>3</v>
      </c>
      <c r="H106" s="164">
        <v>4</v>
      </c>
      <c r="I106" s="164">
        <v>5</v>
      </c>
      <c r="J106" s="164">
        <v>6</v>
      </c>
      <c r="K106" s="95"/>
      <c r="L106" s="50"/>
      <c r="M106" s="15"/>
    </row>
    <row r="107" spans="1:13">
      <c r="A107" s="50"/>
      <c r="B107" s="50"/>
      <c r="C107" s="50" t="s">
        <v>39</v>
      </c>
      <c r="D107" s="32"/>
      <c r="E107" s="32">
        <f t="shared" ref="E107:J107" si="15">E$29</f>
        <v>2549.2330000000002</v>
      </c>
      <c r="F107" s="32">
        <f t="shared" si="15"/>
        <v>5870.1685608770731</v>
      </c>
      <c r="G107" s="32">
        <f t="shared" si="15"/>
        <v>3012.9462199141931</v>
      </c>
      <c r="H107" s="32">
        <f t="shared" si="15"/>
        <v>3811.7571848262128</v>
      </c>
      <c r="I107" s="32">
        <f t="shared" si="15"/>
        <v>3206.8712330157809</v>
      </c>
      <c r="J107" s="32">
        <f t="shared" si="15"/>
        <v>3451.3129347213116</v>
      </c>
      <c r="K107" s="95"/>
      <c r="L107" s="50"/>
      <c r="M107" s="15"/>
    </row>
    <row r="108" spans="1:13">
      <c r="A108" s="50">
        <v>1</v>
      </c>
      <c r="B108" s="50"/>
      <c r="C108" s="50" t="s">
        <v>230</v>
      </c>
      <c r="D108" s="50"/>
      <c r="E108" s="129">
        <v>0</v>
      </c>
      <c r="F108" s="32">
        <f t="shared" ref="F108:J113" si="16">E126</f>
        <v>2549.2330000000002</v>
      </c>
      <c r="G108" s="32">
        <f t="shared" si="16"/>
        <v>2492.583377777778</v>
      </c>
      <c r="H108" s="32">
        <f t="shared" si="16"/>
        <v>2435.9337555555558</v>
      </c>
      <c r="I108" s="32">
        <f t="shared" si="16"/>
        <v>2379.2841333333336</v>
      </c>
      <c r="J108" s="32">
        <f t="shared" si="16"/>
        <v>2322.6345111111114</v>
      </c>
      <c r="K108" s="95"/>
      <c r="L108" s="50"/>
      <c r="M108" s="15"/>
    </row>
    <row r="109" spans="1:13">
      <c r="A109" s="50">
        <v>2</v>
      </c>
      <c r="B109" s="50"/>
      <c r="C109" s="50" t="s">
        <v>231</v>
      </c>
      <c r="D109" s="50"/>
      <c r="E109" s="129">
        <v>0</v>
      </c>
      <c r="F109" s="32">
        <f t="shared" si="16"/>
        <v>0</v>
      </c>
      <c r="G109" s="32">
        <f t="shared" si="16"/>
        <v>5870.1685608770731</v>
      </c>
      <c r="H109" s="32">
        <f t="shared" si="16"/>
        <v>5739.7203706353603</v>
      </c>
      <c r="I109" s="32">
        <f t="shared" si="16"/>
        <v>5609.2721803936474</v>
      </c>
      <c r="J109" s="32">
        <f t="shared" si="16"/>
        <v>5478.8239901519346</v>
      </c>
      <c r="K109" s="95"/>
      <c r="L109" s="50"/>
      <c r="M109" s="15"/>
    </row>
    <row r="110" spans="1:13">
      <c r="A110" s="50">
        <v>3</v>
      </c>
      <c r="B110" s="50"/>
      <c r="C110" s="50" t="s">
        <v>232</v>
      </c>
      <c r="D110" s="50"/>
      <c r="E110" s="129">
        <v>0</v>
      </c>
      <c r="F110" s="32">
        <f t="shared" si="16"/>
        <v>0</v>
      </c>
      <c r="G110" s="32">
        <f t="shared" si="16"/>
        <v>0</v>
      </c>
      <c r="H110" s="32">
        <f t="shared" si="16"/>
        <v>3012.9462199141931</v>
      </c>
      <c r="I110" s="32">
        <f t="shared" si="16"/>
        <v>2945.9918594716555</v>
      </c>
      <c r="J110" s="32">
        <f t="shared" si="16"/>
        <v>2879.037499029118</v>
      </c>
      <c r="K110" s="95"/>
      <c r="L110" s="50"/>
      <c r="M110" s="15"/>
    </row>
    <row r="111" spans="1:13">
      <c r="A111" s="50">
        <v>4</v>
      </c>
      <c r="B111" s="50"/>
      <c r="C111" s="50" t="s">
        <v>233</v>
      </c>
      <c r="D111" s="50"/>
      <c r="E111" s="129">
        <v>0</v>
      </c>
      <c r="F111" s="32">
        <f t="shared" si="16"/>
        <v>0</v>
      </c>
      <c r="G111" s="32">
        <f t="shared" si="16"/>
        <v>0</v>
      </c>
      <c r="H111" s="32">
        <f t="shared" si="16"/>
        <v>0</v>
      </c>
      <c r="I111" s="32">
        <f t="shared" si="16"/>
        <v>3811.7571848262128</v>
      </c>
      <c r="J111" s="32">
        <f t="shared" si="16"/>
        <v>3727.0514696078526</v>
      </c>
      <c r="K111" s="95"/>
      <c r="L111" s="50"/>
      <c r="M111" s="15"/>
    </row>
    <row r="112" spans="1:13">
      <c r="A112" s="50">
        <v>5</v>
      </c>
      <c r="B112" s="50"/>
      <c r="C112" s="50" t="s">
        <v>234</v>
      </c>
      <c r="D112" s="50"/>
      <c r="E112" s="129">
        <v>0</v>
      </c>
      <c r="F112" s="32">
        <f t="shared" si="16"/>
        <v>0</v>
      </c>
      <c r="G112" s="32">
        <f t="shared" si="16"/>
        <v>0</v>
      </c>
      <c r="H112" s="32">
        <f t="shared" si="16"/>
        <v>0</v>
      </c>
      <c r="I112" s="32">
        <f t="shared" si="16"/>
        <v>0</v>
      </c>
      <c r="J112" s="32">
        <f t="shared" si="16"/>
        <v>3206.8712330157809</v>
      </c>
      <c r="K112" s="95"/>
      <c r="L112" s="50"/>
      <c r="M112" s="15"/>
    </row>
    <row r="113" spans="1:13">
      <c r="A113" s="50">
        <v>6</v>
      </c>
      <c r="B113" s="50"/>
      <c r="C113" s="50" t="s">
        <v>235</v>
      </c>
      <c r="D113" s="50"/>
      <c r="E113" s="129">
        <v>0</v>
      </c>
      <c r="F113" s="32">
        <f t="shared" si="16"/>
        <v>0</v>
      </c>
      <c r="G113" s="32">
        <f t="shared" si="16"/>
        <v>0</v>
      </c>
      <c r="H113" s="32">
        <f t="shared" si="16"/>
        <v>0</v>
      </c>
      <c r="I113" s="32">
        <f t="shared" si="16"/>
        <v>0</v>
      </c>
      <c r="J113" s="32">
        <f t="shared" si="16"/>
        <v>0</v>
      </c>
      <c r="K113" s="95"/>
      <c r="L113" s="50"/>
      <c r="M113" s="15"/>
    </row>
    <row r="114" spans="1:13">
      <c r="A114" s="50">
        <v>1</v>
      </c>
      <c r="B114" s="50"/>
      <c r="C114" s="50" t="s">
        <v>236</v>
      </c>
      <c r="D114" s="50"/>
      <c r="E114" s="129">
        <f>Inputs!$C$7+$A114</f>
        <v>46</v>
      </c>
      <c r="F114" s="32">
        <f t="shared" ref="F114:J119" si="17">E114-1</f>
        <v>45</v>
      </c>
      <c r="G114" s="32">
        <f t="shared" si="17"/>
        <v>44</v>
      </c>
      <c r="H114" s="32">
        <f t="shared" si="17"/>
        <v>43</v>
      </c>
      <c r="I114" s="32">
        <f t="shared" si="17"/>
        <v>42</v>
      </c>
      <c r="J114" s="32">
        <f t="shared" si="17"/>
        <v>41</v>
      </c>
      <c r="K114" s="95"/>
      <c r="L114" s="50"/>
      <c r="M114" s="15"/>
    </row>
    <row r="115" spans="1:13">
      <c r="A115" s="50">
        <v>2</v>
      </c>
      <c r="B115" s="50"/>
      <c r="C115" s="50" t="s">
        <v>237</v>
      </c>
      <c r="D115" s="50"/>
      <c r="E115" s="129">
        <f>Inputs!$C$7+$A115</f>
        <v>47</v>
      </c>
      <c r="F115" s="32">
        <f t="shared" si="17"/>
        <v>46</v>
      </c>
      <c r="G115" s="32">
        <f t="shared" si="17"/>
        <v>45</v>
      </c>
      <c r="H115" s="32">
        <f t="shared" si="17"/>
        <v>44</v>
      </c>
      <c r="I115" s="32">
        <f t="shared" si="17"/>
        <v>43</v>
      </c>
      <c r="J115" s="32">
        <f t="shared" si="17"/>
        <v>42</v>
      </c>
      <c r="K115" s="95"/>
      <c r="L115" s="50"/>
      <c r="M115" s="15"/>
    </row>
    <row r="116" spans="1:13">
      <c r="A116" s="50">
        <v>3</v>
      </c>
      <c r="B116" s="50"/>
      <c r="C116" s="50" t="s">
        <v>238</v>
      </c>
      <c r="D116" s="50"/>
      <c r="E116" s="129">
        <f>Inputs!$C$7+$A116</f>
        <v>48</v>
      </c>
      <c r="F116" s="32">
        <f t="shared" si="17"/>
        <v>47</v>
      </c>
      <c r="G116" s="32">
        <f t="shared" si="17"/>
        <v>46</v>
      </c>
      <c r="H116" s="32">
        <f t="shared" si="17"/>
        <v>45</v>
      </c>
      <c r="I116" s="32">
        <f t="shared" si="17"/>
        <v>44</v>
      </c>
      <c r="J116" s="32">
        <f t="shared" si="17"/>
        <v>43</v>
      </c>
      <c r="K116" s="95"/>
      <c r="L116" s="50"/>
      <c r="M116" s="15"/>
    </row>
    <row r="117" spans="1:13">
      <c r="A117" s="50">
        <v>4</v>
      </c>
      <c r="B117" s="50"/>
      <c r="C117" s="50" t="s">
        <v>239</v>
      </c>
      <c r="D117" s="50"/>
      <c r="E117" s="129">
        <f>Inputs!$C$7+$A117</f>
        <v>49</v>
      </c>
      <c r="F117" s="32">
        <f t="shared" si="17"/>
        <v>48</v>
      </c>
      <c r="G117" s="32">
        <f t="shared" si="17"/>
        <v>47</v>
      </c>
      <c r="H117" s="32">
        <f t="shared" si="17"/>
        <v>46</v>
      </c>
      <c r="I117" s="32">
        <f t="shared" si="17"/>
        <v>45</v>
      </c>
      <c r="J117" s="32">
        <f t="shared" si="17"/>
        <v>44</v>
      </c>
      <c r="K117" s="95"/>
      <c r="L117" s="50"/>
      <c r="M117" s="15"/>
    </row>
    <row r="118" spans="1:13">
      <c r="A118" s="50">
        <v>5</v>
      </c>
      <c r="B118" s="50"/>
      <c r="C118" s="50" t="s">
        <v>240</v>
      </c>
      <c r="D118" s="50"/>
      <c r="E118" s="129">
        <f>Inputs!$C$7+$A118</f>
        <v>50</v>
      </c>
      <c r="F118" s="32">
        <f t="shared" si="17"/>
        <v>49</v>
      </c>
      <c r="G118" s="32">
        <f t="shared" si="17"/>
        <v>48</v>
      </c>
      <c r="H118" s="32">
        <f t="shared" si="17"/>
        <v>47</v>
      </c>
      <c r="I118" s="32">
        <f t="shared" si="17"/>
        <v>46</v>
      </c>
      <c r="J118" s="32">
        <f t="shared" si="17"/>
        <v>45</v>
      </c>
      <c r="K118" s="95"/>
      <c r="L118" s="50"/>
      <c r="M118" s="15"/>
    </row>
    <row r="119" spans="1:13">
      <c r="A119" s="50">
        <v>6</v>
      </c>
      <c r="B119" s="50"/>
      <c r="C119" s="50" t="s">
        <v>241</v>
      </c>
      <c r="D119" s="50"/>
      <c r="E119" s="129">
        <f>Inputs!$C$7+$A119</f>
        <v>51</v>
      </c>
      <c r="F119" s="32">
        <f t="shared" si="17"/>
        <v>50</v>
      </c>
      <c r="G119" s="32">
        <f t="shared" si="17"/>
        <v>49</v>
      </c>
      <c r="H119" s="32">
        <f t="shared" si="17"/>
        <v>48</v>
      </c>
      <c r="I119" s="32">
        <f t="shared" si="17"/>
        <v>47</v>
      </c>
      <c r="J119" s="32">
        <f t="shared" si="17"/>
        <v>46</v>
      </c>
      <c r="K119" s="95"/>
      <c r="L119" s="50"/>
      <c r="M119" s="15"/>
    </row>
    <row r="120" spans="1:13">
      <c r="A120" s="50">
        <v>1</v>
      </c>
      <c r="B120" s="50"/>
      <c r="C120" s="50" t="s">
        <v>242</v>
      </c>
      <c r="D120" s="50"/>
      <c r="E120" s="32">
        <f t="shared" ref="E120:J125" si="18">E108/E114</f>
        <v>0</v>
      </c>
      <c r="F120" s="32">
        <f t="shared" si="18"/>
        <v>56.649622222222227</v>
      </c>
      <c r="G120" s="32">
        <f t="shared" si="18"/>
        <v>56.649622222222227</v>
      </c>
      <c r="H120" s="32">
        <f t="shared" si="18"/>
        <v>56.649622222222227</v>
      </c>
      <c r="I120" s="32">
        <f t="shared" si="18"/>
        <v>56.649622222222227</v>
      </c>
      <c r="J120" s="32">
        <f t="shared" si="18"/>
        <v>56.649622222222227</v>
      </c>
      <c r="K120" s="95"/>
      <c r="L120" s="50"/>
      <c r="M120" s="15"/>
    </row>
    <row r="121" spans="1:13">
      <c r="A121" s="50">
        <v>2</v>
      </c>
      <c r="B121" s="50"/>
      <c r="C121" s="50" t="s">
        <v>243</v>
      </c>
      <c r="D121" s="50"/>
      <c r="E121" s="32">
        <f t="shared" si="18"/>
        <v>0</v>
      </c>
      <c r="F121" s="32">
        <f t="shared" si="18"/>
        <v>0</v>
      </c>
      <c r="G121" s="32">
        <f t="shared" si="18"/>
        <v>130.44819024171272</v>
      </c>
      <c r="H121" s="32">
        <f t="shared" si="18"/>
        <v>130.44819024171272</v>
      </c>
      <c r="I121" s="32">
        <f t="shared" si="18"/>
        <v>130.44819024171272</v>
      </c>
      <c r="J121" s="32">
        <f t="shared" si="18"/>
        <v>130.44819024171272</v>
      </c>
      <c r="K121" s="95"/>
      <c r="L121" s="50"/>
      <c r="M121" s="15"/>
    </row>
    <row r="122" spans="1:13">
      <c r="A122" s="50">
        <v>3</v>
      </c>
      <c r="B122" s="50"/>
      <c r="C122" s="50" t="s">
        <v>244</v>
      </c>
      <c r="D122" s="50"/>
      <c r="E122" s="32">
        <f t="shared" si="18"/>
        <v>0</v>
      </c>
      <c r="F122" s="32">
        <f t="shared" si="18"/>
        <v>0</v>
      </c>
      <c r="G122" s="32">
        <f t="shared" si="18"/>
        <v>0</v>
      </c>
      <c r="H122" s="32">
        <f t="shared" si="18"/>
        <v>66.95436044253762</v>
      </c>
      <c r="I122" s="32">
        <f t="shared" si="18"/>
        <v>66.95436044253762</v>
      </c>
      <c r="J122" s="32">
        <f t="shared" si="18"/>
        <v>66.95436044253762</v>
      </c>
      <c r="K122" s="95"/>
      <c r="L122" s="50"/>
      <c r="M122" s="15"/>
    </row>
    <row r="123" spans="1:13">
      <c r="A123" s="50">
        <v>4</v>
      </c>
      <c r="B123" s="50"/>
      <c r="C123" s="50" t="s">
        <v>245</v>
      </c>
      <c r="D123" s="50"/>
      <c r="E123" s="32">
        <f t="shared" si="18"/>
        <v>0</v>
      </c>
      <c r="F123" s="32">
        <f t="shared" si="18"/>
        <v>0</v>
      </c>
      <c r="G123" s="32">
        <f t="shared" si="18"/>
        <v>0</v>
      </c>
      <c r="H123" s="32">
        <f t="shared" si="18"/>
        <v>0</v>
      </c>
      <c r="I123" s="32">
        <f t="shared" si="18"/>
        <v>84.705715218360282</v>
      </c>
      <c r="J123" s="32">
        <f t="shared" si="18"/>
        <v>84.705715218360282</v>
      </c>
      <c r="K123" s="95"/>
      <c r="L123" s="50"/>
      <c r="M123" s="15"/>
    </row>
    <row r="124" spans="1:13">
      <c r="A124" s="50">
        <v>5</v>
      </c>
      <c r="B124" s="50"/>
      <c r="C124" s="50" t="s">
        <v>246</v>
      </c>
      <c r="D124" s="50"/>
      <c r="E124" s="32">
        <f t="shared" si="18"/>
        <v>0</v>
      </c>
      <c r="F124" s="32">
        <f t="shared" si="18"/>
        <v>0</v>
      </c>
      <c r="G124" s="32">
        <f t="shared" si="18"/>
        <v>0</v>
      </c>
      <c r="H124" s="32">
        <f t="shared" si="18"/>
        <v>0</v>
      </c>
      <c r="I124" s="32">
        <f t="shared" si="18"/>
        <v>0</v>
      </c>
      <c r="J124" s="32">
        <f t="shared" si="18"/>
        <v>71.263805178128464</v>
      </c>
      <c r="K124" s="95"/>
      <c r="L124" s="50"/>
      <c r="M124" s="15"/>
    </row>
    <row r="125" spans="1:13">
      <c r="A125" s="50">
        <v>6</v>
      </c>
      <c r="B125" s="50"/>
      <c r="C125" s="50" t="s">
        <v>247</v>
      </c>
      <c r="D125" s="50"/>
      <c r="E125" s="32">
        <f t="shared" si="18"/>
        <v>0</v>
      </c>
      <c r="F125" s="32">
        <f t="shared" si="18"/>
        <v>0</v>
      </c>
      <c r="G125" s="32">
        <f t="shared" si="18"/>
        <v>0</v>
      </c>
      <c r="H125" s="32">
        <f t="shared" si="18"/>
        <v>0</v>
      </c>
      <c r="I125" s="32">
        <f t="shared" si="18"/>
        <v>0</v>
      </c>
      <c r="J125" s="32">
        <f t="shared" si="18"/>
        <v>0</v>
      </c>
      <c r="K125" s="95"/>
      <c r="L125" s="50"/>
      <c r="M125" s="15"/>
    </row>
    <row r="126" spans="1:13">
      <c r="A126" s="50">
        <v>1</v>
      </c>
      <c r="B126" s="50"/>
      <c r="C126" s="50" t="s">
        <v>248</v>
      </c>
      <c r="D126" s="50"/>
      <c r="E126" s="32">
        <f t="shared" ref="E126:J131" si="19">E108-E120+IF($A126=E$106,E$107,0)</f>
        <v>2549.2330000000002</v>
      </c>
      <c r="F126" s="32">
        <f t="shared" si="19"/>
        <v>2492.583377777778</v>
      </c>
      <c r="G126" s="32">
        <f t="shared" si="19"/>
        <v>2435.9337555555558</v>
      </c>
      <c r="H126" s="32">
        <f t="shared" si="19"/>
        <v>2379.2841333333336</v>
      </c>
      <c r="I126" s="32">
        <f t="shared" si="19"/>
        <v>2322.6345111111114</v>
      </c>
      <c r="J126" s="32">
        <f t="shared" si="19"/>
        <v>2265.9848888888891</v>
      </c>
      <c r="K126" s="95"/>
      <c r="L126" s="50"/>
      <c r="M126" s="15"/>
    </row>
    <row r="127" spans="1:13">
      <c r="A127" s="50">
        <v>2</v>
      </c>
      <c r="B127" s="50"/>
      <c r="C127" s="50" t="s">
        <v>249</v>
      </c>
      <c r="D127" s="50"/>
      <c r="E127" s="32">
        <f t="shared" si="19"/>
        <v>0</v>
      </c>
      <c r="F127" s="32">
        <f t="shared" si="19"/>
        <v>5870.1685608770731</v>
      </c>
      <c r="G127" s="32">
        <f t="shared" si="19"/>
        <v>5739.7203706353603</v>
      </c>
      <c r="H127" s="32">
        <f t="shared" si="19"/>
        <v>5609.2721803936474</v>
      </c>
      <c r="I127" s="32">
        <f t="shared" si="19"/>
        <v>5478.8239901519346</v>
      </c>
      <c r="J127" s="32">
        <f t="shared" si="19"/>
        <v>5348.3757999102218</v>
      </c>
      <c r="K127" s="95"/>
      <c r="L127" s="50"/>
      <c r="M127" s="15"/>
    </row>
    <row r="128" spans="1:13">
      <c r="A128" s="50">
        <v>3</v>
      </c>
      <c r="B128" s="50"/>
      <c r="C128" s="50" t="s">
        <v>250</v>
      </c>
      <c r="D128" s="50"/>
      <c r="E128" s="32">
        <f t="shared" si="19"/>
        <v>0</v>
      </c>
      <c r="F128" s="32">
        <f t="shared" si="19"/>
        <v>0</v>
      </c>
      <c r="G128" s="32">
        <f t="shared" si="19"/>
        <v>3012.9462199141931</v>
      </c>
      <c r="H128" s="32">
        <f t="shared" si="19"/>
        <v>2945.9918594716555</v>
      </c>
      <c r="I128" s="32">
        <f t="shared" si="19"/>
        <v>2879.037499029118</v>
      </c>
      <c r="J128" s="32">
        <f t="shared" si="19"/>
        <v>2812.0831385865804</v>
      </c>
      <c r="K128" s="95"/>
      <c r="L128" s="50"/>
      <c r="M128" s="15"/>
    </row>
    <row r="129" spans="1:13">
      <c r="A129" s="50">
        <v>4</v>
      </c>
      <c r="B129" s="50"/>
      <c r="C129" s="50" t="s">
        <v>251</v>
      </c>
      <c r="D129" s="50"/>
      <c r="E129" s="32">
        <f t="shared" si="19"/>
        <v>0</v>
      </c>
      <c r="F129" s="32">
        <f t="shared" si="19"/>
        <v>0</v>
      </c>
      <c r="G129" s="32">
        <f t="shared" si="19"/>
        <v>0</v>
      </c>
      <c r="H129" s="32">
        <f t="shared" si="19"/>
        <v>3811.7571848262128</v>
      </c>
      <c r="I129" s="32">
        <f t="shared" si="19"/>
        <v>3727.0514696078526</v>
      </c>
      <c r="J129" s="32">
        <f t="shared" si="19"/>
        <v>3642.3457543894924</v>
      </c>
      <c r="K129" s="95"/>
      <c r="L129" s="50"/>
      <c r="M129" s="15"/>
    </row>
    <row r="130" spans="1:13">
      <c r="A130" s="50">
        <v>5</v>
      </c>
      <c r="B130" s="50"/>
      <c r="C130" s="50" t="s">
        <v>252</v>
      </c>
      <c r="D130" s="50"/>
      <c r="E130" s="32">
        <f t="shared" si="19"/>
        <v>0</v>
      </c>
      <c r="F130" s="32">
        <f t="shared" si="19"/>
        <v>0</v>
      </c>
      <c r="G130" s="32">
        <f t="shared" si="19"/>
        <v>0</v>
      </c>
      <c r="H130" s="32">
        <f t="shared" si="19"/>
        <v>0</v>
      </c>
      <c r="I130" s="32">
        <f t="shared" si="19"/>
        <v>3206.8712330157809</v>
      </c>
      <c r="J130" s="32">
        <f t="shared" si="19"/>
        <v>3135.6074278376523</v>
      </c>
      <c r="K130" s="95"/>
      <c r="L130" s="50"/>
      <c r="M130" s="15"/>
    </row>
    <row r="131" spans="1:13">
      <c r="A131" s="50">
        <v>6</v>
      </c>
      <c r="B131" s="50"/>
      <c r="C131" s="50" t="s">
        <v>253</v>
      </c>
      <c r="D131" s="50"/>
      <c r="E131" s="32">
        <f t="shared" si="19"/>
        <v>0</v>
      </c>
      <c r="F131" s="32">
        <f t="shared" si="19"/>
        <v>0</v>
      </c>
      <c r="G131" s="32">
        <f t="shared" si="19"/>
        <v>0</v>
      </c>
      <c r="H131" s="32">
        <f t="shared" si="19"/>
        <v>0</v>
      </c>
      <c r="I131" s="32">
        <f t="shared" si="19"/>
        <v>0</v>
      </c>
      <c r="J131" s="32">
        <f t="shared" si="19"/>
        <v>3451.3129347213116</v>
      </c>
      <c r="K131" s="95"/>
      <c r="L131" s="50"/>
      <c r="M131" s="15"/>
    </row>
    <row r="132" spans="1:13">
      <c r="A132" s="50"/>
      <c r="B132" s="50"/>
      <c r="C132" s="50" t="s">
        <v>62</v>
      </c>
      <c r="D132" s="50"/>
      <c r="E132" s="32">
        <f t="shared" ref="E132:J132" si="20">SUM(E120:E125)</f>
        <v>0</v>
      </c>
      <c r="F132" s="32">
        <f t="shared" si="20"/>
        <v>56.649622222222227</v>
      </c>
      <c r="G132" s="32">
        <f t="shared" si="20"/>
        <v>187.09781246393496</v>
      </c>
      <c r="H132" s="32">
        <f t="shared" si="20"/>
        <v>254.05217290647258</v>
      </c>
      <c r="I132" s="32">
        <f t="shared" si="20"/>
        <v>338.75788812483285</v>
      </c>
      <c r="J132" s="32">
        <f t="shared" si="20"/>
        <v>410.0216933029613</v>
      </c>
      <c r="K132" s="95"/>
      <c r="L132" s="27"/>
      <c r="M132" s="15"/>
    </row>
    <row r="133" spans="1:13" s="15" customFormat="1">
      <c r="A133" s="50"/>
      <c r="B133" s="50"/>
      <c r="C133" s="50"/>
      <c r="D133" s="50"/>
      <c r="E133" s="32"/>
      <c r="F133" s="32"/>
      <c r="G133" s="32"/>
      <c r="H133" s="32"/>
      <c r="I133" s="32"/>
      <c r="J133" s="32"/>
      <c r="K133" s="95"/>
      <c r="L133" s="50"/>
    </row>
    <row r="134" spans="1:13" ht="15.75">
      <c r="A134" s="50"/>
      <c r="B134" s="50"/>
      <c r="C134" s="162" t="s">
        <v>63</v>
      </c>
      <c r="D134" s="50"/>
      <c r="E134" s="50"/>
      <c r="F134" s="50"/>
      <c r="G134" s="50"/>
      <c r="H134" s="50"/>
      <c r="I134" s="50"/>
      <c r="J134" s="50"/>
      <c r="K134" s="95"/>
      <c r="L134" s="50"/>
      <c r="M134" s="15"/>
    </row>
    <row r="135" spans="1:13">
      <c r="A135" s="50"/>
      <c r="B135" s="50"/>
      <c r="C135" s="50" t="s">
        <v>65</v>
      </c>
      <c r="D135" s="50"/>
      <c r="E135" s="129">
        <f>E59</f>
        <v>42857</v>
      </c>
      <c r="F135" s="32">
        <f>E140</f>
        <v>40834</v>
      </c>
      <c r="G135" s="32">
        <f>F140</f>
        <v>38811</v>
      </c>
      <c r="H135" s="32">
        <f>G140</f>
        <v>36788</v>
      </c>
      <c r="I135" s="32">
        <f>H140</f>
        <v>34765</v>
      </c>
      <c r="J135" s="32">
        <f>I140</f>
        <v>32742</v>
      </c>
      <c r="K135" s="95"/>
      <c r="L135" s="50"/>
      <c r="M135" s="15"/>
    </row>
    <row r="136" spans="1:13">
      <c r="A136" s="50"/>
      <c r="B136" s="50"/>
      <c r="C136" s="50" t="s">
        <v>40</v>
      </c>
      <c r="D136" s="50"/>
      <c r="E136" s="32">
        <f t="shared" ref="E136:J136" si="21">E56</f>
        <v>0</v>
      </c>
      <c r="F136" s="32">
        <f t="shared" si="21"/>
        <v>0</v>
      </c>
      <c r="G136" s="32">
        <f t="shared" si="21"/>
        <v>0</v>
      </c>
      <c r="H136" s="32">
        <f t="shared" si="21"/>
        <v>0</v>
      </c>
      <c r="I136" s="32">
        <f t="shared" si="21"/>
        <v>0</v>
      </c>
      <c r="J136" s="32">
        <f t="shared" si="21"/>
        <v>0</v>
      </c>
      <c r="K136" s="95"/>
      <c r="L136" s="50"/>
      <c r="M136" s="15"/>
    </row>
    <row r="137" spans="1:13">
      <c r="A137" s="50"/>
      <c r="B137" s="50"/>
      <c r="C137" s="50" t="s">
        <v>312</v>
      </c>
      <c r="D137" s="50"/>
      <c r="E137" s="32">
        <f>Ctl!E12</f>
        <v>0</v>
      </c>
      <c r="F137" s="32"/>
      <c r="G137" s="32"/>
      <c r="H137" s="32"/>
      <c r="I137" s="32"/>
      <c r="J137" s="32"/>
      <c r="K137" s="95"/>
      <c r="L137" s="50"/>
      <c r="M137" s="15"/>
    </row>
    <row r="138" spans="1:13">
      <c r="A138" s="50"/>
      <c r="B138" s="50"/>
      <c r="C138" s="50" t="s">
        <v>313</v>
      </c>
      <c r="D138" s="50"/>
      <c r="E138" s="32">
        <f>Ctl!E13</f>
        <v>0</v>
      </c>
      <c r="F138" s="32"/>
      <c r="G138" s="32"/>
      <c r="H138" s="32"/>
      <c r="I138" s="32"/>
      <c r="J138" s="32"/>
      <c r="K138" s="95"/>
      <c r="L138" s="50"/>
      <c r="M138" s="15"/>
    </row>
    <row r="139" spans="1:13">
      <c r="A139" s="50"/>
      <c r="B139" s="50"/>
      <c r="C139" s="50" t="s">
        <v>64</v>
      </c>
      <c r="D139" s="50"/>
      <c r="E139" s="32">
        <f t="shared" ref="E139:J139" si="22">E135/E$54</f>
        <v>2023</v>
      </c>
      <c r="F139" s="32">
        <f t="shared" si="22"/>
        <v>2023</v>
      </c>
      <c r="G139" s="32">
        <f t="shared" si="22"/>
        <v>2023</v>
      </c>
      <c r="H139" s="32">
        <f t="shared" si="22"/>
        <v>2023</v>
      </c>
      <c r="I139" s="32">
        <f t="shared" si="22"/>
        <v>2023</v>
      </c>
      <c r="J139" s="32">
        <f t="shared" si="22"/>
        <v>2023</v>
      </c>
      <c r="K139" s="95"/>
      <c r="L139" s="50"/>
      <c r="M139" s="15"/>
    </row>
    <row r="140" spans="1:13">
      <c r="A140" s="50"/>
      <c r="B140" s="50"/>
      <c r="C140" s="50" t="s">
        <v>61</v>
      </c>
      <c r="D140" s="50"/>
      <c r="E140" s="129">
        <f>E135-E136-E137+E138-E139</f>
        <v>40834</v>
      </c>
      <c r="F140" s="32">
        <f>F135-F136-F139</f>
        <v>38811</v>
      </c>
      <c r="G140" s="32">
        <f>G135-G136-G139</f>
        <v>36788</v>
      </c>
      <c r="H140" s="32">
        <f>H135-H136-H139</f>
        <v>34765</v>
      </c>
      <c r="I140" s="32">
        <f>I135-I136-I139</f>
        <v>32742</v>
      </c>
      <c r="J140" s="32">
        <f>J135-J136-J139</f>
        <v>30719</v>
      </c>
      <c r="K140" s="95"/>
      <c r="L140" s="50"/>
      <c r="M140" s="15"/>
    </row>
    <row r="141" spans="1:13">
      <c r="A141" s="50"/>
      <c r="B141" s="50"/>
      <c r="C141" s="50"/>
      <c r="D141" s="50"/>
      <c r="E141" s="32"/>
      <c r="F141" s="32"/>
      <c r="G141" s="32"/>
      <c r="H141" s="32"/>
      <c r="I141" s="32"/>
      <c r="J141" s="32"/>
      <c r="K141" s="95"/>
      <c r="L141" s="27"/>
      <c r="M141" s="15"/>
    </row>
    <row r="142" spans="1:13" ht="15.75">
      <c r="A142" s="50"/>
      <c r="B142" s="50"/>
      <c r="C142" s="162" t="s">
        <v>66</v>
      </c>
      <c r="D142" s="50"/>
      <c r="E142" s="50"/>
      <c r="F142" s="50"/>
      <c r="G142" s="50"/>
      <c r="H142" s="50"/>
      <c r="I142" s="50"/>
      <c r="J142" s="50"/>
      <c r="K142" s="95"/>
      <c r="L142" s="27"/>
      <c r="M142" s="15"/>
    </row>
    <row r="143" spans="1:13">
      <c r="A143" s="50"/>
      <c r="B143" s="50"/>
      <c r="C143" s="50" t="s">
        <v>155</v>
      </c>
      <c r="D143" s="50"/>
      <c r="E143" s="32">
        <f t="shared" ref="E143:J143" si="23">E59+E100</f>
        <v>42857</v>
      </c>
      <c r="F143" s="32">
        <f t="shared" si="23"/>
        <v>44121.085519291541</v>
      </c>
      <c r="G143" s="32">
        <f t="shared" si="23"/>
        <v>48748.362293406171</v>
      </c>
      <c r="H143" s="32">
        <f t="shared" si="23"/>
        <v>50656.167381351115</v>
      </c>
      <c r="I143" s="32">
        <f t="shared" si="23"/>
        <v>53210.448244182742</v>
      </c>
      <c r="J143" s="32">
        <f t="shared" si="23"/>
        <v>54998.446456037753</v>
      </c>
      <c r="K143" s="95"/>
      <c r="L143" s="27"/>
      <c r="M143" s="15"/>
    </row>
    <row r="144" spans="1:13">
      <c r="A144" s="50"/>
      <c r="B144" s="50"/>
      <c r="C144" s="50" t="s">
        <v>154</v>
      </c>
      <c r="D144" s="50"/>
      <c r="E144" s="32">
        <f t="shared" ref="E144:J146" si="24">E63+E101</f>
        <v>737.85251929153787</v>
      </c>
      <c r="F144" s="32">
        <f t="shared" si="24"/>
        <v>873.31256060369901</v>
      </c>
      <c r="G144" s="32">
        <f t="shared" si="24"/>
        <v>1185.547567501352</v>
      </c>
      <c r="H144" s="32">
        <f t="shared" si="24"/>
        <v>1158.7867709990674</v>
      </c>
      <c r="I144" s="32">
        <f t="shared" si="24"/>
        <v>1140.3706467239074</v>
      </c>
      <c r="J144" s="32">
        <f t="shared" si="24"/>
        <v>1099.2377594048637</v>
      </c>
      <c r="K144" s="95"/>
      <c r="L144" s="50"/>
      <c r="M144" s="15"/>
    </row>
    <row r="145" spans="1:13">
      <c r="A145" s="50"/>
      <c r="B145" s="50"/>
      <c r="C145" s="50" t="s">
        <v>153</v>
      </c>
      <c r="D145" s="50"/>
      <c r="E145" s="32">
        <f t="shared" si="24"/>
        <v>2023</v>
      </c>
      <c r="F145" s="32">
        <f t="shared" si="24"/>
        <v>2116.2043473661411</v>
      </c>
      <c r="G145" s="32">
        <f t="shared" si="24"/>
        <v>2290.6886994706024</v>
      </c>
      <c r="H145" s="32">
        <f t="shared" si="24"/>
        <v>2416.2630929936427</v>
      </c>
      <c r="I145" s="32">
        <f t="shared" si="24"/>
        <v>2559.2436678846834</v>
      </c>
      <c r="J145" s="32">
        <f t="shared" si="24"/>
        <v>2688.4479428998775</v>
      </c>
      <c r="K145" s="95"/>
      <c r="L145" s="50"/>
      <c r="M145" s="15"/>
    </row>
    <row r="146" spans="1:13">
      <c r="A146" s="50"/>
      <c r="B146" s="50"/>
      <c r="C146" s="50" t="s">
        <v>156</v>
      </c>
      <c r="D146" s="50"/>
      <c r="E146" s="32">
        <f t="shared" si="24"/>
        <v>44121.085519291541</v>
      </c>
      <c r="F146" s="32">
        <f t="shared" si="24"/>
        <v>48748.362293406171</v>
      </c>
      <c r="G146" s="32">
        <f t="shared" si="24"/>
        <v>50656.167381351115</v>
      </c>
      <c r="H146" s="32">
        <f t="shared" si="24"/>
        <v>53210.448244182742</v>
      </c>
      <c r="I146" s="32">
        <f t="shared" si="24"/>
        <v>54998.446456037753</v>
      </c>
      <c r="J146" s="32">
        <f t="shared" si="24"/>
        <v>56860.549207264055</v>
      </c>
      <c r="K146" s="95"/>
      <c r="L146" s="50"/>
      <c r="M146" s="15"/>
    </row>
    <row r="147" spans="1:13">
      <c r="A147" s="50"/>
      <c r="B147" s="50"/>
      <c r="C147" s="50" t="s">
        <v>45</v>
      </c>
      <c r="D147" s="50"/>
      <c r="E147" s="32">
        <f t="shared" ref="E147:J147" si="25">E132+E139</f>
        <v>2023</v>
      </c>
      <c r="F147" s="32">
        <f t="shared" si="25"/>
        <v>2079.6496222222222</v>
      </c>
      <c r="G147" s="32">
        <f t="shared" si="25"/>
        <v>2210.097812463935</v>
      </c>
      <c r="H147" s="32">
        <f t="shared" si="25"/>
        <v>2277.0521729064726</v>
      </c>
      <c r="I147" s="32">
        <f t="shared" si="25"/>
        <v>2361.7578881248328</v>
      </c>
      <c r="J147" s="32">
        <f t="shared" si="25"/>
        <v>2433.0216933029615</v>
      </c>
      <c r="K147" s="95"/>
      <c r="L147" s="50"/>
      <c r="M147" s="15"/>
    </row>
    <row r="148" spans="1:13">
      <c r="A148" s="50"/>
      <c r="B148" s="50"/>
      <c r="C148" s="50" t="s">
        <v>178</v>
      </c>
      <c r="D148" s="50"/>
      <c r="E148" s="128"/>
      <c r="F148" s="165">
        <f>F143+F107+F144-F145-F56-F146</f>
        <v>0</v>
      </c>
      <c r="G148" s="165">
        <f>G143+G107+G144-G145-G56-G146</f>
        <v>0</v>
      </c>
      <c r="H148" s="165">
        <f>H143+H107+H144-H145-H56-H146</f>
        <v>0</v>
      </c>
      <c r="I148" s="165">
        <f>I143+I107+I144-I145-I56-I146</f>
        <v>0</v>
      </c>
      <c r="J148" s="165">
        <f>J143+J107+J144-J145-J56-J146</f>
        <v>0</v>
      </c>
      <c r="K148" s="95"/>
      <c r="L148" s="50"/>
      <c r="M148" s="15"/>
    </row>
    <row r="149" spans="1:13">
      <c r="A149" s="50"/>
      <c r="B149" s="50"/>
      <c r="C149" s="50"/>
      <c r="D149" s="50"/>
      <c r="E149" s="50"/>
      <c r="F149" s="32"/>
      <c r="G149" s="32"/>
      <c r="H149" s="50"/>
      <c r="I149" s="50"/>
      <c r="J149" s="50"/>
      <c r="K149" s="95"/>
      <c r="L149" s="50"/>
      <c r="M149" s="15"/>
    </row>
    <row r="150" spans="1:13" ht="15.75">
      <c r="A150" s="50"/>
      <c r="B150" s="50"/>
      <c r="C150" s="162" t="s">
        <v>90</v>
      </c>
      <c r="D150" s="50"/>
      <c r="E150" s="50"/>
      <c r="F150" s="50"/>
      <c r="G150" s="50"/>
      <c r="H150" s="50"/>
      <c r="I150" s="50"/>
      <c r="J150" s="50"/>
      <c r="K150" s="95"/>
      <c r="L150" s="50"/>
      <c r="M150" s="15"/>
    </row>
    <row r="151" spans="1:13" ht="15.75">
      <c r="A151" s="50"/>
      <c r="B151" s="50"/>
      <c r="C151" s="158" t="s">
        <v>160</v>
      </c>
      <c r="D151" s="50"/>
      <c r="E151" s="129"/>
      <c r="F151" s="166">
        <f>F143/$E143</f>
        <v>1.0294954271015597</v>
      </c>
      <c r="G151" s="166">
        <f>G143/$E143</f>
        <v>1.1374655783980721</v>
      </c>
      <c r="H151" s="166">
        <f>H143/$E143</f>
        <v>1.1819811788354555</v>
      </c>
      <c r="I151" s="166">
        <f>I143/$E143</f>
        <v>1.2415812643018116</v>
      </c>
      <c r="J151" s="166">
        <f>J143/$E143</f>
        <v>1.2833013616454196</v>
      </c>
      <c r="K151" s="95"/>
      <c r="L151" s="50"/>
      <c r="M151" s="15"/>
    </row>
    <row r="152" spans="1:13">
      <c r="A152" s="50"/>
      <c r="B152" s="50"/>
      <c r="C152" s="50" t="s">
        <v>90</v>
      </c>
      <c r="D152" s="50"/>
      <c r="E152" s="129">
        <f>IF(E20&gt;0,E20,0)</f>
        <v>0</v>
      </c>
      <c r="F152" s="32">
        <f>$E152*F151</f>
        <v>0</v>
      </c>
      <c r="G152" s="32">
        <f>$E152*G151</f>
        <v>0</v>
      </c>
      <c r="H152" s="32">
        <f>$E152*H151</f>
        <v>0</v>
      </c>
      <c r="I152" s="32">
        <f>$E152*I151</f>
        <v>0</v>
      </c>
      <c r="J152" s="32">
        <f>$E152*J151</f>
        <v>0</v>
      </c>
      <c r="K152" s="95"/>
      <c r="L152" s="50"/>
      <c r="M152" s="15"/>
    </row>
    <row r="153" spans="1:13">
      <c r="A153" s="50"/>
      <c r="B153" s="50"/>
      <c r="C153" s="50"/>
      <c r="D153" s="50"/>
      <c r="E153" s="50"/>
      <c r="F153" s="50"/>
      <c r="G153" s="50"/>
      <c r="H153" s="50"/>
      <c r="I153" s="50"/>
      <c r="J153" s="50"/>
      <c r="K153" s="95"/>
      <c r="L153" s="50"/>
      <c r="M153" s="15"/>
    </row>
    <row r="154" spans="1:13" ht="15.75">
      <c r="A154" s="50"/>
      <c r="B154" s="50"/>
      <c r="C154" s="162" t="s">
        <v>46</v>
      </c>
      <c r="D154" s="50"/>
      <c r="E154" s="50"/>
      <c r="F154" s="50"/>
      <c r="G154" s="50"/>
      <c r="H154" s="50"/>
      <c r="I154" s="50"/>
      <c r="J154" s="50"/>
      <c r="K154" s="95"/>
      <c r="L154" s="27"/>
      <c r="M154" s="15"/>
    </row>
    <row r="155" spans="1:13">
      <c r="A155" s="50"/>
      <c r="B155" s="50"/>
      <c r="C155" s="50" t="s">
        <v>157</v>
      </c>
      <c r="D155" s="49">
        <f>E17/E18</f>
        <v>9.6345295841498396E-2</v>
      </c>
      <c r="E155" s="50"/>
      <c r="F155" s="50"/>
      <c r="G155" s="50"/>
      <c r="H155" s="50"/>
      <c r="I155" s="50"/>
      <c r="J155" s="50"/>
      <c r="K155" s="95"/>
      <c r="L155" s="125"/>
      <c r="M155" s="15"/>
    </row>
    <row r="156" spans="1:13">
      <c r="A156" s="50"/>
      <c r="B156" s="50"/>
      <c r="C156" s="50" t="s">
        <v>167</v>
      </c>
      <c r="D156" s="50"/>
      <c r="E156" s="129">
        <f>E18</f>
        <v>16845.659</v>
      </c>
      <c r="F156" s="32">
        <f>E159</f>
        <v>17771.892</v>
      </c>
      <c r="G156" s="32">
        <f>F159</f>
        <v>21929.822368473913</v>
      </c>
      <c r="H156" s="32">
        <f>G159</f>
        <v>22829.933364545977</v>
      </c>
      <c r="I156" s="32">
        <f>H159</f>
        <v>24442.133865323314</v>
      </c>
      <c r="J156" s="32">
        <f>I159</f>
        <v>25294.120480087011</v>
      </c>
      <c r="K156" s="95"/>
      <c r="L156" s="125"/>
      <c r="M156" s="15"/>
    </row>
    <row r="157" spans="1:13">
      <c r="A157" s="50"/>
      <c r="B157" s="50"/>
      <c r="C157" s="50" t="s">
        <v>34</v>
      </c>
      <c r="D157" s="50"/>
      <c r="E157" s="129">
        <f>E17</f>
        <v>1623</v>
      </c>
      <c r="F157" s="32">
        <f>F156*$D155</f>
        <v>1712.2381924031586</v>
      </c>
      <c r="G157" s="32">
        <f>G156*$D155</f>
        <v>2112.835223842128</v>
      </c>
      <c r="H157" s="32">
        <f>H156*$D155</f>
        <v>2199.5566840488768</v>
      </c>
      <c r="I157" s="32">
        <f>I156*$D155</f>
        <v>2354.8846182520815</v>
      </c>
      <c r="J157" s="32">
        <f>J156*$D155</f>
        <v>2436.9695207044865</v>
      </c>
      <c r="K157" s="95"/>
      <c r="L157" s="50"/>
      <c r="M157" s="15"/>
    </row>
    <row r="158" spans="1:13">
      <c r="A158" s="50"/>
      <c r="B158" s="50"/>
      <c r="C158" s="50" t="s">
        <v>98</v>
      </c>
      <c r="D158" s="50"/>
      <c r="E158" s="32">
        <f t="shared" ref="E158:J158" si="26">E29</f>
        <v>2549.2330000000002</v>
      </c>
      <c r="F158" s="32">
        <f t="shared" si="26"/>
        <v>5870.1685608770731</v>
      </c>
      <c r="G158" s="32">
        <f t="shared" si="26"/>
        <v>3012.9462199141931</v>
      </c>
      <c r="H158" s="32">
        <f t="shared" si="26"/>
        <v>3811.7571848262128</v>
      </c>
      <c r="I158" s="32">
        <f t="shared" si="26"/>
        <v>3206.8712330157809</v>
      </c>
      <c r="J158" s="32">
        <f t="shared" si="26"/>
        <v>3451.3129347213116</v>
      </c>
      <c r="K158" s="95"/>
      <c r="L158" s="125"/>
      <c r="M158" s="15"/>
    </row>
    <row r="159" spans="1:13">
      <c r="A159" s="50"/>
      <c r="B159" s="50"/>
      <c r="C159" s="50" t="s">
        <v>127</v>
      </c>
      <c r="D159" s="50"/>
      <c r="E159" s="32">
        <f t="shared" ref="E159:J159" si="27">E156-E157+E158</f>
        <v>17771.892</v>
      </c>
      <c r="F159" s="32">
        <f t="shared" si="27"/>
        <v>21929.822368473913</v>
      </c>
      <c r="G159" s="32">
        <f t="shared" si="27"/>
        <v>22829.933364545977</v>
      </c>
      <c r="H159" s="32">
        <f t="shared" si="27"/>
        <v>24442.133865323314</v>
      </c>
      <c r="I159" s="32">
        <f t="shared" si="27"/>
        <v>25294.120480087011</v>
      </c>
      <c r="J159" s="32">
        <f t="shared" si="27"/>
        <v>26308.463894103836</v>
      </c>
      <c r="K159" s="95"/>
      <c r="L159" s="125"/>
      <c r="M159" s="15"/>
    </row>
    <row r="160" spans="1:13">
      <c r="A160" s="50"/>
      <c r="B160" s="50"/>
      <c r="C160" s="50"/>
      <c r="D160" s="50"/>
      <c r="E160" s="50"/>
      <c r="F160" s="50"/>
      <c r="G160" s="50"/>
      <c r="H160" s="50"/>
      <c r="I160" s="50"/>
      <c r="J160" s="50"/>
      <c r="K160" s="95"/>
      <c r="L160" s="27"/>
      <c r="M160" s="15"/>
    </row>
    <row r="161" spans="1:13" ht="15.75">
      <c r="A161" s="50"/>
      <c r="B161" s="50"/>
      <c r="C161" s="162" t="s">
        <v>128</v>
      </c>
      <c r="D161" s="50"/>
      <c r="E161" s="50"/>
      <c r="F161" s="50"/>
      <c r="G161" s="50"/>
      <c r="H161" s="50"/>
      <c r="I161" s="50"/>
      <c r="J161" s="50"/>
      <c r="K161" s="95"/>
      <c r="L161" s="27"/>
      <c r="M161" s="15"/>
    </row>
    <row r="162" spans="1:13">
      <c r="A162" s="50"/>
      <c r="B162" s="50"/>
      <c r="C162" s="50" t="s">
        <v>126</v>
      </c>
      <c r="D162" s="50"/>
      <c r="E162" s="32">
        <f t="shared" ref="E162:J162" si="28">E147-E157</f>
        <v>400</v>
      </c>
      <c r="F162" s="32">
        <f t="shared" si="28"/>
        <v>367.41142981906364</v>
      </c>
      <c r="G162" s="32">
        <f t="shared" si="28"/>
        <v>97.262588621807026</v>
      </c>
      <c r="H162" s="32">
        <f t="shared" si="28"/>
        <v>77.495488857595774</v>
      </c>
      <c r="I162" s="32">
        <f t="shared" si="28"/>
        <v>6.8732698727512798</v>
      </c>
      <c r="J162" s="32">
        <f t="shared" si="28"/>
        <v>-3.9478274015250463</v>
      </c>
      <c r="K162" s="95"/>
      <c r="L162" s="50"/>
      <c r="M162" s="15"/>
    </row>
    <row r="163" spans="1:13">
      <c r="A163" s="50"/>
      <c r="B163" s="50"/>
      <c r="C163" s="50"/>
      <c r="D163" s="50"/>
      <c r="E163" s="50"/>
      <c r="F163" s="50"/>
      <c r="G163" s="50"/>
      <c r="H163" s="50"/>
      <c r="I163" s="50"/>
      <c r="J163" s="50"/>
      <c r="K163" s="95"/>
      <c r="L163" s="50"/>
      <c r="M163" s="15"/>
    </row>
    <row r="164" spans="1:13" ht="15.75">
      <c r="A164" s="50"/>
      <c r="B164" s="50"/>
      <c r="C164" s="162" t="s">
        <v>47</v>
      </c>
      <c r="D164" s="50"/>
      <c r="E164" s="50"/>
      <c r="F164" s="50"/>
      <c r="G164" s="50"/>
      <c r="H164" s="50"/>
      <c r="I164" s="50"/>
      <c r="J164" s="50"/>
      <c r="K164" s="95"/>
      <c r="L164" s="50"/>
      <c r="M164" s="15"/>
    </row>
    <row r="165" spans="1:13">
      <c r="A165" s="50"/>
      <c r="B165" s="50"/>
      <c r="C165" s="50" t="s">
        <v>151</v>
      </c>
      <c r="D165" s="50"/>
      <c r="E165" s="193">
        <v>0</v>
      </c>
      <c r="F165" s="31">
        <f>E168</f>
        <v>-170.87019128058287</v>
      </c>
      <c r="G165" s="31">
        <f>F168</f>
        <v>-351.51695361544665</v>
      </c>
      <c r="H165" s="31">
        <f>G168</f>
        <v>-595.76227399655136</v>
      </c>
      <c r="I165" s="31">
        <f>H168</f>
        <v>-845.54238231163527</v>
      </c>
      <c r="J165" s="31">
        <f>I168</f>
        <v>-1115.0967119424756</v>
      </c>
      <c r="K165" s="95"/>
      <c r="L165" s="50"/>
      <c r="M165" s="15"/>
    </row>
    <row r="166" spans="1:13">
      <c r="A166" s="50"/>
      <c r="B166" s="50"/>
      <c r="C166" s="50" t="s">
        <v>126</v>
      </c>
      <c r="D166" s="50"/>
      <c r="E166" s="32">
        <f t="shared" ref="E166:J166" si="29">E162</f>
        <v>400</v>
      </c>
      <c r="F166" s="32">
        <f t="shared" si="29"/>
        <v>367.41142981906364</v>
      </c>
      <c r="G166" s="32">
        <f t="shared" si="29"/>
        <v>97.262588621807026</v>
      </c>
      <c r="H166" s="32">
        <f t="shared" si="29"/>
        <v>77.495488857595774</v>
      </c>
      <c r="I166" s="32">
        <f t="shared" si="29"/>
        <v>6.8732698727512798</v>
      </c>
      <c r="J166" s="32">
        <f t="shared" si="29"/>
        <v>-3.9478274015250463</v>
      </c>
      <c r="K166" s="95"/>
      <c r="L166" s="50"/>
      <c r="M166" s="15"/>
    </row>
    <row r="167" spans="1:13">
      <c r="A167" s="50"/>
      <c r="B167" s="50"/>
      <c r="C167" s="50" t="s">
        <v>48</v>
      </c>
      <c r="D167" s="50"/>
      <c r="E167" s="129">
        <f>(E11-E18)/E19</f>
        <v>969.56730426860963</v>
      </c>
      <c r="F167" s="32">
        <f>E167</f>
        <v>969.56730426860963</v>
      </c>
      <c r="G167" s="32">
        <f>F167</f>
        <v>969.56730426860963</v>
      </c>
      <c r="H167" s="32">
        <f>G167</f>
        <v>969.56730426860963</v>
      </c>
      <c r="I167" s="32">
        <f>H167</f>
        <v>969.56730426860963</v>
      </c>
      <c r="J167" s="32">
        <f>I167</f>
        <v>969.56730426860963</v>
      </c>
      <c r="K167" s="95"/>
      <c r="L167" s="50"/>
      <c r="M167" s="15"/>
    </row>
    <row r="168" spans="1:13">
      <c r="A168" s="50"/>
      <c r="B168" s="50"/>
      <c r="C168" s="50" t="s">
        <v>152</v>
      </c>
      <c r="D168" s="50"/>
      <c r="E168" s="31">
        <f t="shared" ref="E168:J168" si="30">E165+(E166-E167)*E53</f>
        <v>-170.87019128058287</v>
      </c>
      <c r="F168" s="31">
        <f t="shared" si="30"/>
        <v>-351.51695361544665</v>
      </c>
      <c r="G168" s="31">
        <f t="shared" si="30"/>
        <v>-595.76227399655136</v>
      </c>
      <c r="H168" s="31">
        <f t="shared" si="30"/>
        <v>-845.54238231163527</v>
      </c>
      <c r="I168" s="31">
        <f t="shared" si="30"/>
        <v>-1115.0967119424756</v>
      </c>
      <c r="J168" s="31">
        <f t="shared" si="30"/>
        <v>-1387.6809488101135</v>
      </c>
      <c r="K168" s="95"/>
      <c r="L168" s="50"/>
      <c r="M168" s="15"/>
    </row>
    <row r="169" spans="1:13">
      <c r="A169" s="50"/>
      <c r="B169" s="50"/>
      <c r="C169" s="50"/>
      <c r="D169" s="50"/>
      <c r="E169" s="31"/>
      <c r="F169" s="31"/>
      <c r="G169" s="31"/>
      <c r="H169" s="31"/>
      <c r="I169" s="31"/>
      <c r="J169" s="31"/>
      <c r="K169" s="95"/>
      <c r="L169" s="27"/>
      <c r="M169" s="15"/>
    </row>
    <row r="170" spans="1:13" ht="15.75">
      <c r="A170" s="50"/>
      <c r="B170" s="50"/>
      <c r="C170" s="162" t="s">
        <v>196</v>
      </c>
      <c r="D170" s="50"/>
      <c r="E170" s="50"/>
      <c r="F170" s="50"/>
      <c r="G170" s="50"/>
      <c r="H170" s="50"/>
      <c r="I170" s="50"/>
      <c r="J170" s="50"/>
      <c r="K170" s="95"/>
      <c r="L170" s="27"/>
      <c r="M170" s="15"/>
    </row>
    <row r="171" spans="1:13">
      <c r="A171" s="50"/>
      <c r="B171" s="50"/>
      <c r="C171" s="50" t="s">
        <v>106</v>
      </c>
      <c r="D171" s="50"/>
      <c r="E171" s="32">
        <f t="shared" ref="E171:J171" si="31">E143+E165</f>
        <v>42857</v>
      </c>
      <c r="F171" s="32">
        <f t="shared" si="31"/>
        <v>43950.215328010956</v>
      </c>
      <c r="G171" s="32">
        <f t="shared" si="31"/>
        <v>48396.845339790721</v>
      </c>
      <c r="H171" s="32">
        <f t="shared" si="31"/>
        <v>50060.405107354563</v>
      </c>
      <c r="I171" s="32">
        <f t="shared" si="31"/>
        <v>52364.905861871106</v>
      </c>
      <c r="J171" s="32">
        <f t="shared" si="31"/>
        <v>53883.349744095278</v>
      </c>
      <c r="K171" s="95"/>
      <c r="L171" s="50"/>
      <c r="M171" s="15"/>
    </row>
    <row r="172" spans="1:13">
      <c r="A172" s="50"/>
      <c r="B172" s="50"/>
      <c r="C172" s="50" t="s">
        <v>98</v>
      </c>
      <c r="D172" s="50"/>
      <c r="E172" s="32">
        <f t="shared" ref="E172:J172" si="32">E29</f>
        <v>2549.2330000000002</v>
      </c>
      <c r="F172" s="32">
        <f t="shared" si="32"/>
        <v>5870.1685608770731</v>
      </c>
      <c r="G172" s="32">
        <f t="shared" si="32"/>
        <v>3012.9462199141931</v>
      </c>
      <c r="H172" s="32">
        <f t="shared" si="32"/>
        <v>3811.7571848262128</v>
      </c>
      <c r="I172" s="32">
        <f t="shared" si="32"/>
        <v>3206.8712330157809</v>
      </c>
      <c r="J172" s="32">
        <f t="shared" si="32"/>
        <v>3451.3129347213116</v>
      </c>
      <c r="K172" s="95"/>
      <c r="L172" s="50"/>
      <c r="M172" s="15"/>
    </row>
    <row r="173" spans="1:13">
      <c r="A173" s="50"/>
      <c r="B173" s="50"/>
      <c r="C173" s="50" t="s">
        <v>111</v>
      </c>
      <c r="D173" s="50"/>
      <c r="E173" s="96">
        <f t="shared" ref="E173:J173" si="33">E152</f>
        <v>0</v>
      </c>
      <c r="F173" s="96">
        <f t="shared" si="33"/>
        <v>0</v>
      </c>
      <c r="G173" s="96">
        <f t="shared" si="33"/>
        <v>0</v>
      </c>
      <c r="H173" s="96">
        <f t="shared" si="33"/>
        <v>0</v>
      </c>
      <c r="I173" s="96">
        <f t="shared" si="33"/>
        <v>0</v>
      </c>
      <c r="J173" s="96">
        <f t="shared" si="33"/>
        <v>0</v>
      </c>
      <c r="K173" s="95"/>
      <c r="L173" s="50"/>
      <c r="M173" s="15"/>
    </row>
    <row r="174" spans="1:13">
      <c r="A174" s="50"/>
      <c r="B174" s="50"/>
      <c r="C174" s="50" t="s">
        <v>44</v>
      </c>
      <c r="D174" s="50"/>
      <c r="E174" s="96">
        <f t="shared" ref="E174:J174" si="34">E144</f>
        <v>737.85251929153787</v>
      </c>
      <c r="F174" s="96">
        <f t="shared" si="34"/>
        <v>873.31256060369901</v>
      </c>
      <c r="G174" s="96">
        <f t="shared" si="34"/>
        <v>1185.547567501352</v>
      </c>
      <c r="H174" s="96">
        <f t="shared" si="34"/>
        <v>1158.7867709990674</v>
      </c>
      <c r="I174" s="96">
        <f t="shared" si="34"/>
        <v>1140.3706467239074</v>
      </c>
      <c r="J174" s="96">
        <f t="shared" si="34"/>
        <v>1099.2377594048637</v>
      </c>
      <c r="K174" s="95"/>
      <c r="L174" s="50"/>
      <c r="M174" s="15"/>
    </row>
    <row r="175" spans="1:13">
      <c r="A175" s="50"/>
      <c r="B175" s="50"/>
      <c r="C175" s="50" t="s">
        <v>196</v>
      </c>
      <c r="D175" s="50"/>
      <c r="E175" s="32">
        <f t="shared" ref="E175:J175" si="35">E171*WACC+E172*($D$48-1)+E173-E174</f>
        <v>3129.8351560209176</v>
      </c>
      <c r="F175" s="32">
        <f t="shared" si="35"/>
        <v>3232.414283516353</v>
      </c>
      <c r="G175" s="32">
        <f t="shared" si="35"/>
        <v>3187.8353995584202</v>
      </c>
      <c r="H175" s="32">
        <f t="shared" si="35"/>
        <v>3394.6862663215175</v>
      </c>
      <c r="I175" s="32">
        <f t="shared" si="35"/>
        <v>3589.3128620577891</v>
      </c>
      <c r="J175" s="32">
        <f t="shared" si="35"/>
        <v>3774.0774541481424</v>
      </c>
      <c r="K175" s="95"/>
      <c r="L175" s="50"/>
      <c r="M175" s="15"/>
    </row>
    <row r="176" spans="1:13">
      <c r="A176" s="50"/>
      <c r="B176" s="50"/>
      <c r="C176" s="50"/>
      <c r="D176" s="50"/>
      <c r="E176" s="31"/>
      <c r="F176" s="31"/>
      <c r="G176" s="31"/>
      <c r="H176" s="31"/>
      <c r="I176" s="31"/>
      <c r="J176" s="31"/>
      <c r="K176" s="95"/>
      <c r="L176" s="27"/>
      <c r="M176" s="15"/>
    </row>
    <row r="177" spans="1:13" ht="15.75">
      <c r="A177" s="50"/>
      <c r="B177" s="50"/>
      <c r="C177" s="162" t="s">
        <v>49</v>
      </c>
      <c r="D177" s="50"/>
      <c r="E177" s="50"/>
      <c r="F177" s="50"/>
      <c r="G177" s="50"/>
      <c r="H177" s="50"/>
      <c r="I177" s="50"/>
      <c r="J177" s="50"/>
      <c r="K177" s="95"/>
      <c r="L177" s="27"/>
      <c r="M177" s="15"/>
    </row>
    <row r="178" spans="1:13">
      <c r="A178" s="50"/>
      <c r="B178" s="50"/>
      <c r="C178" s="50" t="s">
        <v>50</v>
      </c>
      <c r="D178" s="50"/>
      <c r="E178" s="31">
        <f t="shared" ref="E178:J178" si="36">E171*Leverage*Debt+E152</f>
        <v>1495.366444</v>
      </c>
      <c r="F178" s="31">
        <f t="shared" si="36"/>
        <v>1533.5109132249584</v>
      </c>
      <c r="G178" s="31">
        <f t="shared" si="36"/>
        <v>1688.6627275959779</v>
      </c>
      <c r="H178" s="31">
        <f t="shared" si="36"/>
        <v>1746.7076550058152</v>
      </c>
      <c r="I178" s="31">
        <f t="shared" si="36"/>
        <v>1827.1162953324065</v>
      </c>
      <c r="J178" s="31">
        <f t="shared" si="36"/>
        <v>1880.0978392709721</v>
      </c>
      <c r="K178" s="95"/>
      <c r="L178" s="50"/>
      <c r="M178" s="15"/>
    </row>
    <row r="179" spans="1:13">
      <c r="A179" s="50"/>
      <c r="B179" s="50"/>
      <c r="C179" s="50" t="s">
        <v>51</v>
      </c>
      <c r="D179" s="50"/>
      <c r="E179" s="31">
        <f t="shared" ref="E179:J179" si="37">E145-E147</f>
        <v>0</v>
      </c>
      <c r="F179" s="31">
        <f t="shared" si="37"/>
        <v>36.554725143918859</v>
      </c>
      <c r="G179" s="31">
        <f t="shared" si="37"/>
        <v>80.590887006667344</v>
      </c>
      <c r="H179" s="31">
        <f t="shared" si="37"/>
        <v>139.21092008717005</v>
      </c>
      <c r="I179" s="31">
        <f t="shared" si="37"/>
        <v>197.48577975985063</v>
      </c>
      <c r="J179" s="31">
        <f t="shared" si="37"/>
        <v>255.42624959691602</v>
      </c>
      <c r="K179" s="95"/>
      <c r="L179" s="50"/>
      <c r="M179" s="15"/>
    </row>
    <row r="180" spans="1:13">
      <c r="A180" s="50"/>
      <c r="B180" s="50"/>
      <c r="C180" s="50" t="s">
        <v>52</v>
      </c>
      <c r="D180" s="50"/>
      <c r="E180" s="31">
        <f t="shared" ref="E180:J180" si="38">E167+E179-E178</f>
        <v>-525.79913973139037</v>
      </c>
      <c r="F180" s="31">
        <f t="shared" si="38"/>
        <v>-527.38888381242987</v>
      </c>
      <c r="G180" s="31">
        <f t="shared" si="38"/>
        <v>-638.50453632070094</v>
      </c>
      <c r="H180" s="31">
        <f t="shared" si="38"/>
        <v>-637.92943065003556</v>
      </c>
      <c r="I180" s="31">
        <f t="shared" si="38"/>
        <v>-660.06321130394622</v>
      </c>
      <c r="J180" s="31">
        <f t="shared" si="38"/>
        <v>-655.10428540544649</v>
      </c>
      <c r="K180" s="95"/>
      <c r="L180" s="50"/>
      <c r="M180" s="15"/>
    </row>
    <row r="181" spans="1:13">
      <c r="A181" s="50"/>
      <c r="B181" s="50"/>
      <c r="C181" s="50"/>
      <c r="D181" s="50"/>
      <c r="E181" s="50"/>
      <c r="F181" s="167"/>
      <c r="G181" s="32"/>
      <c r="H181" s="32"/>
      <c r="I181" s="32"/>
      <c r="J181" s="32"/>
      <c r="K181" s="95"/>
      <c r="L181" s="50"/>
      <c r="M181" s="15"/>
    </row>
    <row r="182" spans="1:13" ht="15.75">
      <c r="A182" s="50"/>
      <c r="B182" s="50"/>
      <c r="C182" s="162" t="s">
        <v>107</v>
      </c>
      <c r="D182" s="50"/>
      <c r="E182" s="50"/>
      <c r="F182" s="167"/>
      <c r="G182" s="32"/>
      <c r="H182" s="32"/>
      <c r="I182" s="32"/>
      <c r="J182" s="32"/>
      <c r="K182" s="95"/>
      <c r="L182" s="27"/>
      <c r="M182" s="15"/>
    </row>
    <row r="183" spans="1:13">
      <c r="A183" s="50"/>
      <c r="B183" s="50"/>
      <c r="C183" s="50" t="s">
        <v>153</v>
      </c>
      <c r="D183" s="50"/>
      <c r="E183" s="32">
        <f t="shared" ref="E183:J183" si="39">E145</f>
        <v>2023</v>
      </c>
      <c r="F183" s="32">
        <f t="shared" si="39"/>
        <v>2116.2043473661411</v>
      </c>
      <c r="G183" s="32">
        <f t="shared" si="39"/>
        <v>2290.6886994706024</v>
      </c>
      <c r="H183" s="32">
        <f t="shared" si="39"/>
        <v>2416.2630929936427</v>
      </c>
      <c r="I183" s="32">
        <f t="shared" si="39"/>
        <v>2559.2436678846834</v>
      </c>
      <c r="J183" s="32">
        <f t="shared" si="39"/>
        <v>2688.4479428998775</v>
      </c>
      <c r="K183" s="95"/>
      <c r="L183" s="50"/>
      <c r="M183" s="15"/>
    </row>
    <row r="184" spans="1:13">
      <c r="A184" s="50"/>
      <c r="B184" s="50"/>
      <c r="C184" s="50" t="s">
        <v>107</v>
      </c>
      <c r="D184" s="50"/>
      <c r="E184" s="96">
        <f t="shared" ref="E184:J184" si="40">E183</f>
        <v>2023</v>
      </c>
      <c r="F184" s="96">
        <f t="shared" si="40"/>
        <v>2116.2043473661411</v>
      </c>
      <c r="G184" s="96">
        <f t="shared" si="40"/>
        <v>2290.6886994706024</v>
      </c>
      <c r="H184" s="96">
        <f t="shared" si="40"/>
        <v>2416.2630929936427</v>
      </c>
      <c r="I184" s="96">
        <f t="shared" si="40"/>
        <v>2559.2436678846834</v>
      </c>
      <c r="J184" s="96">
        <f t="shared" si="40"/>
        <v>2688.4479428998775</v>
      </c>
      <c r="K184" s="95"/>
      <c r="L184" s="50"/>
      <c r="M184" s="15"/>
    </row>
    <row r="185" spans="1:13">
      <c r="A185" s="50"/>
      <c r="B185" s="50"/>
      <c r="C185" s="50"/>
      <c r="D185" s="50"/>
      <c r="E185" s="50"/>
      <c r="F185" s="96"/>
      <c r="G185" s="96"/>
      <c r="H185" s="96"/>
      <c r="I185" s="96"/>
      <c r="J185" s="96"/>
      <c r="K185" s="95"/>
      <c r="L185" s="50"/>
      <c r="M185" s="15"/>
    </row>
    <row r="186" spans="1:13" ht="15.75">
      <c r="A186" s="50"/>
      <c r="B186" s="50"/>
      <c r="C186" s="121" t="s">
        <v>122</v>
      </c>
      <c r="D186" s="50"/>
      <c r="E186" s="50"/>
      <c r="F186" s="96"/>
      <c r="G186" s="96"/>
      <c r="H186" s="96"/>
      <c r="I186" s="96"/>
      <c r="J186" s="96"/>
      <c r="K186" s="95"/>
      <c r="L186" s="27"/>
      <c r="M186" s="15"/>
    </row>
    <row r="187" spans="1:13">
      <c r="A187" s="50"/>
      <c r="B187" s="50"/>
      <c r="C187" s="50" t="s">
        <v>122</v>
      </c>
      <c r="D187" s="50"/>
      <c r="E187" s="32">
        <f t="shared" ref="E187:J187" si="41">E43</f>
        <v>23.558760919341299</v>
      </c>
      <c r="F187" s="32">
        <f t="shared" si="41"/>
        <v>24.611066557488723</v>
      </c>
      <c r="G187" s="32">
        <f t="shared" si="41"/>
        <v>24.997627812318392</v>
      </c>
      <c r="H187" s="32">
        <f t="shared" si="41"/>
        <v>25.448615942953001</v>
      </c>
      <c r="I187" s="32">
        <f t="shared" si="41"/>
        <v>25.899604073587614</v>
      </c>
      <c r="J187" s="32">
        <f t="shared" si="41"/>
        <v>26.500921581100425</v>
      </c>
      <c r="K187" s="95"/>
      <c r="L187" s="125"/>
      <c r="M187" s="15"/>
    </row>
    <row r="188" spans="1:13">
      <c r="A188" s="50"/>
      <c r="B188" s="50"/>
      <c r="C188" s="50"/>
      <c r="D188" s="50"/>
      <c r="E188" s="50"/>
      <c r="F188" s="96"/>
      <c r="G188" s="96"/>
      <c r="H188" s="96"/>
      <c r="I188" s="96"/>
      <c r="J188" s="96"/>
      <c r="K188" s="95"/>
      <c r="L188" s="27"/>
      <c r="M188" s="15"/>
    </row>
    <row r="189" spans="1:13" ht="15.75">
      <c r="A189" s="50"/>
      <c r="B189" s="50"/>
      <c r="C189" s="162" t="s">
        <v>179</v>
      </c>
      <c r="D189" s="50"/>
      <c r="E189" s="32">
        <f t="shared" ref="E189:J189" si="42">E28</f>
        <v>2559</v>
      </c>
      <c r="F189" s="32">
        <f t="shared" si="42"/>
        <v>2624.6857229443099</v>
      </c>
      <c r="G189" s="32">
        <f t="shared" si="42"/>
        <v>2703.4648677433279</v>
      </c>
      <c r="H189" s="32">
        <f t="shared" si="42"/>
        <v>2775.2350452102005</v>
      </c>
      <c r="I189" s="32">
        <f t="shared" si="42"/>
        <v>2845.4746533096431</v>
      </c>
      <c r="J189" s="32">
        <f t="shared" si="42"/>
        <v>2920.6397709002285</v>
      </c>
      <c r="K189" s="95"/>
      <c r="L189" s="125"/>
      <c r="M189" s="15"/>
    </row>
    <row r="190" spans="1:13">
      <c r="A190" s="50"/>
      <c r="B190" s="50"/>
      <c r="C190" s="50" t="s">
        <v>180</v>
      </c>
      <c r="D190" s="50"/>
      <c r="E190" s="32">
        <f t="shared" ref="E190:J190" si="43">E189*$D$46</f>
        <v>2668.546885680742</v>
      </c>
      <c r="F190" s="32">
        <f t="shared" si="43"/>
        <v>2737.0445142062308</v>
      </c>
      <c r="G190" s="32">
        <f t="shared" si="43"/>
        <v>2819.1960739991232</v>
      </c>
      <c r="H190" s="32">
        <f t="shared" si="43"/>
        <v>2894.0386232621076</v>
      </c>
      <c r="I190" s="32">
        <f t="shared" si="43"/>
        <v>2967.2850818182637</v>
      </c>
      <c r="J190" s="32">
        <f t="shared" si="43"/>
        <v>3045.6679034119265</v>
      </c>
      <c r="K190" s="95"/>
      <c r="L190" s="125"/>
      <c r="M190" s="15"/>
    </row>
    <row r="191" spans="1:13">
      <c r="A191" s="50"/>
      <c r="B191" s="50"/>
      <c r="C191" s="50"/>
      <c r="D191" s="50"/>
      <c r="E191" s="50"/>
      <c r="F191" s="96"/>
      <c r="G191" s="32"/>
      <c r="H191" s="32"/>
      <c r="I191" s="32"/>
      <c r="J191" s="32"/>
      <c r="K191" s="95"/>
      <c r="L191" s="27"/>
      <c r="M191" s="15"/>
    </row>
    <row r="192" spans="1:13" ht="15.75">
      <c r="A192" s="50"/>
      <c r="B192" s="50"/>
      <c r="C192" s="162" t="s">
        <v>229</v>
      </c>
      <c r="D192" s="50"/>
      <c r="E192" s="50"/>
      <c r="F192" s="50"/>
      <c r="G192" s="50"/>
      <c r="H192" s="50"/>
      <c r="I192" s="50"/>
      <c r="J192" s="50"/>
      <c r="K192" s="95"/>
      <c r="L192" s="125"/>
      <c r="M192" s="15"/>
    </row>
    <row r="193" spans="1:15">
      <c r="A193" s="50"/>
      <c r="B193" s="50"/>
      <c r="C193" s="50" t="s">
        <v>169</v>
      </c>
      <c r="D193" s="50"/>
      <c r="E193" s="31">
        <f t="shared" ref="E193:J193" si="44">E168-E165</f>
        <v>-170.87019128058287</v>
      </c>
      <c r="F193" s="31">
        <f t="shared" si="44"/>
        <v>-180.64676233486378</v>
      </c>
      <c r="G193" s="31">
        <f t="shared" si="44"/>
        <v>-244.2453203811047</v>
      </c>
      <c r="H193" s="31">
        <f t="shared" si="44"/>
        <v>-249.78010831508391</v>
      </c>
      <c r="I193" s="31">
        <f t="shared" si="44"/>
        <v>-269.55432963084036</v>
      </c>
      <c r="J193" s="31">
        <f t="shared" si="44"/>
        <v>-272.58423686763786</v>
      </c>
      <c r="K193" s="95"/>
      <c r="L193" s="125"/>
      <c r="M193" s="15"/>
    </row>
    <row r="194" spans="1:15">
      <c r="A194" s="50"/>
      <c r="B194" s="50"/>
      <c r="C194" s="50" t="s">
        <v>170</v>
      </c>
      <c r="D194" s="50"/>
      <c r="E194" s="50"/>
      <c r="F194" s="31">
        <f>(F175+F184+F190+((F187-F189-F145-F152+F180)*F53+F193)*$D47-F193-F187*$D49)/($D50-F53*$D47)</f>
        <v>8882.70986413844</v>
      </c>
      <c r="G194" s="31">
        <f>(G175+G184+G190+((G187-G189-G145-G152+G180)*G53+G193)*$D47-G193-G187*$D49)/($D50-G53*$D47)</f>
        <v>8918.7330782069021</v>
      </c>
      <c r="H194" s="31">
        <f>(H175+H184+H190+((H187-H189-H145-H152+H180)*H53+H193)*$D47-H193-H187*$D49)/($D50-H53*$D47)</f>
        <v>9388.9685597947955</v>
      </c>
      <c r="I194" s="31">
        <f>(I175+I184+I190+((I187-I189-I145-I152+I180)*I53+I193)*$D47-I193-I187*$D49)/($D50-I53*$D47)</f>
        <v>9848.0420241470292</v>
      </c>
      <c r="J194" s="31">
        <f>(J175+J184+J190+((J187-J189-J145-J152+J180)*J53+J193)*$D47-J193-J187*$D49)/($D50-J53*$D47)</f>
        <v>10297.147640554052</v>
      </c>
      <c r="K194" s="95"/>
      <c r="L194" s="125"/>
      <c r="M194" s="15"/>
    </row>
    <row r="195" spans="1:15">
      <c r="A195" s="50"/>
      <c r="B195" s="50"/>
      <c r="C195" s="50" t="s">
        <v>177</v>
      </c>
      <c r="D195" s="50"/>
      <c r="E195" s="50"/>
      <c r="F195" s="31">
        <f>(F194+F187-F189-F183-F152+F180)*F53</f>
        <v>1091.7125929719141</v>
      </c>
      <c r="G195" s="31">
        <f>(G194+G187-G189-G183-G152+G180)*G53</f>
        <v>927.10032869568488</v>
      </c>
      <c r="H195" s="31">
        <f>(H194+H187-H189-H183-H152+H180)*H53</f>
        <v>1003.7970899274837</v>
      </c>
      <c r="I195" s="31">
        <f>(I194+I187-I189-I183-I152+I180)*I53</f>
        <v>1066.5648268022562</v>
      </c>
      <c r="J195" s="31">
        <f>(J194+J187-J189-J183-J152+J180)*J53</f>
        <v>1136.6478376202881</v>
      </c>
      <c r="K195" s="95"/>
      <c r="L195" s="125"/>
      <c r="M195" s="15"/>
    </row>
    <row r="196" spans="1:15">
      <c r="A196" s="50"/>
      <c r="B196" s="50"/>
      <c r="C196" s="50" t="s">
        <v>162</v>
      </c>
      <c r="D196" s="50"/>
      <c r="E196" s="50"/>
      <c r="F196" s="31">
        <f>IF(F195&lt;0,#N/A,F195)</f>
        <v>1091.7125929719141</v>
      </c>
      <c r="G196" s="31">
        <f>IF(G195&lt;0,#N/A,G195)</f>
        <v>927.10032869568488</v>
      </c>
      <c r="H196" s="31">
        <f>IF(H195&lt;0,#N/A,H195)</f>
        <v>1003.7970899274837</v>
      </c>
      <c r="I196" s="31">
        <f>IF(I195&lt;0,#N/A,I195)</f>
        <v>1066.5648268022562</v>
      </c>
      <c r="J196" s="31">
        <f>IF(J195&lt;0,#N/A,J195)</f>
        <v>1136.6478376202881</v>
      </c>
      <c r="K196" s="95"/>
      <c r="L196" s="50"/>
      <c r="M196" s="15"/>
    </row>
    <row r="197" spans="1:15">
      <c r="A197" s="50"/>
      <c r="B197" s="50"/>
      <c r="C197" s="50" t="s">
        <v>171</v>
      </c>
      <c r="D197" s="50"/>
      <c r="E197" s="50"/>
      <c r="F197" s="31">
        <f>F175+F184+F190+(F196+F193)*$D$47-F193-F187*$D$49</f>
        <v>9190.7124474710181</v>
      </c>
      <c r="G197" s="31">
        <f>G175+G184+G190+(G196+G193)*$D$47-G193-G187*$D$49</f>
        <v>9227.9847446641943</v>
      </c>
      <c r="H197" s="31">
        <f>H175+H184+H190+(H196+H193)*$D$47-H193-H187*$D$49</f>
        <v>9714.5253567042746</v>
      </c>
      <c r="I197" s="31">
        <f>I175+I184+I190+(I196+I193)*$D$47-I193-I187*$D$49</f>
        <v>10189.516915323074</v>
      </c>
      <c r="J197" s="31">
        <f>J175+J184+J190+(J196+J193)*$D$47-J193-J187*$D$49</f>
        <v>10654.194996907756</v>
      </c>
      <c r="K197" s="95"/>
      <c r="L197" s="27"/>
      <c r="M197" s="15"/>
    </row>
    <row r="198" spans="1:15">
      <c r="A198" s="50"/>
      <c r="B198" s="50"/>
      <c r="C198" s="50" t="s">
        <v>172</v>
      </c>
      <c r="D198" s="50"/>
      <c r="E198" s="50"/>
      <c r="F198" s="31">
        <f>F197/$D$50</f>
        <v>8882.70986413844</v>
      </c>
      <c r="G198" s="31">
        <f>G197/$D$50</f>
        <v>8918.7330782069021</v>
      </c>
      <c r="H198" s="31">
        <f>H197/$D$50</f>
        <v>9388.9685597947955</v>
      </c>
      <c r="I198" s="31">
        <f>I197/$D$50</f>
        <v>9848.0420241470274</v>
      </c>
      <c r="J198" s="31">
        <f>J197/$D$50</f>
        <v>10297.147640554052</v>
      </c>
      <c r="K198" s="95"/>
      <c r="L198" s="50"/>
      <c r="M198" s="15"/>
    </row>
    <row r="199" spans="1:15">
      <c r="A199" s="50"/>
      <c r="B199" s="50"/>
      <c r="C199" s="50" t="s">
        <v>173</v>
      </c>
      <c r="D199" s="50"/>
      <c r="E199" s="50"/>
      <c r="F199" s="31">
        <f>F194-F198</f>
        <v>0</v>
      </c>
      <c r="G199" s="31">
        <f>G194-G198</f>
        <v>0</v>
      </c>
      <c r="H199" s="31">
        <f>H194-H198</f>
        <v>0</v>
      </c>
      <c r="I199" s="31">
        <f>I194-I198</f>
        <v>0</v>
      </c>
      <c r="J199" s="31">
        <f>J194-J198</f>
        <v>0</v>
      </c>
      <c r="K199" s="95"/>
      <c r="L199" s="27"/>
      <c r="M199" s="15"/>
    </row>
    <row r="200" spans="1:15">
      <c r="A200" s="50"/>
      <c r="B200" s="50"/>
      <c r="C200" s="50"/>
      <c r="D200" s="50"/>
      <c r="E200" s="50"/>
      <c r="F200" s="50"/>
      <c r="G200" s="50"/>
      <c r="H200" s="50"/>
      <c r="I200" s="50"/>
      <c r="J200" s="50"/>
      <c r="K200" s="50"/>
      <c r="L200" s="50"/>
      <c r="M200" s="15"/>
    </row>
    <row r="201" spans="1:15" ht="15.75">
      <c r="A201" s="50"/>
      <c r="B201" s="50"/>
      <c r="C201" s="162" t="s">
        <v>174</v>
      </c>
      <c r="D201" s="50"/>
      <c r="E201" s="50"/>
      <c r="F201" s="31"/>
      <c r="G201" s="31"/>
      <c r="H201" s="31"/>
      <c r="I201" s="31"/>
      <c r="J201" s="50"/>
      <c r="K201" s="95"/>
      <c r="L201" s="27"/>
      <c r="M201" s="15"/>
    </row>
    <row r="202" spans="1:15">
      <c r="A202" s="50"/>
      <c r="B202" s="50"/>
      <c r="C202" s="95" t="s">
        <v>103</v>
      </c>
      <c r="D202" s="50"/>
      <c r="E202" s="50"/>
      <c r="F202" s="31"/>
      <c r="G202" s="31"/>
      <c r="H202" s="31"/>
      <c r="I202" s="31"/>
      <c r="J202" s="50"/>
      <c r="K202" s="95"/>
      <c r="L202" s="50"/>
      <c r="M202" s="15"/>
      <c r="O202" s="8"/>
    </row>
    <row r="203" spans="1:15">
      <c r="A203" s="50"/>
      <c r="B203" s="50"/>
      <c r="C203" s="50" t="s">
        <v>175</v>
      </c>
      <c r="D203" s="50"/>
      <c r="E203" s="50"/>
      <c r="F203" s="50"/>
      <c r="G203" s="50"/>
      <c r="H203" s="31">
        <v>1</v>
      </c>
      <c r="I203" s="31">
        <v>2</v>
      </c>
      <c r="J203" s="31">
        <v>3</v>
      </c>
      <c r="K203" s="95"/>
      <c r="L203" s="27"/>
      <c r="M203" s="15"/>
    </row>
    <row r="204" spans="1:15">
      <c r="A204" s="50"/>
      <c r="B204" s="50" t="s">
        <v>135</v>
      </c>
      <c r="C204" s="50" t="s">
        <v>136</v>
      </c>
      <c r="D204" s="50"/>
      <c r="E204" s="50"/>
      <c r="F204" s="31"/>
      <c r="G204" s="31"/>
      <c r="H204" s="31">
        <f>H197</f>
        <v>9714.5253567042746</v>
      </c>
      <c r="I204" s="31">
        <f>I197</f>
        <v>10189.516915323074</v>
      </c>
      <c r="J204" s="31">
        <f>J197</f>
        <v>10654.194996907756</v>
      </c>
      <c r="K204" s="95"/>
      <c r="L204" s="50"/>
      <c r="M204" s="15"/>
    </row>
    <row r="205" spans="1:15">
      <c r="A205" s="50"/>
      <c r="B205" s="50" t="s">
        <v>135</v>
      </c>
      <c r="C205" s="50" t="s">
        <v>137</v>
      </c>
      <c r="D205" s="50"/>
      <c r="E205" s="50"/>
      <c r="F205" s="31"/>
      <c r="G205" s="31"/>
      <c r="H205" s="31">
        <f>H204/(1+WACC)^H$203</f>
        <v>8931.254350192401</v>
      </c>
      <c r="I205" s="31">
        <f>I204/(1+WACC)^I$203</f>
        <v>8612.6210221047932</v>
      </c>
      <c r="J205" s="31">
        <f>J204/(1+WACC)^J$203</f>
        <v>8279.2930611902593</v>
      </c>
      <c r="K205" s="95"/>
      <c r="L205" s="50"/>
      <c r="M205" s="15"/>
    </row>
    <row r="206" spans="1:15">
      <c r="A206" s="50"/>
      <c r="B206" s="50" t="s">
        <v>135</v>
      </c>
      <c r="C206" s="50" t="s">
        <v>101</v>
      </c>
      <c r="D206" s="31">
        <f>SUM(H205:J205)</f>
        <v>25823.168433487455</v>
      </c>
      <c r="E206" s="50"/>
      <c r="F206" s="31"/>
      <c r="G206" s="31"/>
      <c r="H206" s="31"/>
      <c r="I206" s="31"/>
      <c r="J206" s="31"/>
      <c r="K206" s="95"/>
      <c r="L206" s="50"/>
      <c r="M206" s="15"/>
    </row>
    <row r="207" spans="1:15">
      <c r="A207" s="50"/>
      <c r="B207" s="50"/>
      <c r="C207" s="50"/>
      <c r="D207" s="50"/>
      <c r="E207" s="50"/>
      <c r="F207" s="123"/>
      <c r="G207" s="50"/>
      <c r="H207" s="50"/>
      <c r="I207" s="50"/>
      <c r="J207" s="50"/>
      <c r="K207" s="95"/>
      <c r="L207" s="50"/>
      <c r="M207" s="15"/>
    </row>
    <row r="208" spans="1:15" ht="21">
      <c r="A208" s="50"/>
      <c r="B208" s="50"/>
      <c r="C208" s="155" t="s">
        <v>104</v>
      </c>
      <c r="D208" s="50"/>
      <c r="E208" s="50"/>
      <c r="F208" s="123"/>
      <c r="G208" s="50"/>
      <c r="H208" s="50"/>
      <c r="I208" s="50"/>
      <c r="J208" s="50"/>
      <c r="K208" s="95"/>
      <c r="L208" s="50"/>
      <c r="M208" s="15"/>
    </row>
    <row r="209" spans="1:13" ht="15.75">
      <c r="A209" s="50"/>
      <c r="B209" s="50"/>
      <c r="C209" s="50"/>
      <c r="D209" s="50"/>
      <c r="E209" s="162" t="str">
        <f>Inputs!D$11</f>
        <v>2009/10</v>
      </c>
      <c r="F209" s="168" t="str">
        <f>Inputs!E$11</f>
        <v>2010/11</v>
      </c>
      <c r="G209" s="162" t="str">
        <f>Inputs!F$11</f>
        <v>2011/12</v>
      </c>
      <c r="H209" s="162" t="str">
        <f>Inputs!G$11</f>
        <v>2012/13</v>
      </c>
      <c r="I209" s="162" t="str">
        <f>Inputs!H$11</f>
        <v>2013/14</v>
      </c>
      <c r="J209" s="162" t="str">
        <f>Inputs!I$11</f>
        <v>2014/15</v>
      </c>
      <c r="K209" s="95"/>
      <c r="L209" s="50"/>
      <c r="M209" s="15"/>
    </row>
    <row r="210" spans="1:13">
      <c r="A210" s="50"/>
      <c r="B210" s="50"/>
      <c r="C210" s="50" t="s">
        <v>53</v>
      </c>
      <c r="D210" s="32">
        <f>D206</f>
        <v>25823.168433487455</v>
      </c>
      <c r="E210" s="50"/>
      <c r="F210" s="169"/>
      <c r="G210" s="32"/>
      <c r="H210" s="32"/>
      <c r="I210" s="32"/>
      <c r="J210" s="32"/>
      <c r="K210" s="95"/>
      <c r="L210" s="50"/>
      <c r="M210" s="15"/>
    </row>
    <row r="211" spans="1:13">
      <c r="A211" s="50"/>
      <c r="B211" s="50"/>
      <c r="C211" s="50" t="s">
        <v>143</v>
      </c>
      <c r="D211" s="50"/>
      <c r="E211" s="50"/>
      <c r="F211" s="113"/>
      <c r="G211" s="113"/>
      <c r="H211" s="170">
        <v>1</v>
      </c>
      <c r="I211" s="113">
        <f>H211*(1+I$35)*(1+I$30)*(1-X_industry_wide)</f>
        <v>1.0211491709979024</v>
      </c>
      <c r="J211" s="113">
        <f>I211*(1+J$35)*(1+J$30)*(1-X_industry_wide)</f>
        <v>1.0411206680117064</v>
      </c>
      <c r="K211" s="95"/>
      <c r="L211" s="50" t="s">
        <v>290</v>
      </c>
    </row>
    <row r="212" spans="1:13">
      <c r="A212" s="50"/>
      <c r="B212" s="50"/>
      <c r="C212" s="50" t="s">
        <v>102</v>
      </c>
      <c r="D212" s="50"/>
      <c r="E212" s="50"/>
      <c r="F212" s="171"/>
      <c r="G212" s="113"/>
      <c r="H212" s="113">
        <f>H211/(1+WACC)^H$203</f>
        <v>0.91937115013330895</v>
      </c>
      <c r="I212" s="113">
        <f>I211/(1+WACC)^I$203</f>
        <v>0.86311950703136575</v>
      </c>
      <c r="J212" s="113">
        <f>J211/(1+WACC)^J$203</f>
        <v>0.80904687074273174</v>
      </c>
      <c r="K212" s="95"/>
      <c r="L212" s="50" t="s">
        <v>165</v>
      </c>
    </row>
    <row r="213" spans="1:13">
      <c r="A213" s="50"/>
      <c r="B213" s="50"/>
      <c r="C213" s="50" t="s">
        <v>91</v>
      </c>
      <c r="D213" s="113">
        <f>SUM(H212:J212)</f>
        <v>2.5915375279074064</v>
      </c>
      <c r="E213" s="50"/>
      <c r="F213" s="171"/>
      <c r="G213" s="113"/>
      <c r="H213" s="113"/>
      <c r="I213" s="113"/>
      <c r="J213" s="113"/>
      <c r="K213" s="95"/>
      <c r="L213" s="50" t="s">
        <v>279</v>
      </c>
    </row>
    <row r="214" spans="1:13">
      <c r="A214" s="50"/>
      <c r="B214" s="50"/>
      <c r="C214" s="50" t="s">
        <v>142</v>
      </c>
      <c r="D214" s="32">
        <f>D210/D213</f>
        <v>9964.4200230196693</v>
      </c>
      <c r="E214" s="50"/>
      <c r="F214" s="171"/>
      <c r="G214" s="113"/>
      <c r="H214" s="31"/>
      <c r="I214" s="31"/>
      <c r="J214" s="31"/>
      <c r="K214" s="95"/>
      <c r="L214" s="31"/>
    </row>
    <row r="215" spans="1:13">
      <c r="A215" s="50"/>
      <c r="B215" s="50"/>
      <c r="C215" s="50" t="s">
        <v>138</v>
      </c>
      <c r="D215" s="32"/>
      <c r="E215" s="50"/>
      <c r="F215" s="171"/>
      <c r="G215" s="113"/>
      <c r="H215" s="31">
        <f>$D214*H211</f>
        <v>9964.4200230196693</v>
      </c>
      <c r="I215" s="31">
        <f>$D214*I211</f>
        <v>10175.159245981435</v>
      </c>
      <c r="J215" s="31">
        <f>$D214*J211</f>
        <v>10374.163630715462</v>
      </c>
      <c r="K215" s="95"/>
      <c r="L215" s="50" t="s">
        <v>131</v>
      </c>
    </row>
    <row r="216" spans="1:13">
      <c r="A216" s="50"/>
      <c r="B216" s="50"/>
      <c r="C216" s="50" t="s">
        <v>139</v>
      </c>
      <c r="D216" s="32"/>
      <c r="E216" s="50"/>
      <c r="F216" s="171"/>
      <c r="G216" s="113"/>
      <c r="H216" s="54">
        <f>H215/$D$50</f>
        <v>9630.4886628512395</v>
      </c>
      <c r="I216" s="54">
        <f>I215/$D$50</f>
        <v>9834.1655143752396</v>
      </c>
      <c r="J216" s="54">
        <f>J215/$D$50</f>
        <v>10026.500789946849</v>
      </c>
      <c r="K216" s="95"/>
      <c r="L216" s="50" t="s">
        <v>133</v>
      </c>
    </row>
    <row r="217" spans="1:13">
      <c r="A217" s="50"/>
      <c r="B217" s="50"/>
      <c r="C217" s="50" t="s">
        <v>140</v>
      </c>
      <c r="D217" s="50"/>
      <c r="E217" s="50"/>
      <c r="F217" s="171"/>
      <c r="G217" s="113"/>
      <c r="H217" s="31">
        <f>H215/(1+WACC)^H$203</f>
        <v>9161.0002969749657</v>
      </c>
      <c r="I217" s="31">
        <f>I215/(1+WACC)^I$203</f>
        <v>8600.4852981222084</v>
      </c>
      <c r="J217" s="31">
        <f>J215/(1+WACC)^J$203</f>
        <v>8061.682838390283</v>
      </c>
      <c r="K217" s="95"/>
      <c r="L217" s="50" t="s">
        <v>181</v>
      </c>
    </row>
    <row r="218" spans="1:13">
      <c r="A218" s="50"/>
      <c r="B218" s="50"/>
      <c r="C218" s="50" t="s">
        <v>141</v>
      </c>
      <c r="D218" s="32">
        <f>SUM(H217:J217)</f>
        <v>25823.168433487459</v>
      </c>
      <c r="E218" s="50"/>
      <c r="F218" s="171"/>
      <c r="G218" s="113"/>
      <c r="H218" s="31"/>
      <c r="I218" s="31"/>
      <c r="J218" s="31"/>
      <c r="K218" s="95"/>
      <c r="L218" s="50" t="s">
        <v>134</v>
      </c>
      <c r="M218" s="15"/>
    </row>
    <row r="219" spans="1:13">
      <c r="A219" s="50"/>
      <c r="B219" s="50"/>
      <c r="C219" s="50" t="s">
        <v>132</v>
      </c>
      <c r="D219" s="172">
        <f>D210-D218</f>
        <v>0</v>
      </c>
      <c r="E219" s="50"/>
      <c r="F219" s="171"/>
      <c r="G219" s="113"/>
      <c r="H219" s="31"/>
      <c r="I219" s="31"/>
      <c r="J219" s="31"/>
      <c r="K219" s="95"/>
      <c r="L219" s="50"/>
      <c r="M219" s="15"/>
    </row>
    <row r="220" spans="1:13">
      <c r="A220" s="50"/>
      <c r="B220" s="50"/>
      <c r="C220" s="50" t="s">
        <v>202</v>
      </c>
      <c r="D220" s="32">
        <f>SUM(I217:J217)</f>
        <v>16662.16813651249</v>
      </c>
      <c r="E220" s="50"/>
      <c r="F220" s="171"/>
      <c r="G220" s="113"/>
      <c r="H220" s="31"/>
      <c r="I220" s="31"/>
      <c r="J220" s="31"/>
      <c r="K220" s="95"/>
      <c r="L220" s="27"/>
      <c r="M220" s="15"/>
    </row>
    <row r="221" spans="1:13">
      <c r="A221" s="50"/>
      <c r="B221" s="50"/>
      <c r="C221" s="50"/>
      <c r="D221" s="31"/>
      <c r="E221" s="50"/>
      <c r="F221" s="123"/>
      <c r="G221" s="50"/>
      <c r="H221" s="50"/>
      <c r="I221" s="50"/>
      <c r="J221" s="50"/>
      <c r="K221" s="95"/>
      <c r="L221" s="50"/>
      <c r="M221" s="15"/>
    </row>
    <row r="222" spans="1:13" ht="21">
      <c r="A222" s="50"/>
      <c r="B222" s="50"/>
      <c r="C222" s="155" t="s">
        <v>113</v>
      </c>
      <c r="D222" s="155"/>
      <c r="E222" s="155"/>
      <c r="F222" s="155"/>
      <c r="G222" s="155"/>
      <c r="H222" s="50"/>
      <c r="I222" s="50"/>
      <c r="J222" s="50"/>
      <c r="K222" s="173"/>
      <c r="L222" s="174"/>
      <c r="M222" s="53"/>
    </row>
    <row r="223" spans="1:13" ht="15.75">
      <c r="A223" s="50"/>
      <c r="B223" s="50"/>
      <c r="C223" s="50"/>
      <c r="D223" s="50"/>
      <c r="E223" s="162" t="str">
        <f>Inputs!D$11</f>
        <v>2009/10</v>
      </c>
      <c r="F223" s="168" t="str">
        <f>Inputs!E$11</f>
        <v>2010/11</v>
      </c>
      <c r="G223" s="162" t="str">
        <f>Inputs!F$11</f>
        <v>2011/12</v>
      </c>
      <c r="H223" s="162" t="str">
        <f>Inputs!G$11</f>
        <v>2012/13</v>
      </c>
      <c r="I223" s="162" t="str">
        <f>Inputs!H$11</f>
        <v>2013/14</v>
      </c>
      <c r="J223" s="162" t="str">
        <f>Inputs!I$11</f>
        <v>2014/15</v>
      </c>
      <c r="K223" s="95"/>
      <c r="L223" s="50"/>
      <c r="M223" s="15"/>
    </row>
    <row r="224" spans="1:13" ht="15.75">
      <c r="A224" s="50"/>
      <c r="B224" s="50"/>
      <c r="C224" s="175" t="s">
        <v>318</v>
      </c>
      <c r="D224" s="50"/>
      <c r="E224" s="162"/>
      <c r="F224" s="95"/>
      <c r="G224" s="95"/>
      <c r="H224" s="95"/>
      <c r="I224" s="95"/>
      <c r="J224" s="95"/>
      <c r="K224" s="95"/>
      <c r="L224" s="50"/>
      <c r="M224" s="15"/>
    </row>
    <row r="225" spans="1:13" ht="15.75">
      <c r="A225" s="50"/>
      <c r="B225" s="50"/>
      <c r="C225" s="175" t="s">
        <v>204</v>
      </c>
      <c r="D225" s="50"/>
      <c r="E225" s="162"/>
      <c r="F225" s="95"/>
      <c r="G225" s="95"/>
      <c r="H225" s="95"/>
      <c r="I225" s="95"/>
      <c r="J225" s="95"/>
      <c r="K225" s="95"/>
      <c r="L225" s="50"/>
      <c r="M225" s="15"/>
    </row>
    <row r="226" spans="1:13">
      <c r="A226" s="50"/>
      <c r="B226" s="50" t="s">
        <v>150</v>
      </c>
      <c r="C226" s="50" t="s">
        <v>203</v>
      </c>
      <c r="D226" s="32">
        <f>D220</f>
        <v>16662.16813651249</v>
      </c>
      <c r="E226" s="50"/>
      <c r="F226" s="169"/>
      <c r="G226" s="32"/>
      <c r="H226" s="32"/>
      <c r="I226" s="32"/>
      <c r="J226" s="32"/>
      <c r="K226" s="95"/>
      <c r="L226" s="50"/>
      <c r="M226" s="15"/>
    </row>
    <row r="227" spans="1:13">
      <c r="A227" s="32"/>
      <c r="B227" s="50" t="s">
        <v>150</v>
      </c>
      <c r="C227" s="50" t="s">
        <v>319</v>
      </c>
      <c r="D227" s="49">
        <f>IF(E26="IWX",X_industry_wide,E26)</f>
        <v>-0.1</v>
      </c>
      <c r="E227" s="32"/>
      <c r="F227" s="49"/>
      <c r="G227" s="49"/>
      <c r="H227" s="49"/>
      <c r="I227" s="49"/>
      <c r="J227" s="49"/>
      <c r="K227" s="95"/>
      <c r="L227" s="50"/>
      <c r="M227" s="15"/>
    </row>
    <row r="228" spans="1:13">
      <c r="A228" s="50"/>
      <c r="B228" s="50" t="s">
        <v>150</v>
      </c>
      <c r="C228" s="50" t="s">
        <v>143</v>
      </c>
      <c r="D228" s="50"/>
      <c r="E228" s="50"/>
      <c r="F228" s="171"/>
      <c r="G228" s="113"/>
      <c r="H228" s="113"/>
      <c r="I228" s="113">
        <v>1</v>
      </c>
      <c r="J228" s="113">
        <f>I228*(1+J$35)*(1+J$30)*(1-D227)</f>
        <v>1.1215136508348882</v>
      </c>
      <c r="K228" s="95"/>
      <c r="L228" s="50" t="s">
        <v>278</v>
      </c>
    </row>
    <row r="229" spans="1:13">
      <c r="A229" s="50"/>
      <c r="B229" s="50" t="s">
        <v>150</v>
      </c>
      <c r="C229" s="50" t="s">
        <v>102</v>
      </c>
      <c r="D229" s="50"/>
      <c r="E229" s="50"/>
      <c r="F229" s="171"/>
      <c r="G229" s="113"/>
      <c r="H229" s="113"/>
      <c r="I229" s="113">
        <f>I228/(1+WACC)^I$203</f>
        <v>0.84524331169744327</v>
      </c>
      <c r="J229" s="113">
        <f>J228/(1+WACC)^J$203</f>
        <v>0.87151963992421722</v>
      </c>
      <c r="K229" s="95"/>
      <c r="L229" s="50" t="s">
        <v>165</v>
      </c>
    </row>
    <row r="230" spans="1:13">
      <c r="A230" s="50"/>
      <c r="B230" s="50" t="s">
        <v>150</v>
      </c>
      <c r="C230" s="50" t="s">
        <v>91</v>
      </c>
      <c r="D230" s="113">
        <f>SUM(I229:J229)</f>
        <v>1.7167629516216605</v>
      </c>
      <c r="E230" s="50"/>
      <c r="F230" s="171"/>
      <c r="G230" s="113"/>
      <c r="H230" s="113"/>
      <c r="I230" s="113"/>
      <c r="J230" s="113"/>
      <c r="K230" s="95"/>
      <c r="L230" s="50" t="s">
        <v>279</v>
      </c>
    </row>
    <row r="231" spans="1:13">
      <c r="A231" s="50"/>
      <c r="B231" s="50" t="s">
        <v>150</v>
      </c>
      <c r="C231" s="50" t="s">
        <v>142</v>
      </c>
      <c r="D231" s="32">
        <f>D226/D230</f>
        <v>9705.572991759489</v>
      </c>
      <c r="E231" s="50"/>
      <c r="F231" s="171"/>
      <c r="G231" s="113"/>
      <c r="H231" s="31"/>
      <c r="I231" s="31"/>
      <c r="J231" s="31"/>
      <c r="K231" s="95"/>
      <c r="L231" s="50"/>
    </row>
    <row r="232" spans="1:13">
      <c r="A232" s="50"/>
      <c r="B232" s="50" t="s">
        <v>150</v>
      </c>
      <c r="C232" s="50" t="s">
        <v>138</v>
      </c>
      <c r="D232" s="32"/>
      <c r="E232" s="50"/>
      <c r="F232" s="171"/>
      <c r="G232" s="113"/>
      <c r="H232" s="31">
        <f>H215</f>
        <v>9964.4200230196693</v>
      </c>
      <c r="I232" s="31">
        <f>$D231*I228</f>
        <v>9705.572991759489</v>
      </c>
      <c r="J232" s="31">
        <f>$D231*J228</f>
        <v>10884.932599432672</v>
      </c>
      <c r="K232" s="95"/>
      <c r="L232" s="50" t="s">
        <v>131</v>
      </c>
    </row>
    <row r="233" spans="1:13">
      <c r="A233" s="50"/>
      <c r="B233" s="50" t="s">
        <v>150</v>
      </c>
      <c r="C233" s="50" t="s">
        <v>139</v>
      </c>
      <c r="D233" s="32"/>
      <c r="E233" s="50"/>
      <c r="F233" s="171"/>
      <c r="G233" s="113"/>
      <c r="H233" s="54">
        <f>H232/$D$50</f>
        <v>9630.4886628512395</v>
      </c>
      <c r="I233" s="54">
        <f>I232/$D$50</f>
        <v>9380.3162098429384</v>
      </c>
      <c r="J233" s="54">
        <f>J232/$D$50</f>
        <v>10520.152678486633</v>
      </c>
      <c r="K233" s="95"/>
      <c r="L233" s="50" t="s">
        <v>133</v>
      </c>
    </row>
    <row r="234" spans="1:13">
      <c r="A234" s="50"/>
      <c r="B234" s="50" t="s">
        <v>150</v>
      </c>
      <c r="C234" s="50" t="s">
        <v>209</v>
      </c>
      <c r="D234" s="50"/>
      <c r="E234" s="50"/>
      <c r="F234" s="171"/>
      <c r="G234" s="113"/>
      <c r="H234" s="31"/>
      <c r="I234" s="31">
        <f>I232/(1+WACC)^I$203</f>
        <v>8203.5706574760534</v>
      </c>
      <c r="J234" s="31">
        <f>J232/(1+WACC)^J$203</f>
        <v>8458.5974790364362</v>
      </c>
      <c r="K234" s="95"/>
      <c r="L234" s="50" t="s">
        <v>181</v>
      </c>
    </row>
    <row r="235" spans="1:13">
      <c r="A235" s="50"/>
      <c r="B235" s="50" t="s">
        <v>150</v>
      </c>
      <c r="C235" s="50" t="s">
        <v>390</v>
      </c>
      <c r="D235" s="32">
        <f>SUM(I234:J234)</f>
        <v>16662.16813651249</v>
      </c>
      <c r="E235" s="50"/>
      <c r="F235" s="50"/>
      <c r="G235" s="113"/>
      <c r="H235" s="31"/>
      <c r="I235" s="31"/>
      <c r="J235" s="31"/>
      <c r="K235" s="95"/>
      <c r="L235" s="50" t="s">
        <v>134</v>
      </c>
    </row>
    <row r="236" spans="1:13">
      <c r="A236" s="50"/>
      <c r="B236" s="50" t="s">
        <v>150</v>
      </c>
      <c r="C236" s="50" t="s">
        <v>132</v>
      </c>
      <c r="D236" s="172">
        <f>D226-D235</f>
        <v>0</v>
      </c>
      <c r="E236" s="50"/>
      <c r="F236" s="171"/>
      <c r="G236" s="113"/>
      <c r="H236" s="31"/>
      <c r="I236" s="31"/>
      <c r="J236" s="31"/>
      <c r="K236" s="95"/>
      <c r="L236" s="50"/>
      <c r="M236" s="15"/>
    </row>
    <row r="237" spans="1:13">
      <c r="A237" s="50"/>
      <c r="B237" s="119" t="s">
        <v>150</v>
      </c>
      <c r="C237" s="119" t="s">
        <v>190</v>
      </c>
      <c r="D237" s="119"/>
      <c r="E237" s="50"/>
      <c r="F237" s="176"/>
      <c r="G237" s="177"/>
      <c r="H237" s="178">
        <f>(H233+H187-H$189-H$183-H152+H$180)*H$53</f>
        <v>1071.422718783288</v>
      </c>
      <c r="I237" s="178">
        <f>(I233+I187-I$189-I$183-I152+I$180)*I$53</f>
        <v>935.60159879711091</v>
      </c>
      <c r="J237" s="178">
        <f>(J233+J187-J$189-J$183-J152+J$180)*J$53</f>
        <v>1199.0892482414106</v>
      </c>
      <c r="K237" s="54"/>
      <c r="L237" s="50"/>
      <c r="M237" s="15"/>
    </row>
    <row r="238" spans="1:13">
      <c r="A238" s="50"/>
      <c r="B238" s="119"/>
      <c r="C238" s="119"/>
      <c r="D238" s="119"/>
      <c r="E238" s="178"/>
      <c r="F238" s="176"/>
      <c r="G238" s="177"/>
      <c r="H238" s="178"/>
      <c r="I238" s="178"/>
      <c r="J238" s="178"/>
      <c r="K238" s="95"/>
      <c r="L238" s="50"/>
      <c r="M238" s="15"/>
    </row>
    <row r="239" spans="1:13" ht="21">
      <c r="A239" s="50"/>
      <c r="B239" s="50"/>
      <c r="C239" s="155" t="s">
        <v>199</v>
      </c>
      <c r="D239" s="155"/>
      <c r="E239" s="155"/>
      <c r="F239" s="155"/>
      <c r="G239" s="155"/>
      <c r="H239" s="155"/>
      <c r="I239" s="155"/>
      <c r="J239" s="50"/>
      <c r="K239" s="50"/>
      <c r="L239" s="50"/>
      <c r="M239" s="15"/>
    </row>
    <row r="240" spans="1:13">
      <c r="A240" s="50"/>
      <c r="B240" s="50"/>
      <c r="C240" s="50" t="s">
        <v>197</v>
      </c>
      <c r="D240" s="179"/>
      <c r="E240" s="50"/>
      <c r="F240" s="31">
        <f>G240/((1+G35)*(1+G30)*(1-X_industry_wide))</f>
        <v>9324.6569473540258</v>
      </c>
      <c r="G240" s="31">
        <f>H240/((1+H35)*(1+H30)*(1-X_industry_wide))</f>
        <v>9458.9174900665403</v>
      </c>
      <c r="H240" s="31">
        <f>H233</f>
        <v>9630.4886628512395</v>
      </c>
      <c r="I240" s="50"/>
      <c r="J240" s="50"/>
      <c r="K240" s="50"/>
      <c r="L240" s="50"/>
      <c r="M240" s="15"/>
    </row>
    <row r="241" spans="1:13">
      <c r="A241" s="50"/>
      <c r="B241" s="50"/>
      <c r="C241" s="50"/>
      <c r="D241" s="179"/>
      <c r="E241" s="50"/>
      <c r="F241" s="31"/>
      <c r="G241" s="31"/>
      <c r="H241" s="31"/>
      <c r="I241" s="50"/>
      <c r="J241" s="50"/>
      <c r="K241" s="50"/>
      <c r="L241" s="50"/>
      <c r="M241" s="15"/>
    </row>
    <row r="242" spans="1:13" ht="21">
      <c r="A242" s="50"/>
      <c r="B242" s="50"/>
      <c r="C242" s="155" t="s">
        <v>198</v>
      </c>
      <c r="D242" s="179"/>
      <c r="E242" s="50"/>
      <c r="F242" s="123"/>
      <c r="G242" s="50"/>
      <c r="H242" s="50"/>
      <c r="I242" s="50"/>
      <c r="J242" s="50"/>
      <c r="K242" s="50"/>
      <c r="L242" s="27"/>
      <c r="M242" s="15"/>
    </row>
    <row r="243" spans="1:13">
      <c r="A243" s="50"/>
      <c r="B243" s="50"/>
      <c r="C243" s="180" t="s">
        <v>212</v>
      </c>
      <c r="D243" s="179"/>
      <c r="E243" s="181">
        <f>(1+H30)*(1+I30)</f>
        <v>0.99490638504528062</v>
      </c>
      <c r="F243" s="123"/>
      <c r="G243" s="50"/>
      <c r="H243" s="50"/>
      <c r="I243" s="50"/>
      <c r="J243" s="50"/>
      <c r="K243" s="50"/>
      <c r="L243" s="27"/>
      <c r="M243" s="15"/>
    </row>
    <row r="244" spans="1:13">
      <c r="A244" s="50"/>
      <c r="B244" s="50"/>
      <c r="C244" s="50"/>
      <c r="D244" s="127"/>
      <c r="E244" s="50"/>
      <c r="F244" s="123"/>
      <c r="G244" s="50"/>
      <c r="H244" s="50"/>
      <c r="I244" s="50"/>
      <c r="J244" s="50"/>
      <c r="K244" s="50"/>
      <c r="L244" s="27"/>
    </row>
    <row r="245" spans="1:13" ht="21">
      <c r="A245" s="50"/>
      <c r="B245" s="50"/>
      <c r="C245" s="155" t="s">
        <v>315</v>
      </c>
      <c r="D245" s="162" t="s">
        <v>342</v>
      </c>
      <c r="E245" s="50"/>
      <c r="F245" s="123"/>
      <c r="G245" s="50"/>
      <c r="H245" s="50"/>
      <c r="I245" s="50"/>
      <c r="J245" s="50"/>
      <c r="K245" s="50"/>
      <c r="L245" s="27"/>
    </row>
    <row r="246" spans="1:13">
      <c r="A246" s="50"/>
      <c r="B246" s="50"/>
      <c r="C246" s="50"/>
      <c r="D246" s="50"/>
      <c r="E246" s="99" t="str">
        <f>Inputs!D$11</f>
        <v>2009/10</v>
      </c>
      <c r="F246" s="99" t="str">
        <f>Inputs!E$11</f>
        <v>2010/11</v>
      </c>
      <c r="G246" s="99" t="str">
        <f>Inputs!F$11</f>
        <v>2011/12</v>
      </c>
      <c r="H246" s="99" t="str">
        <f>Inputs!G$11</f>
        <v>2012/13</v>
      </c>
      <c r="I246" s="99" t="str">
        <f>Inputs!H$11</f>
        <v>2013/14</v>
      </c>
      <c r="J246" s="99" t="str">
        <f>Inputs!I$11</f>
        <v>2014/15</v>
      </c>
      <c r="K246" s="50"/>
      <c r="L246" s="27"/>
    </row>
    <row r="247" spans="1:13">
      <c r="A247" s="50"/>
      <c r="B247" s="50"/>
      <c r="C247" s="122" t="str">
        <f>C35</f>
        <v>2009 ΔCPI, 8 index, lagged, no GST adjustment</v>
      </c>
      <c r="D247" s="50"/>
      <c r="E247" s="50"/>
      <c r="F247" s="50"/>
      <c r="G247" s="50"/>
      <c r="H247" s="50"/>
      <c r="I247" s="100">
        <f>I35</f>
        <v>2.3759818812291389E-2</v>
      </c>
      <c r="J247" s="100">
        <f>J35</f>
        <v>2.2164443909808984E-2</v>
      </c>
      <c r="K247" s="50"/>
      <c r="L247" s="27"/>
    </row>
    <row r="248" spans="1:13">
      <c r="A248" s="50"/>
      <c r="B248" s="50"/>
      <c r="C248" s="122" t="str">
        <f>C37</f>
        <v>2012 ΔCPI, 8 index, lagged, with GST adjustment</v>
      </c>
      <c r="D248" s="50"/>
      <c r="E248" s="99"/>
      <c r="F248" s="100"/>
      <c r="G248" s="100"/>
      <c r="H248" s="100"/>
      <c r="I248" s="100">
        <f>I$37</f>
        <v>1.2820512820512775E-2</v>
      </c>
      <c r="J248" s="101">
        <f>J$37</f>
        <v>1.9725095732576747E-2</v>
      </c>
      <c r="K248" s="50"/>
      <c r="L248" s="27"/>
    </row>
    <row r="249" spans="1:13">
      <c r="A249" s="50"/>
      <c r="B249" s="50"/>
      <c r="C249" s="50" t="s">
        <v>200</v>
      </c>
      <c r="D249" s="50"/>
      <c r="E249" s="99"/>
      <c r="F249" s="100"/>
      <c r="G249" s="100">
        <f>G$30</f>
        <v>-2.5500588774990756E-3</v>
      </c>
      <c r="H249" s="100">
        <f>H$30</f>
        <v>-2.5500588774990756E-3</v>
      </c>
      <c r="I249" s="100">
        <f>I$30</f>
        <v>-2.5500588774990756E-3</v>
      </c>
      <c r="J249" s="100">
        <f>J$30</f>
        <v>-2.5500588774990756E-3</v>
      </c>
      <c r="K249" s="50"/>
      <c r="L249" s="27"/>
    </row>
    <row r="250" spans="1:13">
      <c r="A250" s="50"/>
      <c r="B250" s="50"/>
      <c r="C250" s="50" t="s">
        <v>309</v>
      </c>
      <c r="D250" s="54">
        <f>E25</f>
        <v>2691</v>
      </c>
      <c r="E250" s="50"/>
      <c r="F250" s="123"/>
      <c r="G250" s="50"/>
      <c r="H250" s="50"/>
      <c r="I250" s="50"/>
      <c r="J250" s="50"/>
      <c r="K250" s="50"/>
      <c r="L250" s="27"/>
    </row>
    <row r="251" spans="1:13">
      <c r="A251" s="50"/>
      <c r="B251" s="50"/>
      <c r="C251" s="119" t="s">
        <v>335</v>
      </c>
      <c r="D251" s="32">
        <f>E24</f>
        <v>7961</v>
      </c>
      <c r="E251" s="50"/>
      <c r="F251" s="123"/>
      <c r="G251" s="50"/>
      <c r="H251" s="50"/>
      <c r="I251" s="50"/>
      <c r="J251" s="50"/>
      <c r="K251" s="50"/>
      <c r="L251" s="27"/>
    </row>
    <row r="252" spans="1:13">
      <c r="A252" s="50"/>
      <c r="B252" s="50"/>
      <c r="C252" s="50" t="s">
        <v>383</v>
      </c>
      <c r="D252" s="50"/>
      <c r="E252" s="50"/>
      <c r="F252" s="123"/>
      <c r="G252" s="50"/>
      <c r="H252" s="124">
        <f>(D251+D250)*(1+G$249)*(1+H$249)-D250</f>
        <v>7906.7428135023292</v>
      </c>
      <c r="I252" s="124">
        <f>H252*(1+I249)*(1+I248)</f>
        <v>7987.6901557704332</v>
      </c>
      <c r="J252" s="124">
        <f>I252*(1+J249)*(1+J248)</f>
        <v>8124.4772465259512</v>
      </c>
      <c r="K252" s="50"/>
      <c r="L252" s="27"/>
    </row>
    <row r="253" spans="1:13">
      <c r="A253" s="50"/>
      <c r="B253" s="50"/>
      <c r="C253" s="50" t="s">
        <v>314</v>
      </c>
      <c r="D253" s="50"/>
      <c r="E253" s="50"/>
      <c r="F253" s="123"/>
      <c r="G253" s="50"/>
      <c r="H253" s="124">
        <f>$D$250</f>
        <v>2691</v>
      </c>
      <c r="I253" s="124">
        <f>H253*(1+I34)</f>
        <v>2738.6886075949369</v>
      </c>
      <c r="J253" s="124"/>
      <c r="K253" s="50"/>
      <c r="L253" s="27"/>
    </row>
    <row r="254" spans="1:13">
      <c r="A254" s="50"/>
      <c r="B254" s="50"/>
      <c r="C254" s="119" t="s">
        <v>336</v>
      </c>
      <c r="D254" s="50"/>
      <c r="E254" s="50"/>
      <c r="F254" s="123"/>
      <c r="G254" s="50"/>
      <c r="H254" s="124">
        <f>D251</f>
        <v>7961</v>
      </c>
      <c r="I254" s="124">
        <f>((H254+H253)*(1+G249)-H253)*(1+I248)*(1-X_industry_wide)</f>
        <v>8035.5526288988904</v>
      </c>
      <c r="J254" s="97"/>
      <c r="K254" s="50"/>
      <c r="L254" s="27"/>
    </row>
    <row r="255" spans="1:13">
      <c r="A255" s="50"/>
      <c r="B255" s="50"/>
      <c r="C255" s="50" t="s">
        <v>337</v>
      </c>
      <c r="D255" s="50"/>
      <c r="E255" s="50"/>
      <c r="F255" s="123"/>
      <c r="G255" s="50"/>
      <c r="H255" s="124">
        <f>H216</f>
        <v>9630.4886628512395</v>
      </c>
      <c r="I255" s="124">
        <f>I216</f>
        <v>9834.1655143752396</v>
      </c>
      <c r="J255" s="124">
        <f>J216</f>
        <v>10026.500789946849</v>
      </c>
      <c r="K255" s="50"/>
      <c r="L255" s="27"/>
    </row>
    <row r="256" spans="1:13">
      <c r="A256" s="50"/>
      <c r="B256" s="50"/>
      <c r="C256" s="119" t="s">
        <v>371</v>
      </c>
      <c r="D256" s="50"/>
      <c r="E256" s="50"/>
      <c r="F256" s="123"/>
      <c r="G256" s="50"/>
      <c r="H256" s="124"/>
      <c r="I256" s="124">
        <f>(I255+I253)/((1+H249)*(1+I249))-I253</f>
        <v>9898.5346638166302</v>
      </c>
      <c r="J256" s="124"/>
      <c r="K256" s="50"/>
      <c r="L256" s="27"/>
    </row>
    <row r="257" spans="1:12">
      <c r="A257" s="50"/>
      <c r="B257" s="50"/>
      <c r="C257" s="50" t="s">
        <v>344</v>
      </c>
      <c r="D257" s="50"/>
      <c r="E257" s="50"/>
      <c r="F257" s="123"/>
      <c r="G257" s="50"/>
      <c r="H257" s="124">
        <f>H255</f>
        <v>9630.4886628512395</v>
      </c>
      <c r="I257" s="124">
        <f>I255*(1+I248)/(1+I247)</f>
        <v>9729.0833029436999</v>
      </c>
      <c r="J257" s="124">
        <f>I257*(1+J$248)*(1+J$249)*(1-X_industry_wide)</f>
        <v>9895.6912928350393</v>
      </c>
      <c r="K257" s="50"/>
      <c r="L257" s="27"/>
    </row>
    <row r="258" spans="1:12">
      <c r="A258" s="50"/>
      <c r="B258" s="50"/>
      <c r="C258" s="119" t="s">
        <v>346</v>
      </c>
      <c r="D258" s="50"/>
      <c r="E258" s="50"/>
      <c r="F258" s="123"/>
      <c r="G258" s="50"/>
      <c r="H258" s="124"/>
      <c r="I258" s="124">
        <f>(I257+I253)/((1+H249)*(1+I249))-I253</f>
        <v>9792.9144637545323</v>
      </c>
      <c r="J258" s="97"/>
      <c r="K258" s="50"/>
      <c r="L258" s="27"/>
    </row>
    <row r="259" spans="1:12">
      <c r="A259" s="50"/>
      <c r="B259" s="50"/>
      <c r="C259" s="50" t="s">
        <v>338</v>
      </c>
      <c r="D259" s="50"/>
      <c r="E259" s="50"/>
      <c r="F259" s="123"/>
      <c r="G259" s="50"/>
      <c r="H259" s="124">
        <f>H233</f>
        <v>9630.4886628512395</v>
      </c>
      <c r="I259" s="124">
        <f>I233</f>
        <v>9380.3162098429384</v>
      </c>
      <c r="J259" s="124">
        <f>J233</f>
        <v>10520.152678486633</v>
      </c>
      <c r="K259" s="50"/>
      <c r="L259" s="27"/>
    </row>
    <row r="260" spans="1:12">
      <c r="A260" s="50"/>
      <c r="B260" s="50"/>
      <c r="C260" s="50" t="s">
        <v>345</v>
      </c>
      <c r="D260" s="50"/>
      <c r="E260" s="50"/>
      <c r="F260" s="123"/>
      <c r="G260" s="50"/>
      <c r="H260" s="124">
        <f>H259</f>
        <v>9630.4886628512395</v>
      </c>
      <c r="I260" s="124">
        <f>I259*(1+I248)/(1+I247)</f>
        <v>9280.0835698882274</v>
      </c>
      <c r="J260" s="124">
        <f>I260*(1+J$248)*(1+J$249)*(1-D227)</f>
        <v>10382.902813330087</v>
      </c>
      <c r="K260" s="50"/>
      <c r="L260" s="27"/>
    </row>
    <row r="261" spans="1:12">
      <c r="A261" s="50"/>
      <c r="B261" s="50"/>
      <c r="C261" s="119" t="s">
        <v>347</v>
      </c>
      <c r="D261" s="50"/>
      <c r="E261" s="50"/>
      <c r="F261" s="123"/>
      <c r="G261" s="50"/>
      <c r="H261" s="97"/>
      <c r="I261" s="124">
        <f>(I260+I253)/((1+H249)*(1+I249))-I253</f>
        <v>9341.615990044329</v>
      </c>
      <c r="J261" s="97"/>
      <c r="K261" s="50"/>
      <c r="L261" s="27"/>
    </row>
    <row r="262" spans="1:12">
      <c r="A262" s="50"/>
      <c r="B262" s="50"/>
      <c r="C262" s="50" t="s">
        <v>317</v>
      </c>
      <c r="D262" s="126">
        <f>E27</f>
        <v>0.1</v>
      </c>
      <c r="E262" s="50"/>
      <c r="F262" s="123"/>
      <c r="G262" s="50"/>
      <c r="H262" s="125"/>
      <c r="I262" s="125"/>
      <c r="J262" s="125"/>
      <c r="K262" s="50"/>
      <c r="L262" s="27"/>
    </row>
    <row r="263" spans="1:12" ht="18">
      <c r="A263" s="50"/>
      <c r="B263" s="50"/>
      <c r="C263" s="50" t="s">
        <v>339</v>
      </c>
      <c r="D263" s="127"/>
      <c r="E263" s="50"/>
      <c r="F263" s="123"/>
      <c r="G263" s="50"/>
      <c r="H263" s="124">
        <f>(D251+H253)*(1+G$249)*(1+H$249)-H253</f>
        <v>7906.7428135023292</v>
      </c>
      <c r="I263" s="124">
        <f>H263*(1+$D262)*(1+I$247)*(1+I$249)</f>
        <v>8881.3602562316773</v>
      </c>
      <c r="J263" s="124">
        <f>I264*(1+$D262)*(1+J247)*(1+J249)</f>
        <v>9960.5667653462679</v>
      </c>
      <c r="K263" s="50"/>
      <c r="L263" s="27"/>
    </row>
    <row r="264" spans="1:12">
      <c r="A264" s="50"/>
      <c r="B264" s="50"/>
      <c r="C264" s="50" t="s">
        <v>367</v>
      </c>
      <c r="D264" s="127"/>
      <c r="E264" s="50"/>
      <c r="F264" s="123"/>
      <c r="G264" s="50"/>
      <c r="H264" s="124">
        <f>H260</f>
        <v>9630.4886628512395</v>
      </c>
      <c r="I264" s="124">
        <f>MIN(I260,I263)</f>
        <v>8881.3602562316773</v>
      </c>
      <c r="J264" s="124">
        <f>MIN(J260,J263)</f>
        <v>9960.5667653462679</v>
      </c>
      <c r="K264" s="50"/>
      <c r="L264" s="27"/>
    </row>
    <row r="265" spans="1:12">
      <c r="A265" s="50"/>
      <c r="B265" s="50"/>
      <c r="C265" s="50" t="s">
        <v>373</v>
      </c>
      <c r="D265" s="31">
        <f>NPV(WACC,H255:J255)*D50</f>
        <v>25823.168433487452</v>
      </c>
      <c r="E265" s="50"/>
      <c r="F265" s="123"/>
      <c r="G265" s="50"/>
      <c r="H265" s="50"/>
      <c r="I265" s="50"/>
      <c r="J265" s="50"/>
      <c r="K265" s="50"/>
      <c r="L265" s="27"/>
    </row>
    <row r="266" spans="1:12">
      <c r="A266" s="50"/>
      <c r="B266" s="50"/>
      <c r="C266" s="50" t="s">
        <v>372</v>
      </c>
      <c r="D266" s="31">
        <f>NPV(WACC,H252:J252)*D50</f>
        <v>21039.319265114926</v>
      </c>
      <c r="E266" s="50"/>
      <c r="F266" s="123"/>
      <c r="G266" s="50"/>
      <c r="H266" s="50"/>
      <c r="I266" s="50"/>
      <c r="J266" s="50"/>
      <c r="K266" s="50"/>
      <c r="L266" s="27"/>
    </row>
    <row r="267" spans="1:12">
      <c r="A267" s="50"/>
      <c r="B267" s="50"/>
      <c r="C267" s="50" t="s">
        <v>340</v>
      </c>
      <c r="D267" s="31">
        <f>NPV(WACC,H259:J259)*D50</f>
        <v>25823.168433487452</v>
      </c>
      <c r="E267" s="50"/>
      <c r="F267" s="123"/>
      <c r="G267" s="50"/>
      <c r="H267" s="50"/>
      <c r="I267" s="50"/>
      <c r="J267" s="50"/>
      <c r="K267" s="50"/>
      <c r="L267" s="27"/>
    </row>
    <row r="268" spans="1:12">
      <c r="A268" s="50"/>
      <c r="B268" s="50"/>
      <c r="C268" s="50" t="s">
        <v>351</v>
      </c>
      <c r="D268" s="31">
        <f>NPV(WACC,H264:J264)*D50</f>
        <v>24936.87762987243</v>
      </c>
      <c r="E268" s="50"/>
      <c r="F268" s="123"/>
      <c r="G268" s="50"/>
      <c r="H268" s="50"/>
      <c r="I268" s="50"/>
      <c r="J268" s="50"/>
      <c r="K268" s="50"/>
      <c r="L268" s="27"/>
    </row>
    <row r="269" spans="1:12">
      <c r="A269" s="50"/>
      <c r="B269" s="50"/>
      <c r="C269" s="50" t="s">
        <v>348</v>
      </c>
      <c r="D269" s="31">
        <f>NPV(WACC,H257:J257)*D50</f>
        <v>25626.092872375335</v>
      </c>
      <c r="E269" s="50"/>
      <c r="F269" s="123"/>
      <c r="G269" s="50"/>
      <c r="H269" s="50"/>
      <c r="I269" s="50"/>
      <c r="J269" s="50"/>
      <c r="K269" s="50"/>
      <c r="L269" s="27"/>
    </row>
    <row r="270" spans="1:12">
      <c r="A270" s="50"/>
      <c r="B270" s="50"/>
      <c r="C270" s="50" t="s">
        <v>349</v>
      </c>
      <c r="D270" s="31">
        <f>NPV(WACC,H260:J260)*D50</f>
        <v>25625.155775369032</v>
      </c>
      <c r="E270" s="50"/>
      <c r="F270" s="123"/>
      <c r="G270" s="50"/>
      <c r="H270" s="50"/>
      <c r="I270" s="50"/>
      <c r="J270" s="50"/>
      <c r="K270" s="50"/>
      <c r="L270" s="27"/>
    </row>
    <row r="271" spans="1:12">
      <c r="A271" s="50"/>
      <c r="B271" s="50"/>
      <c r="C271" s="50" t="s">
        <v>368</v>
      </c>
      <c r="D271" s="31" t="b">
        <f>OR(I260&gt;I263,J260&gt;J263)</f>
        <v>1</v>
      </c>
      <c r="E271" s="50"/>
      <c r="F271" s="123"/>
      <c r="G271" s="50"/>
      <c r="H271" s="50"/>
      <c r="I271" s="50"/>
      <c r="J271" s="50"/>
      <c r="K271" s="50"/>
      <c r="L271" s="27"/>
    </row>
    <row r="272" spans="1:12">
      <c r="A272" s="50"/>
      <c r="B272" s="50"/>
      <c r="C272" s="50"/>
      <c r="D272" s="31"/>
      <c r="E272" s="50"/>
      <c r="F272" s="123"/>
      <c r="G272" s="50"/>
      <c r="H272" s="50"/>
      <c r="I272" s="50"/>
      <c r="J272" s="50"/>
      <c r="K272" s="50"/>
      <c r="L272" s="27"/>
    </row>
    <row r="273" spans="1:12" ht="21">
      <c r="A273" s="50"/>
      <c r="B273" s="50"/>
      <c r="C273" s="155" t="s">
        <v>343</v>
      </c>
      <c r="D273" s="127"/>
      <c r="E273" s="50"/>
      <c r="F273" s="123"/>
      <c r="G273" s="50"/>
      <c r="H273" s="50"/>
      <c r="I273" s="50"/>
      <c r="J273" s="50"/>
      <c r="K273" s="50"/>
      <c r="L273" s="27"/>
    </row>
    <row r="274" spans="1:12" ht="30">
      <c r="A274" s="50"/>
      <c r="B274" s="50"/>
      <c r="C274" s="123" t="s">
        <v>370</v>
      </c>
      <c r="D274" s="126">
        <f>I$261/(D$251*(1+I$249)*(1+I$248))-1</f>
        <v>0.16153095692471409</v>
      </c>
      <c r="E274" s="50"/>
      <c r="F274" s="123"/>
      <c r="G274" s="50"/>
      <c r="H274" s="50"/>
      <c r="I274" s="50"/>
      <c r="J274" s="50"/>
      <c r="K274" s="50"/>
      <c r="L274" s="27"/>
    </row>
    <row r="275" spans="1:12" ht="30">
      <c r="A275" s="50"/>
      <c r="B275" s="50"/>
      <c r="C275" s="123" t="s">
        <v>350</v>
      </c>
      <c r="D275" s="31">
        <f>D265-D268</f>
        <v>886.29080361502201</v>
      </c>
      <c r="E275" s="50"/>
      <c r="F275" s="123"/>
      <c r="G275" s="50"/>
      <c r="H275" s="50"/>
      <c r="I275" s="50"/>
      <c r="J275" s="50"/>
      <c r="K275" s="50"/>
      <c r="L275" s="27"/>
    </row>
    <row r="276" spans="1:12">
      <c r="A276" s="50"/>
      <c r="B276" s="50"/>
      <c r="C276" s="123" t="s">
        <v>366</v>
      </c>
      <c r="D276" s="31">
        <f>ROUNDUP(I264,0)</f>
        <v>8882</v>
      </c>
      <c r="E276" s="50"/>
      <c r="F276" s="123"/>
      <c r="G276" s="50"/>
      <c r="H276" s="50"/>
      <c r="I276" s="50"/>
      <c r="J276" s="50"/>
      <c r="K276" s="50"/>
      <c r="L276" s="27"/>
    </row>
    <row r="277" spans="1:12">
      <c r="A277" s="50"/>
      <c r="B277" s="50"/>
      <c r="C277" s="123" t="s">
        <v>378</v>
      </c>
      <c r="D277" s="31">
        <f>ROUNDUP(H233,0)</f>
        <v>9631</v>
      </c>
      <c r="E277" s="50"/>
      <c r="F277" s="123"/>
      <c r="G277" s="50"/>
      <c r="H277" s="50"/>
      <c r="I277" s="50"/>
      <c r="J277" s="50"/>
      <c r="K277" s="50"/>
      <c r="L277" s="27"/>
    </row>
    <row r="278" spans="1:12">
      <c r="A278" s="50"/>
      <c r="B278" s="50"/>
      <c r="C278" s="114" t="s">
        <v>382</v>
      </c>
      <c r="D278" s="31">
        <f>D269-D266</f>
        <v>4586.7736072604093</v>
      </c>
      <c r="E278" s="50"/>
      <c r="F278" s="123"/>
      <c r="G278" s="50"/>
      <c r="H278" s="50"/>
      <c r="I278" s="50"/>
      <c r="J278" s="50"/>
      <c r="K278" s="50"/>
      <c r="L278" s="27"/>
    </row>
    <row r="279" spans="1:12">
      <c r="A279" s="15"/>
      <c r="B279" s="15"/>
      <c r="C279" s="15"/>
      <c r="D279" s="15"/>
      <c r="E279" s="120"/>
      <c r="F279" s="15"/>
      <c r="G279" s="15"/>
      <c r="H279" s="15"/>
      <c r="I279" s="15"/>
      <c r="J279" s="15"/>
      <c r="K279" s="15"/>
    </row>
    <row r="280" spans="1:12">
      <c r="A280" s="15"/>
      <c r="B280" s="15"/>
      <c r="C280" s="15"/>
      <c r="D280" s="15"/>
      <c r="E280" s="120"/>
      <c r="F280" s="15"/>
      <c r="G280" s="15"/>
      <c r="H280" s="15"/>
      <c r="I280" s="15"/>
      <c r="J280" s="15"/>
      <c r="K280" s="15"/>
    </row>
    <row r="281" spans="1:12">
      <c r="A281" s="15"/>
      <c r="B281" s="15"/>
      <c r="C281" s="15"/>
      <c r="D281" s="15"/>
      <c r="E281" s="120"/>
      <c r="F281" s="15"/>
      <c r="G281" s="15"/>
      <c r="H281" s="15"/>
      <c r="I281" s="15"/>
      <c r="J281" s="15"/>
      <c r="K281" s="15"/>
    </row>
    <row r="282" spans="1:12">
      <c r="A282" s="15"/>
      <c r="B282" s="15"/>
      <c r="C282" s="15"/>
      <c r="D282" s="15"/>
      <c r="E282" s="120"/>
      <c r="F282" s="15"/>
      <c r="G282" s="15"/>
      <c r="H282" s="15"/>
      <c r="I282" s="15"/>
      <c r="J282" s="15"/>
      <c r="K282" s="15"/>
    </row>
    <row r="283" spans="1:12">
      <c r="A283" s="15"/>
      <c r="B283" s="15"/>
      <c r="C283" s="15"/>
      <c r="D283" s="15"/>
      <c r="E283" s="120"/>
      <c r="F283" s="15"/>
      <c r="G283" s="15"/>
      <c r="H283" s="15"/>
      <c r="I283" s="15"/>
      <c r="J283" s="15"/>
      <c r="K283" s="15"/>
    </row>
    <row r="284" spans="1:12">
      <c r="A284" s="15"/>
      <c r="B284" s="15"/>
      <c r="C284" s="15"/>
      <c r="D284" s="15"/>
      <c r="E284" s="120"/>
      <c r="F284" s="15"/>
      <c r="G284" s="15"/>
      <c r="H284" s="15"/>
      <c r="I284" s="15"/>
      <c r="J284" s="15"/>
      <c r="K284" s="15"/>
    </row>
    <row r="285" spans="1:12">
      <c r="A285" s="15"/>
      <c r="B285" s="15"/>
      <c r="C285" s="15"/>
      <c r="D285" s="15"/>
      <c r="E285" s="120"/>
      <c r="F285" s="15"/>
      <c r="G285" s="15"/>
      <c r="H285" s="15"/>
      <c r="I285" s="15"/>
      <c r="J285" s="15"/>
      <c r="K285" s="15"/>
    </row>
    <row r="286" spans="1:12">
      <c r="A286" s="15"/>
      <c r="B286" s="15"/>
      <c r="C286" s="15"/>
      <c r="D286" s="15"/>
      <c r="E286" s="120"/>
      <c r="F286" s="15"/>
      <c r="G286" s="15"/>
      <c r="H286" s="15"/>
      <c r="I286" s="15"/>
      <c r="J286" s="15"/>
      <c r="K286" s="15"/>
    </row>
    <row r="287" spans="1:12">
      <c r="A287" s="15"/>
      <c r="B287" s="15"/>
      <c r="C287" s="15"/>
      <c r="D287" s="15"/>
      <c r="E287" s="120"/>
      <c r="F287" s="15"/>
      <c r="G287" s="15"/>
      <c r="H287" s="15"/>
      <c r="I287" s="15"/>
      <c r="J287" s="15"/>
      <c r="K287" s="15"/>
    </row>
    <row r="288" spans="1:12">
      <c r="A288" s="15"/>
      <c r="B288" s="15"/>
      <c r="C288" s="15"/>
      <c r="D288" s="15"/>
      <c r="E288" s="120"/>
      <c r="F288" s="15"/>
      <c r="G288" s="15"/>
      <c r="H288" s="15"/>
      <c r="I288" s="15"/>
      <c r="J288" s="15"/>
      <c r="K288" s="15"/>
    </row>
    <row r="289" spans="1:11">
      <c r="A289" s="15"/>
      <c r="B289" s="15"/>
      <c r="C289" s="15"/>
      <c r="D289" s="15"/>
      <c r="E289" s="120"/>
      <c r="F289" s="15"/>
      <c r="G289" s="15"/>
      <c r="H289" s="15"/>
      <c r="I289" s="15"/>
      <c r="J289" s="15"/>
      <c r="K289" s="15"/>
    </row>
    <row r="290" spans="1:11">
      <c r="A290" s="15"/>
      <c r="B290" s="15"/>
      <c r="C290" s="15"/>
      <c r="D290" s="15"/>
      <c r="E290" s="120"/>
      <c r="F290" s="15"/>
      <c r="G290" s="15"/>
      <c r="H290" s="15"/>
      <c r="I290" s="15"/>
      <c r="J290" s="15"/>
      <c r="K290" s="15"/>
    </row>
    <row r="291" spans="1:11">
      <c r="A291" s="15"/>
      <c r="B291" s="15"/>
      <c r="C291" s="15"/>
      <c r="D291" s="15"/>
      <c r="E291" s="120"/>
      <c r="F291" s="15"/>
      <c r="G291" s="15"/>
      <c r="H291" s="15"/>
      <c r="I291" s="15"/>
      <c r="J291" s="15"/>
      <c r="K291" s="15"/>
    </row>
    <row r="292" spans="1:11">
      <c r="A292" s="15"/>
      <c r="B292" s="15"/>
      <c r="C292" s="15"/>
      <c r="D292" s="15"/>
      <c r="E292" s="120"/>
      <c r="F292" s="15"/>
      <c r="G292" s="15"/>
      <c r="H292" s="15"/>
      <c r="I292" s="15"/>
      <c r="J292" s="15"/>
      <c r="K292" s="15"/>
    </row>
    <row r="293" spans="1:11">
      <c r="A293" s="15"/>
      <c r="B293" s="15"/>
      <c r="C293" s="15"/>
      <c r="D293" s="15"/>
      <c r="E293" s="120"/>
      <c r="F293" s="15"/>
      <c r="G293" s="15"/>
      <c r="H293" s="15"/>
      <c r="I293" s="15"/>
      <c r="J293" s="15"/>
      <c r="K293" s="15"/>
    </row>
    <row r="294" spans="1:11">
      <c r="A294" s="15"/>
      <c r="B294" s="15"/>
      <c r="C294" s="15"/>
      <c r="D294" s="15"/>
      <c r="E294" s="120"/>
      <c r="F294" s="15"/>
      <c r="G294" s="15"/>
      <c r="H294" s="15"/>
      <c r="I294" s="15"/>
      <c r="J294" s="15"/>
      <c r="K294" s="15"/>
    </row>
    <row r="295" spans="1:11">
      <c r="A295" s="15"/>
      <c r="B295" s="15"/>
      <c r="C295" s="15"/>
      <c r="D295" s="15"/>
      <c r="E295" s="120"/>
      <c r="F295" s="15"/>
      <c r="G295" s="15"/>
      <c r="H295" s="15"/>
      <c r="I295" s="15"/>
      <c r="J295" s="15"/>
      <c r="K295" s="15"/>
    </row>
    <row r="296" spans="1:11">
      <c r="A296" s="15"/>
      <c r="B296" s="15"/>
      <c r="C296" s="15"/>
      <c r="D296" s="15"/>
      <c r="E296" s="120"/>
      <c r="F296" s="15"/>
      <c r="G296" s="15"/>
      <c r="H296" s="15"/>
      <c r="I296" s="15"/>
      <c r="J296" s="15"/>
      <c r="K296" s="15"/>
    </row>
    <row r="297" spans="1:11">
      <c r="A297" s="15"/>
      <c r="B297" s="15"/>
      <c r="C297" s="15"/>
      <c r="D297" s="15"/>
      <c r="E297" s="120"/>
      <c r="F297" s="15"/>
      <c r="G297" s="15"/>
      <c r="H297" s="15"/>
      <c r="I297" s="15"/>
      <c r="J297" s="15"/>
      <c r="K297" s="15"/>
    </row>
    <row r="298" spans="1:11">
      <c r="A298" s="15"/>
      <c r="B298" s="15"/>
      <c r="C298" s="15"/>
      <c r="D298" s="15"/>
      <c r="E298" s="120"/>
      <c r="F298" s="15"/>
      <c r="G298" s="15"/>
      <c r="H298" s="15"/>
      <c r="I298" s="15"/>
      <c r="J298" s="15"/>
      <c r="K298" s="15"/>
    </row>
    <row r="299" spans="1:11">
      <c r="A299" s="15"/>
      <c r="B299" s="15"/>
      <c r="C299" s="15"/>
      <c r="D299" s="15"/>
      <c r="E299" s="120"/>
      <c r="F299" s="15"/>
      <c r="G299" s="15"/>
      <c r="H299" s="15"/>
      <c r="I299" s="15"/>
      <c r="J299" s="15"/>
    </row>
    <row r="300" spans="1:11">
      <c r="A300" s="15"/>
      <c r="B300" s="15"/>
      <c r="C300" s="15"/>
      <c r="D300" s="15"/>
      <c r="E300" s="120"/>
      <c r="F300" s="15"/>
      <c r="G300" s="15"/>
      <c r="H300" s="15"/>
      <c r="I300" s="15"/>
      <c r="J300" s="15"/>
    </row>
    <row r="301" spans="1:11">
      <c r="A301" s="15"/>
      <c r="B301" s="15"/>
      <c r="C301" s="15"/>
      <c r="D301" s="15"/>
      <c r="E301" s="120"/>
      <c r="F301" s="15"/>
      <c r="G301" s="15"/>
      <c r="H301" s="15"/>
      <c r="I301" s="15"/>
      <c r="J301" s="15"/>
    </row>
    <row r="302" spans="1:11">
      <c r="A302" s="15"/>
      <c r="B302" s="15"/>
      <c r="C302" s="15"/>
      <c r="D302" s="15"/>
      <c r="E302" s="120"/>
      <c r="F302" s="15"/>
      <c r="G302" s="15"/>
      <c r="H302" s="15"/>
      <c r="I302" s="15"/>
      <c r="J302" s="15"/>
    </row>
    <row r="303" spans="1:11">
      <c r="A303" s="15"/>
      <c r="B303" s="15"/>
      <c r="C303" s="15"/>
      <c r="D303" s="15"/>
      <c r="E303" s="120"/>
      <c r="F303" s="15"/>
      <c r="G303" s="15"/>
      <c r="H303" s="15"/>
      <c r="I303" s="15"/>
      <c r="J303" s="15"/>
    </row>
    <row r="304" spans="1:11">
      <c r="A304" s="15"/>
      <c r="B304" s="15"/>
      <c r="C304" s="15"/>
      <c r="D304" s="15"/>
      <c r="E304" s="120"/>
      <c r="F304" s="15"/>
      <c r="G304" s="15"/>
      <c r="H304" s="15"/>
      <c r="I304" s="15"/>
      <c r="J304" s="15"/>
    </row>
    <row r="305" spans="1:10">
      <c r="A305" s="15"/>
      <c r="B305" s="15"/>
      <c r="C305" s="15"/>
      <c r="D305" s="15"/>
      <c r="E305" s="120"/>
      <c r="F305" s="15"/>
      <c r="G305" s="15"/>
      <c r="H305" s="15"/>
      <c r="I305" s="15"/>
      <c r="J305" s="15"/>
    </row>
    <row r="306" spans="1:10">
      <c r="A306" s="15"/>
      <c r="B306" s="15"/>
      <c r="C306" s="15"/>
      <c r="D306" s="15"/>
      <c r="E306" s="120"/>
      <c r="F306" s="15"/>
      <c r="G306" s="15"/>
      <c r="H306" s="15"/>
      <c r="I306" s="15"/>
      <c r="J306" s="15"/>
    </row>
    <row r="307" spans="1:10">
      <c r="A307" s="15"/>
      <c r="B307" s="15"/>
      <c r="C307" s="15"/>
      <c r="D307" s="15"/>
      <c r="E307" s="120"/>
      <c r="F307" s="15"/>
      <c r="G307" s="15"/>
      <c r="H307" s="15"/>
      <c r="I307" s="15"/>
      <c r="J307" s="15"/>
    </row>
    <row r="308" spans="1:10">
      <c r="A308" s="15"/>
      <c r="B308" s="15"/>
      <c r="C308" s="15"/>
      <c r="D308" s="15"/>
      <c r="E308" s="120"/>
      <c r="F308" s="15"/>
      <c r="G308" s="15"/>
      <c r="H308" s="15"/>
      <c r="I308" s="15"/>
      <c r="J308" s="15"/>
    </row>
    <row r="309" spans="1:10">
      <c r="A309" s="15"/>
      <c r="B309" s="15"/>
      <c r="C309" s="15"/>
      <c r="D309" s="15"/>
      <c r="E309" s="120"/>
      <c r="F309" s="15"/>
      <c r="G309" s="15"/>
      <c r="H309" s="15"/>
      <c r="I309" s="15"/>
      <c r="J309" s="15"/>
    </row>
    <row r="310" spans="1:10">
      <c r="A310" s="15"/>
      <c r="B310" s="15"/>
      <c r="C310" s="15"/>
      <c r="D310" s="15"/>
      <c r="E310" s="120"/>
      <c r="F310" s="15"/>
      <c r="G310" s="15"/>
      <c r="H310" s="15"/>
      <c r="I310" s="15"/>
      <c r="J310" s="15"/>
    </row>
    <row r="311" spans="1:10">
      <c r="A311" s="15"/>
      <c r="B311" s="15"/>
      <c r="C311" s="15"/>
      <c r="D311" s="15"/>
      <c r="E311" s="120"/>
      <c r="F311" s="15"/>
      <c r="G311" s="15"/>
      <c r="H311" s="15"/>
      <c r="I311" s="15"/>
      <c r="J311" s="15"/>
    </row>
    <row r="312" spans="1:10">
      <c r="A312" s="15"/>
      <c r="B312" s="15"/>
      <c r="C312" s="15"/>
      <c r="D312" s="15"/>
      <c r="E312" s="120"/>
      <c r="F312" s="15"/>
      <c r="G312" s="15"/>
      <c r="H312" s="15"/>
      <c r="I312" s="15"/>
      <c r="J312" s="15"/>
    </row>
    <row r="313" spans="1:10">
      <c r="E313" s="19"/>
    </row>
    <row r="314" spans="1:10">
      <c r="E314" s="19"/>
    </row>
    <row r="315" spans="1:10">
      <c r="E315" s="19"/>
    </row>
    <row r="316" spans="1:10">
      <c r="E316" s="19"/>
    </row>
    <row r="317" spans="1:10">
      <c r="E317" s="19"/>
    </row>
    <row r="318" spans="1:10">
      <c r="E318" s="19"/>
    </row>
    <row r="319" spans="1:10">
      <c r="E319" s="19"/>
    </row>
    <row r="320" spans="1:10">
      <c r="E320" s="19"/>
    </row>
    <row r="321" spans="5:5">
      <c r="E321" s="19"/>
    </row>
    <row r="322" spans="5:5">
      <c r="E322" s="19"/>
    </row>
    <row r="323" spans="5:5">
      <c r="E323" s="19"/>
    </row>
    <row r="324" spans="5:5">
      <c r="E324" s="19"/>
    </row>
    <row r="325" spans="5:5">
      <c r="E325" s="19"/>
    </row>
    <row r="326" spans="5:5">
      <c r="E326" s="19"/>
    </row>
    <row r="327" spans="5:5">
      <c r="E327" s="19"/>
    </row>
    <row r="328" spans="5:5">
      <c r="E328" s="19"/>
    </row>
    <row r="329" spans="5:5">
      <c r="E329" s="19"/>
    </row>
    <row r="330" spans="5:5">
      <c r="E330" s="19"/>
    </row>
    <row r="331" spans="5:5">
      <c r="E331" s="19"/>
    </row>
    <row r="332" spans="5:5">
      <c r="E332" s="19"/>
    </row>
    <row r="333" spans="5:5">
      <c r="E333" s="19"/>
    </row>
    <row r="334" spans="5:5">
      <c r="E334" s="19"/>
    </row>
    <row r="335" spans="5:5">
      <c r="E335" s="19"/>
    </row>
    <row r="336" spans="5:5">
      <c r="E336" s="19"/>
    </row>
    <row r="337" spans="5:5">
      <c r="E337" s="19"/>
    </row>
    <row r="338" spans="5:5">
      <c r="E338" s="19"/>
    </row>
    <row r="339" spans="5:5">
      <c r="E339" s="19"/>
    </row>
    <row r="340" spans="5:5">
      <c r="E340" s="19"/>
    </row>
    <row r="341" spans="5:5">
      <c r="E341" s="19"/>
    </row>
    <row r="342" spans="5:5">
      <c r="E342" s="19"/>
    </row>
    <row r="343" spans="5:5">
      <c r="E343" s="19"/>
    </row>
    <row r="344" spans="5:5">
      <c r="E344" s="19"/>
    </row>
    <row r="345" spans="5:5">
      <c r="E345" s="19"/>
    </row>
    <row r="346" spans="5:5">
      <c r="E346" s="19"/>
    </row>
    <row r="347" spans="5:5">
      <c r="E347" s="19"/>
    </row>
    <row r="348" spans="5:5">
      <c r="E348" s="19"/>
    </row>
    <row r="349" spans="5:5">
      <c r="E349" s="19"/>
    </row>
    <row r="350" spans="5:5">
      <c r="E350" s="19"/>
    </row>
    <row r="351" spans="5:5">
      <c r="E351" s="19"/>
    </row>
    <row r="352" spans="5:5">
      <c r="E352" s="19"/>
    </row>
    <row r="353" spans="5:5">
      <c r="E353" s="19"/>
    </row>
    <row r="354" spans="5:5">
      <c r="E354" s="19"/>
    </row>
    <row r="355" spans="5:5">
      <c r="E355" s="19"/>
    </row>
    <row r="356" spans="5:5">
      <c r="E356" s="19"/>
    </row>
    <row r="357" spans="5:5">
      <c r="E357" s="19"/>
    </row>
    <row r="358" spans="5:5">
      <c r="E358" s="19"/>
    </row>
    <row r="359" spans="5:5">
      <c r="E359" s="19"/>
    </row>
    <row r="360" spans="5:5">
      <c r="E360" s="19"/>
    </row>
    <row r="361" spans="5:5">
      <c r="E361" s="19"/>
    </row>
    <row r="362" spans="5:5">
      <c r="E362" s="19"/>
    </row>
    <row r="363" spans="5:5">
      <c r="E363" s="19"/>
    </row>
    <row r="364" spans="5:5">
      <c r="E364" s="19"/>
    </row>
    <row r="365" spans="5:5">
      <c r="E365" s="19"/>
    </row>
    <row r="366" spans="5:5">
      <c r="E366" s="19"/>
    </row>
    <row r="367" spans="5:5">
      <c r="E367" s="19"/>
    </row>
    <row r="368" spans="5:5">
      <c r="E368" s="19"/>
    </row>
    <row r="369" spans="5:5">
      <c r="E369" s="19"/>
    </row>
    <row r="370" spans="5:5">
      <c r="E370" s="19"/>
    </row>
    <row r="371" spans="5:5">
      <c r="E371" s="19"/>
    </row>
    <row r="372" spans="5:5">
      <c r="E372" s="19"/>
    </row>
    <row r="373" spans="5:5">
      <c r="E373" s="19"/>
    </row>
    <row r="374" spans="5:5">
      <c r="E374" s="19"/>
    </row>
    <row r="375" spans="5:5">
      <c r="E375" s="19"/>
    </row>
    <row r="376" spans="5:5">
      <c r="E376" s="19"/>
    </row>
    <row r="377" spans="5:5">
      <c r="E377" s="19"/>
    </row>
    <row r="378" spans="5:5">
      <c r="E378" s="19"/>
    </row>
    <row r="379" spans="5:5">
      <c r="E379" s="19"/>
    </row>
    <row r="380" spans="5:5">
      <c r="E380" s="19"/>
    </row>
    <row r="381" spans="5:5">
      <c r="E381" s="19"/>
    </row>
    <row r="382" spans="5:5">
      <c r="E382" s="19"/>
    </row>
    <row r="383" spans="5:5">
      <c r="E383" s="19"/>
    </row>
    <row r="384" spans="5:5">
      <c r="E384" s="19"/>
    </row>
    <row r="385" spans="5:5">
      <c r="E385" s="19"/>
    </row>
    <row r="386" spans="5:5">
      <c r="E386" s="19"/>
    </row>
    <row r="387" spans="5:5">
      <c r="E387" s="19"/>
    </row>
    <row r="388" spans="5:5">
      <c r="E388" s="19"/>
    </row>
    <row r="389" spans="5:5">
      <c r="E389" s="19"/>
    </row>
    <row r="390" spans="5:5">
      <c r="E390" s="19"/>
    </row>
    <row r="391" spans="5:5">
      <c r="E391" s="19"/>
    </row>
    <row r="392" spans="5:5">
      <c r="E392" s="19"/>
    </row>
    <row r="393" spans="5:5">
      <c r="E393" s="19"/>
    </row>
    <row r="394" spans="5:5">
      <c r="E394" s="19"/>
    </row>
    <row r="395" spans="5:5">
      <c r="E395" s="19"/>
    </row>
    <row r="396" spans="5:5">
      <c r="E396" s="19"/>
    </row>
    <row r="397" spans="5:5">
      <c r="E397" s="19"/>
    </row>
    <row r="398" spans="5:5">
      <c r="E398" s="19"/>
    </row>
    <row r="399" spans="5:5">
      <c r="E399" s="19"/>
    </row>
    <row r="400" spans="5:5">
      <c r="E400" s="19"/>
    </row>
    <row r="401" spans="5:5">
      <c r="E401" s="19"/>
    </row>
    <row r="402" spans="5:5">
      <c r="E402" s="19"/>
    </row>
    <row r="403" spans="5:5">
      <c r="E403" s="19"/>
    </row>
    <row r="404" spans="5:5">
      <c r="E404" s="19"/>
    </row>
    <row r="405" spans="5:5">
      <c r="E405" s="19"/>
    </row>
    <row r="406" spans="5:5">
      <c r="E406" s="19"/>
    </row>
    <row r="407" spans="5:5">
      <c r="E407" s="19"/>
    </row>
    <row r="408" spans="5:5">
      <c r="E408" s="19"/>
    </row>
    <row r="409" spans="5:5">
      <c r="E409" s="19"/>
    </row>
    <row r="410" spans="5:5">
      <c r="E410" s="19"/>
    </row>
    <row r="411" spans="5:5">
      <c r="E411" s="19"/>
    </row>
    <row r="412" spans="5:5">
      <c r="E412" s="19"/>
    </row>
    <row r="413" spans="5:5">
      <c r="E413" s="19"/>
    </row>
    <row r="414" spans="5:5">
      <c r="E414" s="19"/>
    </row>
    <row r="415" spans="5:5">
      <c r="E415" s="19"/>
    </row>
    <row r="416" spans="5:5">
      <c r="E416" s="19"/>
    </row>
    <row r="417" spans="5:5">
      <c r="E417" s="19"/>
    </row>
    <row r="418" spans="5:5">
      <c r="E418" s="19"/>
    </row>
    <row r="419" spans="5:5">
      <c r="E419" s="19"/>
    </row>
    <row r="420" spans="5:5">
      <c r="E420" s="19"/>
    </row>
    <row r="421" spans="5:5">
      <c r="E421" s="19"/>
    </row>
    <row r="422" spans="5:5">
      <c r="E422" s="19"/>
    </row>
    <row r="423" spans="5:5">
      <c r="E423" s="19"/>
    </row>
    <row r="424" spans="5:5">
      <c r="E424" s="19"/>
    </row>
    <row r="425" spans="5:5">
      <c r="E425" s="19"/>
    </row>
    <row r="426" spans="5:5">
      <c r="E426" s="19"/>
    </row>
    <row r="427" spans="5:5">
      <c r="E427" s="19"/>
    </row>
    <row r="428" spans="5:5">
      <c r="E428" s="19"/>
    </row>
    <row r="429" spans="5:5">
      <c r="E429" s="19"/>
    </row>
    <row r="430" spans="5:5">
      <c r="E430" s="19"/>
    </row>
    <row r="431" spans="5:5">
      <c r="E431" s="19"/>
    </row>
    <row r="432" spans="5:5">
      <c r="E432" s="19"/>
    </row>
    <row r="433" spans="5:5">
      <c r="E433" s="19"/>
    </row>
    <row r="434" spans="5:5">
      <c r="E434" s="19"/>
    </row>
    <row r="435" spans="5:5">
      <c r="E435" s="19"/>
    </row>
    <row r="436" spans="5:5">
      <c r="E436" s="19"/>
    </row>
    <row r="437" spans="5:5">
      <c r="E437" s="19"/>
    </row>
    <row r="438" spans="5:5">
      <c r="E438" s="19"/>
    </row>
    <row r="439" spans="5:5">
      <c r="E439" s="19"/>
    </row>
    <row r="440" spans="5:5">
      <c r="E440" s="19"/>
    </row>
    <row r="441" spans="5:5">
      <c r="E441" s="19"/>
    </row>
    <row r="442" spans="5:5">
      <c r="E442" s="19"/>
    </row>
    <row r="443" spans="5:5">
      <c r="E443" s="19"/>
    </row>
    <row r="444" spans="5:5">
      <c r="E444" s="19"/>
    </row>
    <row r="445" spans="5:5">
      <c r="E445" s="19"/>
    </row>
    <row r="446" spans="5:5">
      <c r="E446" s="19"/>
    </row>
    <row r="447" spans="5:5">
      <c r="E447" s="19"/>
    </row>
    <row r="448" spans="5:5">
      <c r="E448" s="19"/>
    </row>
    <row r="449" spans="5:5">
      <c r="E449" s="19"/>
    </row>
    <row r="450" spans="5:5">
      <c r="E450" s="19"/>
    </row>
    <row r="451" spans="5:5">
      <c r="E451" s="19"/>
    </row>
    <row r="452" spans="5:5">
      <c r="E452" s="19"/>
    </row>
    <row r="453" spans="5:5">
      <c r="E453" s="19"/>
    </row>
    <row r="454" spans="5:5">
      <c r="E454" s="19"/>
    </row>
    <row r="455" spans="5:5">
      <c r="E455" s="19"/>
    </row>
    <row r="456" spans="5:5">
      <c r="E456" s="19"/>
    </row>
    <row r="457" spans="5:5">
      <c r="E457" s="19"/>
    </row>
    <row r="458" spans="5:5">
      <c r="E458" s="19"/>
    </row>
    <row r="459" spans="5:5">
      <c r="E459" s="19"/>
    </row>
    <row r="460" spans="5:5">
      <c r="E460" s="19"/>
    </row>
    <row r="461" spans="5:5">
      <c r="E461" s="19"/>
    </row>
    <row r="462" spans="5:5">
      <c r="E462" s="19"/>
    </row>
    <row r="463" spans="5:5">
      <c r="E463" s="19"/>
    </row>
    <row r="464" spans="5:5">
      <c r="E464" s="19"/>
    </row>
    <row r="465" spans="5:5">
      <c r="E465" s="19"/>
    </row>
    <row r="466" spans="5:5">
      <c r="E466" s="19"/>
    </row>
    <row r="467" spans="5:5">
      <c r="E467" s="19"/>
    </row>
    <row r="468" spans="5:5">
      <c r="E468" s="19"/>
    </row>
    <row r="469" spans="5:5">
      <c r="E469" s="19"/>
    </row>
    <row r="470" spans="5:5">
      <c r="E470" s="19"/>
    </row>
    <row r="471" spans="5:5">
      <c r="E471" s="19"/>
    </row>
    <row r="472" spans="5:5">
      <c r="E472" s="19"/>
    </row>
    <row r="473" spans="5:5">
      <c r="E473" s="19"/>
    </row>
    <row r="474" spans="5:5">
      <c r="E474" s="19"/>
    </row>
    <row r="475" spans="5:5">
      <c r="E475" s="19"/>
    </row>
    <row r="476" spans="5:5">
      <c r="E476" s="19"/>
    </row>
    <row r="477" spans="5:5">
      <c r="E477" s="19"/>
    </row>
    <row r="478" spans="5:5">
      <c r="E478" s="19"/>
    </row>
    <row r="479" spans="5:5">
      <c r="E479" s="19"/>
    </row>
    <row r="480" spans="5:5">
      <c r="E480" s="19"/>
    </row>
    <row r="481" spans="5:5">
      <c r="E481" s="19"/>
    </row>
    <row r="482" spans="5:5">
      <c r="E482" s="19"/>
    </row>
    <row r="483" spans="5:5">
      <c r="E483" s="19"/>
    </row>
    <row r="484" spans="5:5">
      <c r="E484" s="19"/>
    </row>
    <row r="485" spans="5:5">
      <c r="E485" s="19"/>
    </row>
    <row r="486" spans="5:5">
      <c r="E486" s="19"/>
    </row>
    <row r="487" spans="5:5">
      <c r="E487" s="19"/>
    </row>
    <row r="488" spans="5:5">
      <c r="E488" s="19"/>
    </row>
    <row r="489" spans="5:5">
      <c r="E489" s="19"/>
    </row>
    <row r="490" spans="5:5">
      <c r="E490" s="19"/>
    </row>
    <row r="491" spans="5:5">
      <c r="E491" s="19"/>
    </row>
    <row r="492" spans="5:5">
      <c r="E492" s="19"/>
    </row>
    <row r="493" spans="5:5">
      <c r="E493" s="19"/>
    </row>
    <row r="494" spans="5:5">
      <c r="E494" s="19"/>
    </row>
    <row r="495" spans="5:5">
      <c r="E495" s="19"/>
    </row>
    <row r="496" spans="5:5">
      <c r="E496" s="19"/>
    </row>
    <row r="497" spans="5:5">
      <c r="E497" s="19"/>
    </row>
    <row r="498" spans="5:5">
      <c r="E498" s="19"/>
    </row>
    <row r="499" spans="5:5">
      <c r="E499" s="19"/>
    </row>
    <row r="500" spans="5:5">
      <c r="E500" s="19"/>
    </row>
    <row r="501" spans="5:5">
      <c r="E501" s="19"/>
    </row>
    <row r="502" spans="5:5">
      <c r="E502" s="19"/>
    </row>
    <row r="503" spans="5:5">
      <c r="E503" s="19"/>
    </row>
    <row r="504" spans="5:5">
      <c r="E504" s="19"/>
    </row>
    <row r="505" spans="5:5">
      <c r="E505" s="19"/>
    </row>
    <row r="506" spans="5:5">
      <c r="E506" s="19"/>
    </row>
    <row r="507" spans="5:5">
      <c r="E507" s="19"/>
    </row>
    <row r="508" spans="5:5">
      <c r="E508" s="19"/>
    </row>
    <row r="509" spans="5:5">
      <c r="E509" s="19"/>
    </row>
    <row r="510" spans="5:5">
      <c r="E510" s="19"/>
    </row>
    <row r="511" spans="5:5">
      <c r="E511" s="19"/>
    </row>
    <row r="512" spans="5:5">
      <c r="E512" s="19"/>
    </row>
    <row r="513" spans="5:5">
      <c r="E513" s="19"/>
    </row>
    <row r="514" spans="5:5">
      <c r="E514" s="19"/>
    </row>
    <row r="515" spans="5:5">
      <c r="E515" s="19"/>
    </row>
    <row r="516" spans="5:5">
      <c r="E516" s="19"/>
    </row>
    <row r="517" spans="5:5">
      <c r="E517" s="19"/>
    </row>
    <row r="518" spans="5:5">
      <c r="E518" s="19"/>
    </row>
    <row r="519" spans="5:5">
      <c r="E519" s="19"/>
    </row>
    <row r="520" spans="5:5">
      <c r="E520" s="19"/>
    </row>
    <row r="521" spans="5:5">
      <c r="E521" s="19"/>
    </row>
    <row r="522" spans="5:5">
      <c r="E522" s="19"/>
    </row>
    <row r="523" spans="5:5">
      <c r="E523" s="19"/>
    </row>
    <row r="524" spans="5:5">
      <c r="E524" s="19"/>
    </row>
    <row r="525" spans="5:5">
      <c r="E525" s="19"/>
    </row>
    <row r="526" spans="5:5">
      <c r="E526" s="19"/>
    </row>
    <row r="527" spans="5:5">
      <c r="E527" s="19"/>
    </row>
    <row r="528" spans="5:5">
      <c r="E528" s="19"/>
    </row>
    <row r="529" spans="5:5">
      <c r="E529" s="19"/>
    </row>
    <row r="530" spans="5:5">
      <c r="E530" s="19"/>
    </row>
    <row r="531" spans="5:5">
      <c r="E531" s="19"/>
    </row>
    <row r="532" spans="5:5">
      <c r="E532" s="19"/>
    </row>
    <row r="533" spans="5:5">
      <c r="E533" s="19"/>
    </row>
    <row r="534" spans="5:5">
      <c r="E534" s="19"/>
    </row>
    <row r="535" spans="5:5">
      <c r="E535" s="19"/>
    </row>
    <row r="536" spans="5:5">
      <c r="E536" s="19"/>
    </row>
    <row r="537" spans="5:5">
      <c r="E537" s="19"/>
    </row>
    <row r="538" spans="5:5">
      <c r="E538" s="19"/>
    </row>
    <row r="539" spans="5:5">
      <c r="E539" s="19"/>
    </row>
    <row r="540" spans="5:5">
      <c r="E540" s="19"/>
    </row>
    <row r="541" spans="5:5">
      <c r="E541" s="19"/>
    </row>
    <row r="542" spans="5:5">
      <c r="E542" s="19"/>
    </row>
    <row r="543" spans="5:5">
      <c r="E543" s="19"/>
    </row>
    <row r="544" spans="5:5">
      <c r="E544" s="19"/>
    </row>
    <row r="545" spans="5:5">
      <c r="E545" s="19"/>
    </row>
    <row r="546" spans="5:5">
      <c r="E546" s="19"/>
    </row>
    <row r="547" spans="5:5">
      <c r="E547" s="19"/>
    </row>
    <row r="548" spans="5:5">
      <c r="E548" s="19"/>
    </row>
    <row r="549" spans="5:5">
      <c r="E549" s="19"/>
    </row>
    <row r="550" spans="5:5">
      <c r="E550" s="19"/>
    </row>
    <row r="551" spans="5:5">
      <c r="E551" s="19"/>
    </row>
    <row r="552" spans="5:5">
      <c r="E552" s="19"/>
    </row>
    <row r="553" spans="5:5">
      <c r="E553" s="19"/>
    </row>
    <row r="554" spans="5:5">
      <c r="E554" s="19"/>
    </row>
    <row r="555" spans="5:5">
      <c r="E555" s="19"/>
    </row>
    <row r="556" spans="5:5">
      <c r="E556" s="19"/>
    </row>
    <row r="557" spans="5:5">
      <c r="E557" s="19"/>
    </row>
    <row r="558" spans="5:5">
      <c r="E558" s="19"/>
    </row>
    <row r="559" spans="5:5">
      <c r="E559" s="19"/>
    </row>
    <row r="560" spans="5:5">
      <c r="E560" s="19"/>
    </row>
    <row r="561" spans="5:5">
      <c r="E561" s="19"/>
    </row>
    <row r="562" spans="5:5">
      <c r="E562" s="19"/>
    </row>
    <row r="563" spans="5:5">
      <c r="E563" s="19"/>
    </row>
    <row r="564" spans="5:5">
      <c r="E564" s="19"/>
    </row>
    <row r="565" spans="5:5">
      <c r="E565" s="19"/>
    </row>
    <row r="566" spans="5:5">
      <c r="E566" s="19"/>
    </row>
    <row r="567" spans="5:5">
      <c r="E567" s="19"/>
    </row>
    <row r="568" spans="5:5">
      <c r="E568" s="19"/>
    </row>
    <row r="569" spans="5:5">
      <c r="E569" s="19"/>
    </row>
    <row r="570" spans="5:5">
      <c r="E570" s="19"/>
    </row>
    <row r="571" spans="5:5">
      <c r="E571" s="19"/>
    </row>
    <row r="572" spans="5:5">
      <c r="E572" s="19"/>
    </row>
    <row r="573" spans="5:5">
      <c r="E573" s="19"/>
    </row>
    <row r="574" spans="5:5">
      <c r="E574" s="19"/>
    </row>
    <row r="575" spans="5:5">
      <c r="E575" s="19"/>
    </row>
    <row r="576" spans="5:5">
      <c r="E576" s="19"/>
    </row>
    <row r="577" spans="5:5">
      <c r="E577" s="19"/>
    </row>
    <row r="578" spans="5:5">
      <c r="E578" s="19"/>
    </row>
    <row r="579" spans="5:5">
      <c r="E579" s="19"/>
    </row>
    <row r="580" spans="5:5">
      <c r="E580" s="19"/>
    </row>
    <row r="581" spans="5:5">
      <c r="E581" s="19"/>
    </row>
    <row r="582" spans="5:5">
      <c r="E582" s="19"/>
    </row>
    <row r="583" spans="5:5">
      <c r="E583" s="19"/>
    </row>
    <row r="584" spans="5:5">
      <c r="E584" s="19"/>
    </row>
    <row r="585" spans="5:5">
      <c r="E585" s="19"/>
    </row>
    <row r="586" spans="5:5">
      <c r="E586" s="19"/>
    </row>
    <row r="587" spans="5:5">
      <c r="E587" s="19"/>
    </row>
    <row r="588" spans="5:5">
      <c r="E588" s="19"/>
    </row>
    <row r="589" spans="5:5">
      <c r="E589" s="19"/>
    </row>
    <row r="590" spans="5:5">
      <c r="E590" s="19"/>
    </row>
    <row r="591" spans="5:5">
      <c r="E591" s="19"/>
    </row>
    <row r="592" spans="5:5">
      <c r="E592" s="19"/>
    </row>
    <row r="593" spans="5:5">
      <c r="E593" s="19"/>
    </row>
    <row r="594" spans="5:5">
      <c r="E594" s="19"/>
    </row>
    <row r="595" spans="5:5">
      <c r="E595" s="19"/>
    </row>
    <row r="596" spans="5:5">
      <c r="E596" s="19"/>
    </row>
    <row r="597" spans="5:5">
      <c r="E597" s="19"/>
    </row>
    <row r="598" spans="5:5">
      <c r="E598" s="19"/>
    </row>
    <row r="599" spans="5:5">
      <c r="E599" s="19"/>
    </row>
    <row r="600" spans="5:5">
      <c r="E600" s="19"/>
    </row>
    <row r="601" spans="5:5">
      <c r="E601" s="19"/>
    </row>
    <row r="602" spans="5:5">
      <c r="E602" s="19"/>
    </row>
    <row r="603" spans="5:5">
      <c r="E603" s="19"/>
    </row>
    <row r="604" spans="5:5">
      <c r="E604" s="19"/>
    </row>
    <row r="605" spans="5:5">
      <c r="E605" s="19"/>
    </row>
    <row r="606" spans="5:5">
      <c r="E606" s="19"/>
    </row>
    <row r="607" spans="5:5">
      <c r="E607" s="19"/>
    </row>
    <row r="608" spans="5:5">
      <c r="E608" s="19"/>
    </row>
    <row r="609" spans="5:5">
      <c r="E609" s="19"/>
    </row>
    <row r="610" spans="5:5">
      <c r="E610" s="19"/>
    </row>
    <row r="611" spans="5:5">
      <c r="E611" s="19"/>
    </row>
    <row r="612" spans="5:5">
      <c r="E612" s="19"/>
    </row>
    <row r="613" spans="5:5">
      <c r="E613" s="19"/>
    </row>
    <row r="614" spans="5:5">
      <c r="E614" s="19"/>
    </row>
    <row r="615" spans="5:5">
      <c r="E615" s="19"/>
    </row>
    <row r="616" spans="5:5">
      <c r="E616" s="19"/>
    </row>
    <row r="617" spans="5:5">
      <c r="E617" s="19"/>
    </row>
    <row r="618" spans="5:5">
      <c r="E618" s="19"/>
    </row>
    <row r="619" spans="5:5">
      <c r="E619" s="19"/>
    </row>
    <row r="620" spans="5:5">
      <c r="E620" s="19"/>
    </row>
    <row r="621" spans="5:5">
      <c r="E621" s="19"/>
    </row>
    <row r="622" spans="5:5">
      <c r="E622" s="19"/>
    </row>
    <row r="623" spans="5:5">
      <c r="E623" s="19"/>
    </row>
    <row r="624" spans="5:5">
      <c r="E624" s="19"/>
    </row>
    <row r="625" spans="5:5">
      <c r="E625" s="19"/>
    </row>
    <row r="626" spans="5:5">
      <c r="E626" s="19"/>
    </row>
    <row r="627" spans="5:5">
      <c r="E627" s="19"/>
    </row>
    <row r="628" spans="5:5">
      <c r="E628" s="19"/>
    </row>
    <row r="629" spans="5:5">
      <c r="E629" s="19"/>
    </row>
    <row r="630" spans="5:5">
      <c r="E630" s="19"/>
    </row>
    <row r="631" spans="5:5">
      <c r="E631" s="19"/>
    </row>
    <row r="632" spans="5:5">
      <c r="E632" s="19"/>
    </row>
    <row r="633" spans="5:5">
      <c r="E633" s="19"/>
    </row>
    <row r="634" spans="5:5">
      <c r="E634" s="19"/>
    </row>
    <row r="635" spans="5:5">
      <c r="E635" s="19"/>
    </row>
    <row r="636" spans="5:5">
      <c r="E636" s="19"/>
    </row>
    <row r="637" spans="5:5">
      <c r="E637" s="19"/>
    </row>
    <row r="638" spans="5:5">
      <c r="E638" s="19"/>
    </row>
    <row r="639" spans="5:5">
      <c r="E639" s="19"/>
    </row>
    <row r="640" spans="5:5">
      <c r="E640" s="19"/>
    </row>
    <row r="641" spans="5:5">
      <c r="E641" s="19"/>
    </row>
    <row r="642" spans="5:5">
      <c r="E642" s="19"/>
    </row>
    <row r="643" spans="5:5">
      <c r="E643" s="19"/>
    </row>
    <row r="644" spans="5:5">
      <c r="E644" s="19"/>
    </row>
    <row r="645" spans="5:5">
      <c r="E645" s="19"/>
    </row>
    <row r="646" spans="5:5">
      <c r="E646" s="19"/>
    </row>
    <row r="647" spans="5:5">
      <c r="E647" s="19"/>
    </row>
    <row r="648" spans="5:5">
      <c r="E648" s="19"/>
    </row>
    <row r="649" spans="5:5">
      <c r="E649" s="19"/>
    </row>
    <row r="650" spans="5:5">
      <c r="E650" s="19"/>
    </row>
    <row r="651" spans="5:5">
      <c r="E651" s="19"/>
    </row>
    <row r="652" spans="5:5">
      <c r="E652" s="19"/>
    </row>
    <row r="653" spans="5:5">
      <c r="E653" s="19"/>
    </row>
    <row r="654" spans="5:5">
      <c r="E654" s="19"/>
    </row>
    <row r="655" spans="5:5">
      <c r="E655" s="19"/>
    </row>
    <row r="656" spans="5:5">
      <c r="E656" s="19"/>
    </row>
    <row r="657" spans="5:5">
      <c r="E657" s="19"/>
    </row>
    <row r="658" spans="5:5">
      <c r="E658" s="19"/>
    </row>
    <row r="659" spans="5:5">
      <c r="E659" s="19"/>
    </row>
    <row r="660" spans="5:5">
      <c r="E660" s="19"/>
    </row>
    <row r="661" spans="5:5">
      <c r="E661" s="19"/>
    </row>
    <row r="662" spans="5:5">
      <c r="E662" s="19"/>
    </row>
    <row r="663" spans="5:5">
      <c r="E663" s="19"/>
    </row>
    <row r="664" spans="5:5">
      <c r="E664" s="19"/>
    </row>
    <row r="665" spans="5:5">
      <c r="E665" s="19"/>
    </row>
    <row r="666" spans="5:5">
      <c r="E666" s="19"/>
    </row>
    <row r="667" spans="5:5">
      <c r="E667" s="19"/>
    </row>
    <row r="668" spans="5:5">
      <c r="E668" s="19"/>
    </row>
    <row r="669" spans="5:5">
      <c r="E669" s="19"/>
    </row>
    <row r="670" spans="5:5">
      <c r="E670" s="19"/>
    </row>
    <row r="671" spans="5:5">
      <c r="E671" s="19"/>
    </row>
    <row r="672" spans="5:5">
      <c r="E672" s="19"/>
    </row>
    <row r="673" spans="5:5">
      <c r="E673" s="19"/>
    </row>
    <row r="674" spans="5:5">
      <c r="E674" s="19"/>
    </row>
    <row r="675" spans="5:5">
      <c r="E675" s="19"/>
    </row>
    <row r="676" spans="5:5">
      <c r="E676" s="19"/>
    </row>
    <row r="677" spans="5:5">
      <c r="E677" s="19"/>
    </row>
    <row r="678" spans="5:5">
      <c r="E678" s="19"/>
    </row>
    <row r="679" spans="5:5">
      <c r="E679" s="19"/>
    </row>
    <row r="680" spans="5:5">
      <c r="E680" s="19"/>
    </row>
    <row r="681" spans="5:5">
      <c r="E681" s="19"/>
    </row>
    <row r="682" spans="5:5">
      <c r="E682" s="19"/>
    </row>
    <row r="683" spans="5:5">
      <c r="E683" s="19"/>
    </row>
    <row r="684" spans="5:5">
      <c r="E684" s="19"/>
    </row>
    <row r="685" spans="5:5">
      <c r="E685" s="19"/>
    </row>
    <row r="686" spans="5:5">
      <c r="E686" s="19"/>
    </row>
    <row r="687" spans="5:5">
      <c r="E687" s="19"/>
    </row>
    <row r="688" spans="5:5">
      <c r="E688" s="19"/>
    </row>
    <row r="689" spans="5:5">
      <c r="E689" s="19"/>
    </row>
    <row r="690" spans="5:5">
      <c r="E690" s="19"/>
    </row>
    <row r="691" spans="5:5">
      <c r="E691" s="19"/>
    </row>
    <row r="692" spans="5:5">
      <c r="E692" s="19"/>
    </row>
    <row r="693" spans="5:5">
      <c r="E693" s="19"/>
    </row>
    <row r="694" spans="5:5">
      <c r="E694" s="19"/>
    </row>
    <row r="695" spans="5:5">
      <c r="E695" s="19"/>
    </row>
    <row r="696" spans="5:5">
      <c r="E696" s="19"/>
    </row>
    <row r="697" spans="5:5">
      <c r="E697" s="19"/>
    </row>
    <row r="698" spans="5:5">
      <c r="E698" s="19"/>
    </row>
    <row r="699" spans="5:5">
      <c r="E699" s="19"/>
    </row>
    <row r="700" spans="5:5">
      <c r="E700" s="19"/>
    </row>
    <row r="701" spans="5:5">
      <c r="E701" s="19"/>
    </row>
    <row r="702" spans="5:5">
      <c r="E702" s="19"/>
    </row>
    <row r="703" spans="5:5">
      <c r="E703" s="19"/>
    </row>
    <row r="704" spans="5:5">
      <c r="E704" s="19"/>
    </row>
    <row r="705" spans="5:5">
      <c r="E705" s="19"/>
    </row>
    <row r="706" spans="5:5">
      <c r="E706" s="19"/>
    </row>
    <row r="707" spans="5:5">
      <c r="E707" s="19"/>
    </row>
    <row r="708" spans="5:5">
      <c r="E708" s="19"/>
    </row>
    <row r="709" spans="5:5">
      <c r="E709" s="19"/>
    </row>
    <row r="710" spans="5:5">
      <c r="E710" s="19"/>
    </row>
    <row r="711" spans="5:5">
      <c r="E711" s="19"/>
    </row>
    <row r="712" spans="5:5">
      <c r="E712" s="19"/>
    </row>
    <row r="713" spans="5:5">
      <c r="E713" s="19"/>
    </row>
    <row r="714" spans="5:5">
      <c r="E714" s="19"/>
    </row>
    <row r="715" spans="5:5">
      <c r="E715" s="19"/>
    </row>
    <row r="716" spans="5:5">
      <c r="E716" s="19"/>
    </row>
    <row r="717" spans="5:5">
      <c r="E717" s="19"/>
    </row>
    <row r="718" spans="5:5">
      <c r="E718" s="19"/>
    </row>
    <row r="719" spans="5:5">
      <c r="E719" s="19"/>
    </row>
    <row r="720" spans="5:5">
      <c r="E720" s="19"/>
    </row>
    <row r="721" spans="5:5">
      <c r="E721" s="19"/>
    </row>
    <row r="722" spans="5:5">
      <c r="E722" s="19"/>
    </row>
    <row r="723" spans="5:5">
      <c r="E723" s="19"/>
    </row>
    <row r="724" spans="5:5">
      <c r="E724" s="19"/>
    </row>
    <row r="725" spans="5:5">
      <c r="E725" s="19"/>
    </row>
    <row r="726" spans="5:5">
      <c r="E726" s="19"/>
    </row>
    <row r="727" spans="5:5">
      <c r="E727" s="19"/>
    </row>
    <row r="728" spans="5:5">
      <c r="E728" s="19"/>
    </row>
    <row r="729" spans="5:5">
      <c r="E729" s="19"/>
    </row>
    <row r="730" spans="5:5">
      <c r="E730" s="19"/>
    </row>
    <row r="731" spans="5:5">
      <c r="E731" s="19"/>
    </row>
    <row r="732" spans="5:5">
      <c r="E732" s="19"/>
    </row>
    <row r="733" spans="5:5">
      <c r="E733" s="19"/>
    </row>
    <row r="734" spans="5:5">
      <c r="E734" s="19"/>
    </row>
    <row r="735" spans="5:5">
      <c r="E735" s="19"/>
    </row>
    <row r="736" spans="5:5">
      <c r="E736" s="19"/>
    </row>
    <row r="737" spans="5:5">
      <c r="E737" s="19"/>
    </row>
    <row r="738" spans="5:5">
      <c r="E738" s="19"/>
    </row>
    <row r="739" spans="5:5">
      <c r="E739" s="19"/>
    </row>
    <row r="740" spans="5:5">
      <c r="E740" s="19"/>
    </row>
    <row r="741" spans="5:5">
      <c r="E741" s="19"/>
    </row>
    <row r="742" spans="5:5">
      <c r="E742" s="19"/>
    </row>
    <row r="743" spans="5:5">
      <c r="E743" s="19"/>
    </row>
    <row r="744" spans="5:5">
      <c r="E744" s="19"/>
    </row>
    <row r="745" spans="5:5">
      <c r="E745" s="19"/>
    </row>
    <row r="746" spans="5:5">
      <c r="E746" s="19"/>
    </row>
    <row r="747" spans="5:5">
      <c r="E747" s="19"/>
    </row>
    <row r="748" spans="5:5">
      <c r="E748" s="19"/>
    </row>
    <row r="749" spans="5:5">
      <c r="E749" s="19"/>
    </row>
    <row r="750" spans="5:5">
      <c r="E750" s="19"/>
    </row>
    <row r="751" spans="5:5">
      <c r="E751" s="19"/>
    </row>
    <row r="752" spans="5:5">
      <c r="E752" s="19"/>
    </row>
    <row r="753" spans="5:5">
      <c r="E753" s="19"/>
    </row>
    <row r="754" spans="5:5">
      <c r="E754" s="19"/>
    </row>
    <row r="755" spans="5:5">
      <c r="E755" s="19"/>
    </row>
    <row r="756" spans="5:5">
      <c r="E756" s="19"/>
    </row>
    <row r="757" spans="5:5">
      <c r="E757" s="19"/>
    </row>
    <row r="758" spans="5:5">
      <c r="E758" s="19"/>
    </row>
    <row r="759" spans="5:5">
      <c r="E759" s="19"/>
    </row>
    <row r="760" spans="5:5">
      <c r="E760" s="19"/>
    </row>
    <row r="761" spans="5:5">
      <c r="E761" s="19"/>
    </row>
    <row r="762" spans="5:5">
      <c r="E762" s="19"/>
    </row>
    <row r="763" spans="5:5">
      <c r="E763" s="19"/>
    </row>
    <row r="764" spans="5:5">
      <c r="E764" s="19"/>
    </row>
    <row r="765" spans="5:5">
      <c r="E765" s="19"/>
    </row>
    <row r="766" spans="5:5">
      <c r="E766" s="19"/>
    </row>
    <row r="767" spans="5:5">
      <c r="E767" s="19"/>
    </row>
    <row r="768" spans="5:5">
      <c r="E768" s="19"/>
    </row>
    <row r="769" spans="5:5">
      <c r="E769" s="19"/>
    </row>
    <row r="770" spans="5:5">
      <c r="E770" s="19"/>
    </row>
    <row r="771" spans="5:5">
      <c r="E771" s="19"/>
    </row>
    <row r="772" spans="5:5">
      <c r="E772" s="19"/>
    </row>
    <row r="773" spans="5:5">
      <c r="E773" s="19"/>
    </row>
    <row r="774" spans="5:5">
      <c r="E774" s="19"/>
    </row>
    <row r="775" spans="5:5">
      <c r="E775" s="19"/>
    </row>
    <row r="776" spans="5:5">
      <c r="E776" s="19"/>
    </row>
    <row r="777" spans="5:5">
      <c r="E777" s="19"/>
    </row>
    <row r="778" spans="5:5">
      <c r="E778" s="19"/>
    </row>
    <row r="779" spans="5:5">
      <c r="E779" s="19"/>
    </row>
    <row r="780" spans="5:5">
      <c r="E780" s="19"/>
    </row>
    <row r="781" spans="5:5">
      <c r="E781" s="19"/>
    </row>
    <row r="782" spans="5:5">
      <c r="E782" s="19"/>
    </row>
    <row r="783" spans="5:5">
      <c r="E783" s="19"/>
    </row>
    <row r="784" spans="5:5">
      <c r="E784" s="19"/>
    </row>
    <row r="785" spans="5:5">
      <c r="E785" s="19"/>
    </row>
    <row r="786" spans="5:5">
      <c r="E786" s="19"/>
    </row>
    <row r="787" spans="5:5">
      <c r="E787" s="19"/>
    </row>
    <row r="788" spans="5:5">
      <c r="E788" s="19"/>
    </row>
    <row r="789" spans="5:5">
      <c r="E789" s="19"/>
    </row>
    <row r="790" spans="5:5">
      <c r="E790" s="19"/>
    </row>
    <row r="791" spans="5:5">
      <c r="E791" s="19"/>
    </row>
    <row r="792" spans="5:5">
      <c r="E792" s="19"/>
    </row>
    <row r="793" spans="5:5">
      <c r="E793" s="19"/>
    </row>
    <row r="794" spans="5:5">
      <c r="E794" s="19"/>
    </row>
    <row r="795" spans="5:5">
      <c r="E795" s="19"/>
    </row>
    <row r="796" spans="5:5">
      <c r="E796" s="19"/>
    </row>
    <row r="797" spans="5:5">
      <c r="E797" s="19"/>
    </row>
    <row r="798" spans="5:5">
      <c r="E798" s="19"/>
    </row>
    <row r="799" spans="5:5">
      <c r="E799" s="19"/>
    </row>
    <row r="800" spans="5:5">
      <c r="E800" s="19"/>
    </row>
    <row r="801" spans="5:5">
      <c r="E801" s="19"/>
    </row>
    <row r="802" spans="5:5">
      <c r="E802" s="19"/>
    </row>
    <row r="803" spans="5:5">
      <c r="E803" s="19"/>
    </row>
    <row r="804" spans="5:5">
      <c r="E804" s="19"/>
    </row>
    <row r="805" spans="5:5">
      <c r="E805" s="19"/>
    </row>
    <row r="806" spans="5:5">
      <c r="E806" s="19"/>
    </row>
    <row r="807" spans="5:5">
      <c r="E807" s="19"/>
    </row>
    <row r="808" spans="5:5">
      <c r="E808" s="19"/>
    </row>
    <row r="809" spans="5:5">
      <c r="E809" s="19"/>
    </row>
    <row r="810" spans="5:5">
      <c r="E810" s="19"/>
    </row>
    <row r="811" spans="5:5">
      <c r="E811" s="19"/>
    </row>
    <row r="812" spans="5:5">
      <c r="E812" s="19"/>
    </row>
    <row r="813" spans="5:5">
      <c r="E813" s="19"/>
    </row>
    <row r="814" spans="5:5">
      <c r="E814" s="19"/>
    </row>
    <row r="815" spans="5:5">
      <c r="E815" s="19"/>
    </row>
    <row r="816" spans="5:5">
      <c r="E816" s="19"/>
    </row>
    <row r="817" spans="5:5">
      <c r="E817" s="19"/>
    </row>
    <row r="818" spans="5:5">
      <c r="E818" s="19"/>
    </row>
    <row r="819" spans="5:5">
      <c r="E819" s="19"/>
    </row>
    <row r="820" spans="5:5">
      <c r="E820" s="19"/>
    </row>
    <row r="821" spans="5:5">
      <c r="E821" s="19"/>
    </row>
    <row r="822" spans="5:5">
      <c r="E822" s="19"/>
    </row>
    <row r="823" spans="5:5">
      <c r="E823" s="19"/>
    </row>
    <row r="824" spans="5:5">
      <c r="E824" s="19"/>
    </row>
    <row r="825" spans="5:5">
      <c r="E825" s="19"/>
    </row>
    <row r="826" spans="5:5">
      <c r="E826" s="19"/>
    </row>
    <row r="827" spans="5:5">
      <c r="E827" s="19"/>
    </row>
    <row r="828" spans="5:5">
      <c r="E828" s="19"/>
    </row>
    <row r="829" spans="5:5">
      <c r="E829" s="19"/>
    </row>
    <row r="830" spans="5:5">
      <c r="E830" s="19"/>
    </row>
    <row r="831" spans="5:5">
      <c r="E831" s="19"/>
    </row>
    <row r="832" spans="5:5">
      <c r="E832" s="19"/>
    </row>
    <row r="833" spans="5:5">
      <c r="E833" s="19"/>
    </row>
    <row r="834" spans="5:5">
      <c r="E834" s="19"/>
    </row>
    <row r="835" spans="5:5">
      <c r="E835" s="19"/>
    </row>
    <row r="836" spans="5:5">
      <c r="E836" s="19"/>
    </row>
    <row r="837" spans="5:5">
      <c r="E837" s="19"/>
    </row>
    <row r="838" spans="5:5">
      <c r="E838" s="19"/>
    </row>
    <row r="839" spans="5:5">
      <c r="E839" s="19"/>
    </row>
    <row r="840" spans="5:5">
      <c r="E840" s="19"/>
    </row>
    <row r="841" spans="5:5">
      <c r="E841" s="19"/>
    </row>
    <row r="842" spans="5:5">
      <c r="E842" s="19"/>
    </row>
    <row r="843" spans="5:5">
      <c r="E843" s="19"/>
    </row>
    <row r="844" spans="5:5">
      <c r="E844" s="19"/>
    </row>
    <row r="845" spans="5:5">
      <c r="E845" s="19"/>
    </row>
    <row r="846" spans="5:5">
      <c r="E846" s="19"/>
    </row>
    <row r="847" spans="5:5">
      <c r="E847" s="19"/>
    </row>
    <row r="848" spans="5:5">
      <c r="E848" s="19"/>
    </row>
    <row r="849" spans="5:5">
      <c r="E849" s="19"/>
    </row>
    <row r="850" spans="5:5">
      <c r="E850" s="19"/>
    </row>
    <row r="851" spans="5:5">
      <c r="E851" s="19"/>
    </row>
    <row r="852" spans="5:5">
      <c r="E852" s="19"/>
    </row>
    <row r="853" spans="5:5">
      <c r="E853" s="19"/>
    </row>
    <row r="854" spans="5:5">
      <c r="E854" s="19"/>
    </row>
    <row r="855" spans="5:5">
      <c r="E855" s="19"/>
    </row>
    <row r="856" spans="5:5">
      <c r="E856" s="19"/>
    </row>
    <row r="857" spans="5:5">
      <c r="E857" s="19"/>
    </row>
    <row r="858" spans="5:5">
      <c r="E858" s="19"/>
    </row>
  </sheetData>
  <conditionalFormatting sqref="G229:G237 F229:F234 F236:F237 F227:J227 H237:K237 H229:H231 E238:J238 H233:H236 I229:J236 F212:J220">
    <cfRule type="expression" dxfId="13" priority="1">
      <formula>#REF!=0</formula>
    </cfRule>
  </conditionalFormatting>
  <printOptions headings="1"/>
  <pageMargins left="0.23622047244094491" right="0.27559055118110237" top="0.74803149606299213" bottom="0.74803149606299213" header="0.31496062992125984" footer="0.31496062992125984"/>
  <pageSetup paperSize="8" scale="53" fitToHeight="0" orientation="portrait" r:id="rId1"/>
  <drawing r:id="rId2"/>
  <legacyDrawing r:id="rId3"/>
</worksheet>
</file>

<file path=xl/worksheets/sheet8.xml><?xml version="1.0" encoding="utf-8"?>
<worksheet xmlns="http://schemas.openxmlformats.org/spreadsheetml/2006/main" xmlns:r="http://schemas.openxmlformats.org/officeDocument/2006/relationships">
  <sheetPr codeName="Sheet43">
    <tabColor theme="9" tint="0.79998168889431442"/>
    <pageSetUpPr fitToPage="1"/>
  </sheetPr>
  <dimension ref="A1:Z858"/>
  <sheetViews>
    <sheetView zoomScaleNormal="100" workbookViewId="0"/>
  </sheetViews>
  <sheetFormatPr defaultRowHeight="15"/>
  <cols>
    <col min="1" max="2" width="4.140625" style="22" customWidth="1"/>
    <col min="3" max="3" width="47.5703125" style="22" customWidth="1"/>
    <col min="4" max="4" width="13.5703125" style="22" customWidth="1"/>
    <col min="5" max="5" width="10.5703125" style="22" customWidth="1"/>
    <col min="6" max="6" width="13.42578125" style="22" customWidth="1"/>
    <col min="7" max="7" width="10.42578125" style="22" customWidth="1"/>
    <col min="8" max="8" width="11.5703125" style="22" customWidth="1"/>
    <col min="9" max="9" width="10.28515625" style="22" customWidth="1"/>
    <col min="10" max="10" width="13.7109375" style="22" customWidth="1"/>
    <col min="11" max="11" width="11.28515625" style="22" customWidth="1"/>
    <col min="12" max="12" width="19.5703125" style="22" bestFit="1" customWidth="1"/>
    <col min="13" max="13" width="11.5703125" style="22" bestFit="1" customWidth="1"/>
    <col min="14" max="16384" width="9.140625" style="22"/>
  </cols>
  <sheetData>
    <row r="1" spans="1:16" ht="23.25">
      <c r="A1" s="27"/>
      <c r="C1" s="1" t="str">
        <f ca="1">OFFSET(Inputs_Anchor,0,G1+1)</f>
        <v xml:space="preserve">Eastland </v>
      </c>
      <c r="D1" s="1"/>
      <c r="E1" s="1"/>
      <c r="F1" s="4" t="s">
        <v>109</v>
      </c>
      <c r="G1" s="5">
        <v>4</v>
      </c>
      <c r="H1" s="1"/>
      <c r="I1" s="1"/>
      <c r="J1" s="1"/>
      <c r="K1" s="1"/>
      <c r="L1" s="1"/>
      <c r="M1" s="1"/>
      <c r="N1" s="1"/>
      <c r="O1" s="1"/>
      <c r="P1" s="1"/>
    </row>
    <row r="2" spans="1:16">
      <c r="A2" s="27"/>
      <c r="L2" s="26"/>
    </row>
    <row r="3" spans="1:16" ht="23.25">
      <c r="C3" s="1" t="s">
        <v>3</v>
      </c>
      <c r="D3" s="1"/>
      <c r="E3" s="1"/>
      <c r="F3" s="1"/>
      <c r="G3" s="1"/>
      <c r="H3" s="1"/>
      <c r="I3" s="1"/>
      <c r="J3" s="1"/>
      <c r="K3" s="1"/>
      <c r="L3" s="1"/>
      <c r="M3" s="1"/>
      <c r="N3" s="1"/>
      <c r="O3" s="1"/>
      <c r="P3" s="1"/>
    </row>
    <row r="4" spans="1:16">
      <c r="A4" s="27"/>
      <c r="B4" s="27"/>
      <c r="C4" s="27"/>
      <c r="D4" s="147" t="s">
        <v>57</v>
      </c>
      <c r="E4" s="147" t="s">
        <v>58</v>
      </c>
      <c r="F4" s="27"/>
      <c r="G4" s="27"/>
      <c r="H4" s="148" t="s">
        <v>5</v>
      </c>
      <c r="I4" s="27"/>
      <c r="J4" s="27"/>
      <c r="K4" s="27"/>
      <c r="L4" s="27"/>
    </row>
    <row r="5" spans="1:16">
      <c r="A5" s="30"/>
      <c r="B5" s="27"/>
      <c r="C5" s="27"/>
      <c r="D5" s="147" t="s">
        <v>56</v>
      </c>
      <c r="E5" s="147"/>
      <c r="F5" s="27"/>
      <c r="G5" s="27"/>
      <c r="H5" s="27"/>
      <c r="I5" s="27"/>
      <c r="J5" s="27"/>
      <c r="K5" s="27"/>
      <c r="L5" s="27"/>
    </row>
    <row r="6" spans="1:16">
      <c r="A6" s="119"/>
      <c r="B6" s="50"/>
      <c r="C6" s="99" t="s">
        <v>1</v>
      </c>
      <c r="D6" s="50"/>
      <c r="E6" s="99" t="str">
        <f>Inputs!D11</f>
        <v>2009/10</v>
      </c>
      <c r="F6" s="99" t="str">
        <f>Inputs!E11</f>
        <v>2010/11</v>
      </c>
      <c r="G6" s="99" t="str">
        <f>Inputs!F11</f>
        <v>2011/12</v>
      </c>
      <c r="H6" s="99" t="str">
        <f>Inputs!G11</f>
        <v>2012/13</v>
      </c>
      <c r="I6" s="99" t="str">
        <f>Inputs!H11</f>
        <v>2013/14</v>
      </c>
      <c r="J6" s="99" t="str">
        <f>Inputs!I11</f>
        <v>2014/15</v>
      </c>
      <c r="K6" s="99"/>
      <c r="L6" s="67"/>
    </row>
    <row r="7" spans="1:16">
      <c r="A7" s="119"/>
      <c r="B7" s="50"/>
      <c r="C7" s="50" t="s">
        <v>59</v>
      </c>
      <c r="D7" s="50"/>
      <c r="E7" s="125">
        <v>1</v>
      </c>
      <c r="F7" s="125">
        <v>2</v>
      </c>
      <c r="G7" s="125">
        <v>3</v>
      </c>
      <c r="H7" s="125">
        <v>4</v>
      </c>
      <c r="I7" s="125">
        <v>5</v>
      </c>
      <c r="J7" s="125">
        <v>6</v>
      </c>
      <c r="K7" s="125"/>
      <c r="L7" s="67"/>
    </row>
    <row r="8" spans="1:16">
      <c r="A8" s="119">
        <v>1</v>
      </c>
      <c r="B8" s="149"/>
      <c r="C8" s="50" t="str">
        <f>Inputs!B20</f>
        <v>Line Revenue through Prices</v>
      </c>
      <c r="D8" s="50"/>
      <c r="E8" s="47">
        <f t="shared" ref="E8:E27" si="0">INDEX(InputsBlock,A8+1,$G$1+2)</f>
        <v>27635</v>
      </c>
      <c r="F8" s="50"/>
      <c r="G8" s="50"/>
      <c r="H8" s="50"/>
      <c r="I8" s="50"/>
      <c r="J8" s="50"/>
      <c r="K8" s="50"/>
      <c r="L8" s="27"/>
    </row>
    <row r="9" spans="1:16">
      <c r="A9" s="119">
        <f t="shared" ref="A9:A27" si="1">A8+1</f>
        <v>2</v>
      </c>
      <c r="B9" s="149"/>
      <c r="C9" s="50" t="str">
        <f>Inputs!B21</f>
        <v>Pass-through costs</v>
      </c>
      <c r="D9" s="50"/>
      <c r="E9" s="47">
        <f t="shared" si="0"/>
        <v>112</v>
      </c>
      <c r="F9" s="50"/>
      <c r="G9" s="50"/>
      <c r="H9" s="50"/>
      <c r="I9" s="50"/>
      <c r="J9" s="50"/>
      <c r="K9" s="50"/>
      <c r="L9" s="27"/>
    </row>
    <row r="10" spans="1:16">
      <c r="A10" s="119">
        <f t="shared" si="1"/>
        <v>3</v>
      </c>
      <c r="B10" s="149"/>
      <c r="C10" s="50" t="str">
        <f>Inputs!B22</f>
        <v>Recoverable costs</v>
      </c>
      <c r="D10" s="50"/>
      <c r="E10" s="47">
        <f t="shared" si="0"/>
        <v>8729</v>
      </c>
      <c r="F10" s="50"/>
      <c r="G10" s="50"/>
      <c r="H10" s="50"/>
      <c r="I10" s="50"/>
      <c r="J10" s="50"/>
      <c r="K10" s="50"/>
      <c r="L10" s="27"/>
    </row>
    <row r="11" spans="1:16">
      <c r="A11" s="119">
        <f t="shared" si="1"/>
        <v>4</v>
      </c>
      <c r="B11" s="149"/>
      <c r="C11" s="50" t="str">
        <f>Inputs!B23</f>
        <v>Opening RAB</v>
      </c>
      <c r="D11" s="50"/>
      <c r="E11" s="47">
        <f t="shared" si="0"/>
        <v>113965</v>
      </c>
      <c r="F11" s="50"/>
      <c r="G11" s="50"/>
      <c r="H11" s="50"/>
      <c r="I11" s="50"/>
      <c r="J11" s="50"/>
      <c r="K11" s="50"/>
      <c r="L11" s="150"/>
    </row>
    <row r="12" spans="1:16">
      <c r="A12" s="119">
        <f t="shared" si="1"/>
        <v>5</v>
      </c>
      <c r="B12" s="149"/>
      <c r="C12" s="50" t="str">
        <f>Inputs!B24</f>
        <v>Lost assets</v>
      </c>
      <c r="D12" s="50"/>
      <c r="E12" s="47">
        <f t="shared" si="0"/>
        <v>0</v>
      </c>
      <c r="F12" s="50"/>
      <c r="G12" s="50"/>
      <c r="H12" s="50"/>
      <c r="I12" s="50"/>
      <c r="J12" s="50"/>
      <c r="K12" s="50"/>
      <c r="L12" s="150"/>
    </row>
    <row r="13" spans="1:16">
      <c r="A13" s="119">
        <f t="shared" si="1"/>
        <v>6</v>
      </c>
      <c r="B13" s="149"/>
      <c r="C13" s="50" t="str">
        <f>Inputs!B25</f>
        <v>Found Assets</v>
      </c>
      <c r="D13" s="50"/>
      <c r="E13" s="47">
        <f t="shared" si="0"/>
        <v>0</v>
      </c>
      <c r="F13" s="50"/>
      <c r="G13" s="50"/>
      <c r="H13" s="50"/>
      <c r="I13" s="50"/>
      <c r="J13" s="50"/>
      <c r="K13" s="50"/>
      <c r="L13" s="150"/>
    </row>
    <row r="14" spans="1:16">
      <c r="A14" s="119">
        <f t="shared" si="1"/>
        <v>7</v>
      </c>
      <c r="B14" s="149"/>
      <c r="C14" s="50" t="str">
        <f>Inputs!B26</f>
        <v>Total Depreciation</v>
      </c>
      <c r="D14" s="50"/>
      <c r="E14" s="47">
        <f t="shared" si="0"/>
        <v>4225</v>
      </c>
      <c r="F14" s="47"/>
      <c r="G14" s="191" t="s">
        <v>280</v>
      </c>
      <c r="H14" s="50"/>
      <c r="I14" s="50"/>
      <c r="J14" s="50"/>
      <c r="K14" s="50"/>
      <c r="L14" s="27"/>
    </row>
    <row r="15" spans="1:16">
      <c r="A15" s="119">
        <f t="shared" si="1"/>
        <v>8</v>
      </c>
      <c r="B15" s="149"/>
      <c r="C15" s="50" t="str">
        <f>Inputs!B27</f>
        <v>RAB of disposed assets</v>
      </c>
      <c r="D15" s="50"/>
      <c r="E15" s="47">
        <f t="shared" si="0"/>
        <v>259</v>
      </c>
      <c r="F15" s="50"/>
      <c r="G15" s="175" t="s">
        <v>281</v>
      </c>
      <c r="H15" s="50"/>
      <c r="I15" s="50"/>
      <c r="J15" s="50"/>
      <c r="K15" s="50"/>
      <c r="L15" s="27"/>
    </row>
    <row r="16" spans="1:16">
      <c r="A16" s="119">
        <f t="shared" si="1"/>
        <v>9</v>
      </c>
      <c r="B16" s="149"/>
      <c r="C16" s="50" t="str">
        <f>Inputs!B28</f>
        <v>Discretionary discounts &amp;  rebates</v>
      </c>
      <c r="D16" s="50"/>
      <c r="E16" s="47">
        <f t="shared" si="0"/>
        <v>0</v>
      </c>
      <c r="F16" s="50"/>
      <c r="G16" s="175" t="s">
        <v>282</v>
      </c>
      <c r="H16" s="50"/>
      <c r="I16" s="50"/>
      <c r="J16" s="50"/>
      <c r="K16" s="50"/>
      <c r="L16" s="27"/>
    </row>
    <row r="17" spans="1:22">
      <c r="A17" s="119">
        <f t="shared" si="1"/>
        <v>10</v>
      </c>
      <c r="B17" s="149"/>
      <c r="C17" s="50" t="str">
        <f>Inputs!B29</f>
        <v>Tax Depreciation</v>
      </c>
      <c r="D17" s="50"/>
      <c r="E17" s="47">
        <f t="shared" si="0"/>
        <v>5625</v>
      </c>
      <c r="F17" s="50"/>
      <c r="G17" s="175" t="s">
        <v>283</v>
      </c>
      <c r="H17" s="50"/>
      <c r="I17" s="50"/>
      <c r="J17" s="50"/>
      <c r="K17" s="50"/>
      <c r="L17" s="27"/>
    </row>
    <row r="18" spans="1:22">
      <c r="A18" s="119">
        <f t="shared" si="1"/>
        <v>11</v>
      </c>
      <c r="B18" s="149"/>
      <c r="C18" s="50" t="str">
        <f>Inputs!B30</f>
        <v>Opening regulatory tax asset value</v>
      </c>
      <c r="D18" s="50"/>
      <c r="E18" s="47">
        <f t="shared" si="0"/>
        <v>58604</v>
      </c>
      <c r="F18" s="50"/>
      <c r="G18" s="50"/>
      <c r="H18" s="50"/>
      <c r="I18" s="50"/>
      <c r="J18" s="50"/>
      <c r="K18" s="50"/>
      <c r="L18" s="27"/>
    </row>
    <row r="19" spans="1:22">
      <c r="A19" s="119">
        <f t="shared" si="1"/>
        <v>12</v>
      </c>
      <c r="B19" s="149"/>
      <c r="C19" s="50" t="str">
        <f>Inputs!B31</f>
        <v>Weighted Average Remaining Life at year-end</v>
      </c>
      <c r="D19" s="50"/>
      <c r="E19" s="47">
        <f t="shared" si="0"/>
        <v>34</v>
      </c>
      <c r="F19" s="50"/>
      <c r="G19" s="50"/>
      <c r="H19" s="50"/>
      <c r="I19" s="50"/>
      <c r="J19" s="50"/>
      <c r="K19" s="50"/>
      <c r="L19" s="27"/>
    </row>
    <row r="20" spans="1:22">
      <c r="A20" s="119">
        <f t="shared" si="1"/>
        <v>13</v>
      </c>
      <c r="B20" s="149"/>
      <c r="C20" s="50" t="str">
        <f>Inputs!B32</f>
        <v>Term Credit Spread Differential Allowance</v>
      </c>
      <c r="D20" s="50"/>
      <c r="E20" s="47">
        <f t="shared" si="0"/>
        <v>0</v>
      </c>
      <c r="F20" s="50"/>
      <c r="G20" s="50"/>
      <c r="H20" s="50"/>
      <c r="I20" s="50"/>
      <c r="J20" s="50"/>
      <c r="K20" s="50"/>
      <c r="L20" s="27"/>
    </row>
    <row r="21" spans="1:22">
      <c r="A21" s="119">
        <f t="shared" si="1"/>
        <v>14</v>
      </c>
      <c r="B21" s="149"/>
      <c r="C21" s="50" t="s">
        <v>98</v>
      </c>
      <c r="D21" s="50"/>
      <c r="E21" s="47">
        <f t="shared" si="0"/>
        <v>5076</v>
      </c>
      <c r="F21" s="50"/>
      <c r="G21" s="50"/>
      <c r="H21" s="50"/>
      <c r="I21" s="50"/>
      <c r="J21" s="50"/>
      <c r="K21" s="50"/>
      <c r="L21" s="27"/>
    </row>
    <row r="22" spans="1:22">
      <c r="A22" s="119">
        <f t="shared" si="1"/>
        <v>15</v>
      </c>
      <c r="B22" s="149"/>
      <c r="C22" s="50" t="str">
        <f>Inputs!B34</f>
        <v>Operating expenditure 2009/10</v>
      </c>
      <c r="D22" s="50"/>
      <c r="E22" s="47">
        <f t="shared" si="0"/>
        <v>5979</v>
      </c>
      <c r="F22" s="50"/>
      <c r="G22" s="50"/>
      <c r="H22" s="50"/>
      <c r="I22" s="50"/>
      <c r="J22" s="50"/>
      <c r="K22" s="50"/>
      <c r="L22" s="27"/>
    </row>
    <row r="23" spans="1:22">
      <c r="A23" s="119">
        <f t="shared" si="1"/>
        <v>16</v>
      </c>
      <c r="B23" s="149"/>
      <c r="C23" s="50" t="str">
        <f>Inputs!B35</f>
        <v>Other reg income (avg of 2008 to 11, in 2009/10 $)</v>
      </c>
      <c r="D23" s="50"/>
      <c r="E23" s="47">
        <f t="shared" si="0"/>
        <v>367.85431128559418</v>
      </c>
      <c r="F23" s="50"/>
      <c r="G23" s="50"/>
      <c r="H23" s="50"/>
      <c r="I23" s="50"/>
      <c r="J23" s="50"/>
      <c r="K23" s="49"/>
      <c r="L23" s="27"/>
    </row>
    <row r="24" spans="1:22">
      <c r="A24" s="119">
        <f t="shared" si="1"/>
        <v>17</v>
      </c>
      <c r="B24" s="149"/>
      <c r="C24" s="119" t="str">
        <f>Inputs!B36</f>
        <v>Allowable notional revenue 2012/13</v>
      </c>
      <c r="D24" s="50"/>
      <c r="E24" s="47">
        <f t="shared" si="0"/>
        <v>20920.68611090878</v>
      </c>
      <c r="F24" s="50"/>
      <c r="G24" s="50"/>
      <c r="H24" s="50"/>
      <c r="I24" s="50"/>
      <c r="J24" s="50"/>
      <c r="K24" s="49"/>
      <c r="L24" s="27"/>
    </row>
    <row r="25" spans="1:22">
      <c r="A25" s="119">
        <f t="shared" si="1"/>
        <v>18</v>
      </c>
      <c r="B25" s="149"/>
      <c r="C25" s="119" t="str">
        <f>Inputs!B37</f>
        <v>Pass-through costs 2012/13</v>
      </c>
      <c r="D25" s="50"/>
      <c r="E25" s="47">
        <f t="shared" si="0"/>
        <v>9822.4689999999991</v>
      </c>
      <c r="F25" s="50"/>
      <c r="G25" s="50"/>
      <c r="H25" s="50"/>
      <c r="I25" s="50"/>
      <c r="J25" s="50"/>
      <c r="K25" s="49"/>
      <c r="L25" s="27"/>
    </row>
    <row r="26" spans="1:22">
      <c r="A26" s="119">
        <f t="shared" si="1"/>
        <v>19</v>
      </c>
      <c r="B26" s="50"/>
      <c r="C26" s="50" t="str">
        <f>Inputs!B38</f>
        <v>Alternate X value to 2014/15</v>
      </c>
      <c r="D26" s="49"/>
      <c r="E26" s="151" t="str">
        <f t="shared" si="0"/>
        <v>IWX</v>
      </c>
      <c r="F26" s="50"/>
      <c r="G26" s="50"/>
      <c r="H26" s="50"/>
      <c r="I26" s="50"/>
      <c r="J26" s="50"/>
      <c r="K26" s="49"/>
      <c r="L26" s="27"/>
    </row>
    <row r="27" spans="1:22">
      <c r="A27" s="119">
        <f t="shared" si="1"/>
        <v>20</v>
      </c>
      <c r="B27" s="50"/>
      <c r="C27" s="50" t="str">
        <f>Inputs!B39</f>
        <v>Cap on growth of maximum allowable revenue</v>
      </c>
      <c r="D27" s="50"/>
      <c r="E27" s="151">
        <f t="shared" si="0"/>
        <v>0.2</v>
      </c>
      <c r="F27" s="50"/>
      <c r="G27" s="50"/>
      <c r="H27" s="50"/>
      <c r="I27" s="50"/>
      <c r="J27" s="50"/>
      <c r="K27" s="49"/>
      <c r="L27" s="27"/>
    </row>
    <row r="28" spans="1:22">
      <c r="A28" s="119"/>
      <c r="B28" s="149"/>
      <c r="C28" s="50" t="s">
        <v>30</v>
      </c>
      <c r="D28" s="50"/>
      <c r="E28" s="130">
        <f>E22</f>
        <v>5979</v>
      </c>
      <c r="F28" s="47">
        <f>INDEX(OpexBlock,F7-1,$G$1)</f>
        <v>6132.0522396374154</v>
      </c>
      <c r="G28" s="47">
        <f>INDEX(OpexBlock,G7-1,$G$1)</f>
        <v>6301.6555861120814</v>
      </c>
      <c r="H28" s="47">
        <f>INDEX(OpexBlock,H7-1,$G$1)</f>
        <v>6422.1555191858079</v>
      </c>
      <c r="I28" s="47">
        <f>INDEX(OpexBlock,I7-1,$G$1)</f>
        <v>6571.7669890538482</v>
      </c>
      <c r="J28" s="47">
        <f>INDEX(OpexBlock,J7-1,$G$1)</f>
        <v>6739.8702129727581</v>
      </c>
      <c r="K28" s="49"/>
      <c r="L28" s="50"/>
      <c r="M28" s="15"/>
    </row>
    <row r="29" spans="1:22">
      <c r="A29" s="119"/>
      <c r="B29" s="149"/>
      <c r="C29" s="50" t="s">
        <v>158</v>
      </c>
      <c r="D29" s="47"/>
      <c r="E29" s="130">
        <f>E21</f>
        <v>5076</v>
      </c>
      <c r="F29" s="47">
        <f>INDEX(CommAssetsBlock,F7-1,$G$1)</f>
        <v>5502.0491620030361</v>
      </c>
      <c r="G29" s="47">
        <f>INDEX(CommAssetsBlock,G7-1,$G$1)</f>
        <v>5888.9763292164389</v>
      </c>
      <c r="H29" s="47">
        <f>INDEX(CommAssetsBlock,H7-1,$G$1)</f>
        <v>5903.3786523138315</v>
      </c>
      <c r="I29" s="47">
        <f>INDEX(CommAssetsBlock,I7-1,$G$1)</f>
        <v>5966.4877321646809</v>
      </c>
      <c r="J29" s="47">
        <f>INDEX(CommAssetsBlock,J7-1,$G$1)</f>
        <v>6121.6744020007181</v>
      </c>
      <c r="K29" s="49"/>
      <c r="L29" s="50"/>
      <c r="M29" s="15"/>
    </row>
    <row r="30" spans="1:22">
      <c r="A30" s="119"/>
      <c r="B30" s="149"/>
      <c r="C30" s="50" t="s">
        <v>200</v>
      </c>
      <c r="D30" s="47"/>
      <c r="E30" s="49"/>
      <c r="F30" s="110">
        <f>INDEX(ConstPriceRevGrwth,F$7-1,$G$1)</f>
        <v>-2.2495067489118406E-3</v>
      </c>
      <c r="G30" s="110">
        <f>INDEX(ConstPriceRevGrwth,G$7-1,$G$1)</f>
        <v>-2.2495067489118406E-3</v>
      </c>
      <c r="H30" s="110">
        <f>INDEX(ConstPriceRevGrwth,H$7-1,$G$1)</f>
        <v>-2.2495067489118406E-3</v>
      </c>
      <c r="I30" s="110">
        <f>INDEX(ConstPriceRevGrwth,I$7-1,$G$1)</f>
        <v>-2.2495067489118406E-3</v>
      </c>
      <c r="J30" s="110">
        <f>INDEX(ConstPriceRevGrwth,J$7-1,$G$1)</f>
        <v>-2.2495067489118406E-3</v>
      </c>
      <c r="K30" s="49"/>
      <c r="L30" s="50"/>
      <c r="M30" s="15"/>
      <c r="U30" s="15"/>
      <c r="V30" s="15"/>
    </row>
    <row r="31" spans="1:22" ht="15.75" thickBot="1">
      <c r="A31" s="119"/>
      <c r="B31" s="149"/>
      <c r="C31" s="50"/>
      <c r="D31" s="47"/>
      <c r="E31" s="49"/>
      <c r="F31" s="50"/>
      <c r="G31" s="49"/>
      <c r="H31" s="49"/>
      <c r="I31" s="49"/>
      <c r="J31" s="49"/>
      <c r="K31" s="49"/>
      <c r="L31" s="27"/>
      <c r="M31" s="15"/>
      <c r="U31" s="15"/>
      <c r="V31" s="15"/>
    </row>
    <row r="32" spans="1:22" ht="16.5" thickBot="1">
      <c r="A32" s="119"/>
      <c r="B32" s="149"/>
      <c r="C32" s="121" t="s">
        <v>182</v>
      </c>
      <c r="D32" s="47"/>
      <c r="E32" s="49"/>
      <c r="F32" s="50"/>
      <c r="G32" s="49"/>
      <c r="H32" s="49"/>
      <c r="I32" s="49"/>
      <c r="J32" s="49"/>
      <c r="K32" s="49"/>
      <c r="L32" s="195" t="s">
        <v>322</v>
      </c>
      <c r="M32" s="111"/>
      <c r="N32" s="34"/>
      <c r="O32" s="34"/>
      <c r="P32" s="34"/>
      <c r="Q32" s="34"/>
      <c r="R32" s="34"/>
      <c r="S32" s="34"/>
      <c r="T32" s="34"/>
      <c r="U32" s="34"/>
      <c r="V32" s="35"/>
    </row>
    <row r="33" spans="1:26">
      <c r="A33" s="119"/>
      <c r="B33" s="149"/>
      <c r="C33" s="122" t="str">
        <f>Inputs!B13</f>
        <v>2009 ΔCPI, 2 index, no lag, no GST adjustment</v>
      </c>
      <c r="D33" s="47"/>
      <c r="E33" s="49">
        <f>Inputs!D13</f>
        <v>1.7233850022212005E-2</v>
      </c>
      <c r="F33" s="49">
        <f>Inputs!E13</f>
        <v>1.9812209526758329E-2</v>
      </c>
      <c r="G33" s="49">
        <f>Inputs!F13</f>
        <v>2.4339880629970168E-2</v>
      </c>
      <c r="H33" s="49">
        <f>Inputs!G13</f>
        <v>2.2893253753313525E-2</v>
      </c>
      <c r="I33" s="49">
        <f>Inputs!H13</f>
        <v>2.144662687665666E-2</v>
      </c>
      <c r="J33" s="49">
        <f>Inputs!I13</f>
        <v>2.0000000000000018E-2</v>
      </c>
      <c r="K33" s="50"/>
      <c r="L33" s="196" t="s">
        <v>194</v>
      </c>
      <c r="M33" s="50"/>
      <c r="N33" s="15"/>
      <c r="O33" s="15"/>
      <c r="P33" s="15"/>
      <c r="Q33" s="15"/>
      <c r="R33" s="15"/>
      <c r="S33" s="15"/>
      <c r="T33" s="15"/>
      <c r="U33" s="15"/>
      <c r="V33" s="29"/>
    </row>
    <row r="34" spans="1:26">
      <c r="A34" s="119"/>
      <c r="B34" s="149"/>
      <c r="C34" s="122" t="str">
        <f>Inputs!B14</f>
        <v>2012 ΔCPI, 2 index, no lag, no GST adjustment</v>
      </c>
      <c r="D34" s="47"/>
      <c r="E34" s="49"/>
      <c r="F34" s="49">
        <f>Inputs!E14</f>
        <v>4.4667274384685429E-2</v>
      </c>
      <c r="G34" s="49">
        <f>Inputs!F14</f>
        <v>1.5706806282722585E-2</v>
      </c>
      <c r="H34" s="49">
        <f>Inputs!G14</f>
        <v>1.8041237113401998E-2</v>
      </c>
      <c r="I34" s="49">
        <f>Inputs!H14</f>
        <v>1.7721518987341867E-2</v>
      </c>
      <c r="J34" s="49">
        <f>Inputs!I14</f>
        <v>2.3217247097844007E-2</v>
      </c>
      <c r="K34" s="50"/>
      <c r="L34" s="196" t="s">
        <v>320</v>
      </c>
      <c r="M34" s="50"/>
      <c r="N34" s="15"/>
      <c r="O34" s="15"/>
      <c r="P34" s="15"/>
      <c r="Q34" s="15"/>
      <c r="R34" s="15"/>
      <c r="S34" s="15"/>
      <c r="T34" s="15"/>
      <c r="U34" s="15"/>
      <c r="V34" s="29"/>
    </row>
    <row r="35" spans="1:26">
      <c r="A35" s="119"/>
      <c r="B35" s="149"/>
      <c r="C35" s="122" t="str">
        <f>Inputs!B15</f>
        <v>2009 ΔCPI, 8 index, lagged, no GST adjustment</v>
      </c>
      <c r="D35" s="47"/>
      <c r="E35" s="49"/>
      <c r="F35" s="49"/>
      <c r="G35" s="49">
        <f>Inputs!F15</f>
        <v>1.6991832174541255E-2</v>
      </c>
      <c r="H35" s="49">
        <f>Inputs!G15</f>
        <v>2.0741514169093644E-2</v>
      </c>
      <c r="I35" s="49">
        <f>Inputs!H15</f>
        <v>2.3759818812291389E-2</v>
      </c>
      <c r="J35" s="49">
        <f>Inputs!I15</f>
        <v>2.2164443909808984E-2</v>
      </c>
      <c r="K35" s="50"/>
      <c r="L35" s="196" t="s">
        <v>321</v>
      </c>
      <c r="M35" s="50"/>
      <c r="N35" s="15"/>
      <c r="O35" s="15"/>
      <c r="P35" s="15"/>
      <c r="Q35" s="15"/>
      <c r="R35" s="15"/>
      <c r="S35" s="15"/>
      <c r="T35" s="15"/>
      <c r="U35" s="15"/>
      <c r="V35" s="29"/>
    </row>
    <row r="36" spans="1:26">
      <c r="A36" s="149"/>
      <c r="B36" s="149"/>
      <c r="C36" s="122" t="str">
        <f>Inputs!B16</f>
        <v>2012 ΔCPI, 8 index, lagged, no GST adjustment</v>
      </c>
      <c r="D36" s="50"/>
      <c r="E36" s="49"/>
      <c r="F36" s="49">
        <f>Inputs!E16</f>
        <v>2.465039108793543E-2</v>
      </c>
      <c r="G36" s="49">
        <f>Inputs!F16</f>
        <v>1.7811704834605591E-2</v>
      </c>
      <c r="H36" s="49">
        <f>Inputs!G16</f>
        <v>4.5909090909090899E-2</v>
      </c>
      <c r="I36" s="49">
        <f>Inputs!H16</f>
        <v>1.2820512820512775E-2</v>
      </c>
      <c r="J36" s="49">
        <f>Inputs!I16</f>
        <v>1.9725095732576747E-2</v>
      </c>
      <c r="K36" s="50"/>
      <c r="L36" s="196" t="s">
        <v>365</v>
      </c>
      <c r="M36" s="50"/>
      <c r="N36" s="15"/>
      <c r="O36" s="15"/>
      <c r="P36" s="15"/>
      <c r="Q36" s="15"/>
      <c r="R36" s="15"/>
      <c r="S36" s="15"/>
      <c r="T36" s="15"/>
      <c r="U36" s="15"/>
      <c r="V36" s="29"/>
    </row>
    <row r="37" spans="1:26" ht="15.75" thickBot="1">
      <c r="A37" s="149"/>
      <c r="B37" s="149"/>
      <c r="C37" s="122" t="str">
        <f>Inputs!B17</f>
        <v>2012 ΔCPI, 8 index, lagged, with GST adjustment</v>
      </c>
      <c r="D37" s="50"/>
      <c r="E37" s="49"/>
      <c r="F37" s="112">
        <f>Inputs!E17</f>
        <v>2.4650391087935652E-2</v>
      </c>
      <c r="G37" s="112">
        <f>Inputs!F17</f>
        <v>1.7811704834605369E-2</v>
      </c>
      <c r="H37" s="112">
        <f>Inputs!G17</f>
        <v>2.5401069518716568E-2</v>
      </c>
      <c r="I37" s="49">
        <f>Inputs!H17</f>
        <v>1.2820512820512775E-2</v>
      </c>
      <c r="J37" s="49">
        <f>Inputs!I17</f>
        <v>1.9725095732576747E-2</v>
      </c>
      <c r="K37" s="50"/>
      <c r="L37" s="219" t="s">
        <v>409</v>
      </c>
      <c r="M37" s="220"/>
      <c r="N37" s="220"/>
      <c r="O37" s="220"/>
      <c r="P37" s="220"/>
      <c r="Q37" s="220"/>
      <c r="R37" s="220"/>
      <c r="S37" s="220"/>
      <c r="T37" s="220"/>
      <c r="U37" s="220"/>
      <c r="V37" s="221"/>
    </row>
    <row r="38" spans="1:26">
      <c r="A38" s="149"/>
      <c r="B38" s="149"/>
      <c r="C38" s="122"/>
      <c r="D38" s="50"/>
      <c r="E38" s="49"/>
      <c r="F38" s="112"/>
      <c r="G38" s="112"/>
      <c r="H38" s="112"/>
      <c r="I38" s="49"/>
      <c r="J38" s="49"/>
      <c r="K38" s="49"/>
      <c r="L38" s="49"/>
      <c r="M38" s="49"/>
      <c r="N38" s="49"/>
      <c r="O38" s="49"/>
      <c r="P38" s="49"/>
      <c r="Q38" s="49"/>
      <c r="R38" s="49"/>
      <c r="S38" s="49"/>
      <c r="T38" s="49"/>
      <c r="U38" s="49"/>
      <c r="V38" s="49"/>
      <c r="W38" s="49"/>
      <c r="X38" s="49"/>
      <c r="Y38" s="49"/>
      <c r="Z38" s="49"/>
    </row>
    <row r="39" spans="1:26" ht="23.25">
      <c r="A39" s="50"/>
      <c r="B39" s="50"/>
      <c r="C39" s="1" t="s">
        <v>4</v>
      </c>
      <c r="D39" s="153" t="s">
        <v>36</v>
      </c>
      <c r="E39" s="153" t="s">
        <v>35</v>
      </c>
      <c r="F39" s="152"/>
      <c r="G39" s="152"/>
      <c r="H39" s="152"/>
      <c r="I39" s="152"/>
      <c r="J39" s="152"/>
      <c r="K39" s="152"/>
      <c r="L39" s="152"/>
      <c r="M39" s="152"/>
      <c r="N39" s="194"/>
      <c r="O39" s="194"/>
      <c r="P39" s="194"/>
    </row>
    <row r="40" spans="1:26">
      <c r="A40" s="50"/>
      <c r="B40" s="50"/>
      <c r="C40" s="50"/>
      <c r="D40" s="50"/>
      <c r="E40" s="154" t="s">
        <v>183</v>
      </c>
      <c r="F40" s="154" t="s">
        <v>184</v>
      </c>
      <c r="G40" s="154" t="s">
        <v>185</v>
      </c>
      <c r="H40" s="154" t="s">
        <v>186</v>
      </c>
      <c r="I40" s="154" t="s">
        <v>187</v>
      </c>
      <c r="J40" s="154" t="s">
        <v>188</v>
      </c>
      <c r="K40" s="154"/>
      <c r="L40" s="154"/>
      <c r="M40" s="48"/>
    </row>
    <row r="41" spans="1:26">
      <c r="A41" s="50"/>
      <c r="B41" s="50"/>
      <c r="C41" s="50" t="s">
        <v>129</v>
      </c>
      <c r="D41" s="50"/>
      <c r="E41" s="49">
        <f t="shared" ref="E41:J41" si="2">E33</f>
        <v>1.7233850022212005E-2</v>
      </c>
      <c r="F41" s="49">
        <f t="shared" si="2"/>
        <v>1.9812209526758329E-2</v>
      </c>
      <c r="G41" s="49">
        <f t="shared" si="2"/>
        <v>2.4339880629970168E-2</v>
      </c>
      <c r="H41" s="49">
        <f t="shared" si="2"/>
        <v>2.2893253753313525E-2</v>
      </c>
      <c r="I41" s="49">
        <f t="shared" si="2"/>
        <v>2.144662687665666E-2</v>
      </c>
      <c r="J41" s="49">
        <f t="shared" si="2"/>
        <v>2.0000000000000018E-2</v>
      </c>
      <c r="K41" s="51"/>
      <c r="L41" s="47"/>
      <c r="M41" s="15"/>
    </row>
    <row r="42" spans="1:26">
      <c r="A42" s="50"/>
      <c r="B42" s="50"/>
      <c r="C42" s="50" t="s">
        <v>163</v>
      </c>
      <c r="D42" s="50"/>
      <c r="E42" s="49"/>
      <c r="F42" s="49">
        <f>F34</f>
        <v>4.4667274384685429E-2</v>
      </c>
      <c r="G42" s="49">
        <f>G34</f>
        <v>1.5706806282722585E-2</v>
      </c>
      <c r="H42" s="49">
        <f>H34</f>
        <v>1.8041237113401998E-2</v>
      </c>
      <c r="I42" s="49">
        <f>I34</f>
        <v>1.7721518987341867E-2</v>
      </c>
      <c r="J42" s="49">
        <f>J34</f>
        <v>2.3217247097844007E-2</v>
      </c>
      <c r="K42" s="51"/>
      <c r="L42" s="47"/>
      <c r="M42" s="15"/>
    </row>
    <row r="43" spans="1:26">
      <c r="A43" s="50"/>
      <c r="B43" s="50"/>
      <c r="C43" s="50" t="s">
        <v>122</v>
      </c>
      <c r="D43" s="50"/>
      <c r="E43" s="130">
        <f>E23</f>
        <v>367.85431128559418</v>
      </c>
      <c r="F43" s="47">
        <f>E43*(1+F42)</f>
        <v>384.2853607413773</v>
      </c>
      <c r="G43" s="47">
        <f>F43*(1+G42)</f>
        <v>390.32125645982831</v>
      </c>
      <c r="H43" s="47">
        <f>G43*(1+H42)</f>
        <v>397.36313479802106</v>
      </c>
      <c r="I43" s="47">
        <f>H43*(1+I42)</f>
        <v>404.40501313621388</v>
      </c>
      <c r="J43" s="47">
        <f>I43*(1+J42)</f>
        <v>413.79418425380419</v>
      </c>
      <c r="K43" s="50"/>
      <c r="L43" s="47"/>
      <c r="M43" s="15"/>
    </row>
    <row r="44" spans="1:26">
      <c r="A44" s="50"/>
      <c r="B44" s="50"/>
      <c r="C44" s="50"/>
      <c r="D44" s="50"/>
      <c r="E44" s="51"/>
      <c r="F44" s="51"/>
      <c r="G44" s="51"/>
      <c r="H44" s="51"/>
      <c r="I44" s="51"/>
      <c r="J44" s="51"/>
      <c r="K44" s="51"/>
      <c r="L44" s="27"/>
      <c r="M44" s="15"/>
    </row>
    <row r="45" spans="1:26" ht="21">
      <c r="A45" s="50"/>
      <c r="B45" s="50"/>
      <c r="C45" s="155" t="s">
        <v>69</v>
      </c>
      <c r="D45" s="50"/>
      <c r="E45" s="50"/>
      <c r="F45" s="51"/>
      <c r="G45" s="51"/>
      <c r="H45" s="51"/>
      <c r="I45" s="51"/>
      <c r="J45" s="51"/>
      <c r="K45" s="51"/>
      <c r="L45" s="27"/>
      <c r="M45" s="15"/>
    </row>
    <row r="46" spans="1:26" ht="18">
      <c r="A46" s="50"/>
      <c r="B46" s="50"/>
      <c r="C46" s="50" t="s">
        <v>70</v>
      </c>
      <c r="D46" s="156">
        <f>'Timing Assumptions'!C23</f>
        <v>1.0428084742793051</v>
      </c>
      <c r="E46" s="50"/>
      <c r="F46" s="51"/>
      <c r="G46" s="51"/>
      <c r="H46" s="51"/>
      <c r="I46" s="51"/>
      <c r="J46" s="51"/>
      <c r="K46" s="51"/>
      <c r="L46" s="51"/>
      <c r="M46" s="15"/>
    </row>
    <row r="47" spans="1:26" ht="18">
      <c r="A47" s="50"/>
      <c r="B47" s="50"/>
      <c r="C47" s="50" t="s">
        <v>71</v>
      </c>
      <c r="D47" s="156">
        <f>'Timing Assumptions'!C24</f>
        <v>1.0428084742793051</v>
      </c>
      <c r="E47" s="50"/>
      <c r="F47" s="51"/>
      <c r="G47" s="51"/>
      <c r="H47" s="51"/>
      <c r="I47" s="51"/>
      <c r="J47" s="51"/>
      <c r="K47" s="51"/>
      <c r="L47" s="51"/>
      <c r="M47" s="15"/>
    </row>
    <row r="48" spans="1:26" ht="18">
      <c r="A48" s="50"/>
      <c r="B48" s="50"/>
      <c r="C48" s="50" t="s">
        <v>125</v>
      </c>
      <c r="D48" s="156">
        <f>'Timing Assumptions'!C25</f>
        <v>1.0428084742793051</v>
      </c>
      <c r="E48" s="50"/>
      <c r="F48" s="50"/>
      <c r="G48" s="51"/>
      <c r="H48" s="51"/>
      <c r="I48" s="51"/>
      <c r="J48" s="51"/>
      <c r="K48" s="95"/>
      <c r="L48" s="51"/>
      <c r="M48" s="15"/>
    </row>
    <row r="49" spans="1:16" ht="18">
      <c r="A49" s="50"/>
      <c r="B49" s="50"/>
      <c r="C49" s="50" t="s">
        <v>123</v>
      </c>
      <c r="D49" s="156">
        <f>'Timing Assumptions'!C26</f>
        <v>1.0428084742793051</v>
      </c>
      <c r="E49" s="50"/>
      <c r="F49" s="50"/>
      <c r="G49" s="51"/>
      <c r="H49" s="51"/>
      <c r="I49" s="51"/>
      <c r="J49" s="51"/>
      <c r="K49" s="95"/>
      <c r="L49" s="51"/>
      <c r="M49" s="15"/>
    </row>
    <row r="50" spans="1:16" ht="18">
      <c r="A50" s="50"/>
      <c r="B50" s="50"/>
      <c r="C50" s="50" t="s">
        <v>72</v>
      </c>
      <c r="D50" s="156">
        <f>'Timing Assumptions'!C27</f>
        <v>1.0346743941931567</v>
      </c>
      <c r="E50" s="51"/>
      <c r="F50" s="51"/>
      <c r="G50" s="51"/>
      <c r="H50" s="51"/>
      <c r="I50" s="50"/>
      <c r="J50" s="50"/>
      <c r="K50" s="95"/>
      <c r="L50" s="51"/>
      <c r="M50" s="15"/>
    </row>
    <row r="51" spans="1:16">
      <c r="A51" s="50"/>
      <c r="B51" s="50"/>
      <c r="C51" s="50"/>
      <c r="D51" s="50"/>
      <c r="E51" s="50"/>
      <c r="F51" s="50"/>
      <c r="G51" s="50"/>
      <c r="H51" s="50"/>
      <c r="I51" s="50"/>
      <c r="J51" s="50"/>
      <c r="K51" s="95"/>
      <c r="L51" s="27"/>
      <c r="M51" s="15"/>
    </row>
    <row r="52" spans="1:16" ht="21">
      <c r="A52" s="50"/>
      <c r="B52" s="50"/>
      <c r="C52" s="155" t="s">
        <v>105</v>
      </c>
      <c r="D52" s="155"/>
      <c r="E52" s="155"/>
      <c r="F52" s="155"/>
      <c r="G52" s="155"/>
      <c r="H52" s="155"/>
      <c r="I52" s="155"/>
      <c r="J52" s="155"/>
      <c r="K52" s="155"/>
      <c r="L52" s="157"/>
      <c r="M52" s="52"/>
      <c r="N52" s="2"/>
      <c r="O52" s="2"/>
      <c r="P52" s="2"/>
    </row>
    <row r="53" spans="1:16" ht="15.75">
      <c r="A53" s="50"/>
      <c r="B53" s="50"/>
      <c r="C53" s="158" t="s">
        <v>37</v>
      </c>
      <c r="D53" s="50"/>
      <c r="E53" s="159">
        <f>Inputs!D12</f>
        <v>0.3</v>
      </c>
      <c r="F53" s="159">
        <f>Inputs!E12</f>
        <v>0.3</v>
      </c>
      <c r="G53" s="159">
        <f>Inputs!F12</f>
        <v>0.28000000000000003</v>
      </c>
      <c r="H53" s="159">
        <f>Inputs!G12</f>
        <v>0.28000000000000003</v>
      </c>
      <c r="I53" s="159">
        <f>Inputs!H12</f>
        <v>0.28000000000000003</v>
      </c>
      <c r="J53" s="159">
        <f>Inputs!I12</f>
        <v>0.28000000000000003</v>
      </c>
      <c r="K53" s="95"/>
      <c r="L53" s="50"/>
      <c r="M53" s="15"/>
    </row>
    <row r="54" spans="1:16">
      <c r="A54" s="50"/>
      <c r="B54" s="50"/>
      <c r="C54" s="50" t="s">
        <v>38</v>
      </c>
      <c r="D54" s="50"/>
      <c r="E54" s="160">
        <f>E11/E14</f>
        <v>26.973964497041422</v>
      </c>
      <c r="F54" s="161">
        <f>E54-1</f>
        <v>25.973964497041422</v>
      </c>
      <c r="G54" s="161">
        <f>F54-1</f>
        <v>24.973964497041422</v>
      </c>
      <c r="H54" s="161">
        <f>G54-1</f>
        <v>23.973964497041422</v>
      </c>
      <c r="I54" s="161">
        <f>H54-1</f>
        <v>22.973964497041422</v>
      </c>
      <c r="J54" s="161">
        <f>I54-1</f>
        <v>21.973964497041422</v>
      </c>
      <c r="K54" s="95"/>
      <c r="L54" s="50"/>
      <c r="M54" s="15"/>
    </row>
    <row r="55" spans="1:16">
      <c r="A55" s="50"/>
      <c r="B55" s="50"/>
      <c r="C55" s="50" t="s">
        <v>159</v>
      </c>
      <c r="D55" s="50"/>
      <c r="E55" s="156"/>
      <c r="F55" s="49">
        <f>F34</f>
        <v>4.4667274384685429E-2</v>
      </c>
      <c r="G55" s="49">
        <f>G34</f>
        <v>1.5706806282722585E-2</v>
      </c>
      <c r="H55" s="49">
        <f>H34</f>
        <v>1.8041237113401998E-2</v>
      </c>
      <c r="I55" s="49">
        <f>I34</f>
        <v>1.7721518987341867E-2</v>
      </c>
      <c r="J55" s="49">
        <f>J34</f>
        <v>2.3217247097844007E-2</v>
      </c>
      <c r="K55" s="95"/>
      <c r="L55" s="50"/>
      <c r="M55" s="15"/>
    </row>
    <row r="56" spans="1:16">
      <c r="A56" s="50"/>
      <c r="B56" s="50"/>
      <c r="C56" s="50" t="s">
        <v>40</v>
      </c>
      <c r="D56" s="50"/>
      <c r="E56" s="129">
        <f>E15</f>
        <v>259</v>
      </c>
      <c r="F56" s="32">
        <f>E56*(1+F55)</f>
        <v>270.56882406563352</v>
      </c>
      <c r="G56" s="32">
        <f>F56*(1+G55)</f>
        <v>274.8185961713765</v>
      </c>
      <c r="H56" s="32">
        <f>G56*(1+H55)</f>
        <v>279.77666362807656</v>
      </c>
      <c r="I56" s="32">
        <f>H56*(1+I55)</f>
        <v>284.73473108477668</v>
      </c>
      <c r="J56" s="32">
        <f>I56*(1+J55)</f>
        <v>291.34548769371008</v>
      </c>
      <c r="K56" s="95"/>
      <c r="L56" s="50"/>
      <c r="M56" s="15"/>
    </row>
    <row r="57" spans="1:16">
      <c r="A57" s="50"/>
      <c r="B57" s="50"/>
      <c r="C57" s="50"/>
      <c r="D57" s="122"/>
      <c r="E57" s="50"/>
      <c r="F57" s="50"/>
      <c r="G57" s="50"/>
      <c r="H57" s="50"/>
      <c r="I57" s="50"/>
      <c r="J57" s="50"/>
      <c r="K57" s="95"/>
      <c r="L57" s="27"/>
      <c r="M57" s="15"/>
    </row>
    <row r="58" spans="1:16" ht="15.75">
      <c r="A58" s="50"/>
      <c r="B58" s="50"/>
      <c r="C58" s="162" t="s">
        <v>89</v>
      </c>
      <c r="D58" s="32"/>
      <c r="E58" s="163" t="str">
        <f>Inputs!D11</f>
        <v>2009/10</v>
      </c>
      <c r="F58" s="163" t="str">
        <f>Inputs!E11</f>
        <v>2010/11</v>
      </c>
      <c r="G58" s="163" t="str">
        <f>Inputs!F11</f>
        <v>2011/12</v>
      </c>
      <c r="H58" s="163" t="str">
        <f>Inputs!G11</f>
        <v>2012/13</v>
      </c>
      <c r="I58" s="163" t="str">
        <f>Inputs!H11</f>
        <v>2013/14</v>
      </c>
      <c r="J58" s="163" t="str">
        <f>Inputs!I11</f>
        <v>2014/15</v>
      </c>
      <c r="K58" s="95"/>
      <c r="L58" s="27"/>
      <c r="M58" s="15"/>
    </row>
    <row r="59" spans="1:16">
      <c r="A59" s="50"/>
      <c r="B59" s="50"/>
      <c r="C59" s="50" t="s">
        <v>110</v>
      </c>
      <c r="D59" s="50"/>
      <c r="E59" s="129">
        <f>E11</f>
        <v>113965</v>
      </c>
      <c r="F59" s="32">
        <f>E65</f>
        <v>111438.62809490785</v>
      </c>
      <c r="G59" s="32">
        <f>F65</f>
        <v>109077.93897190949</v>
      </c>
      <c r="H59" s="32">
        <f>G65</f>
        <v>107081.0542595791</v>
      </c>
      <c r="I59" s="32">
        <f>H65</f>
        <v>104777.29894093744</v>
      </c>
      <c r="J59" s="32">
        <f>I65</f>
        <v>102170.6327788101</v>
      </c>
      <c r="K59" s="95"/>
      <c r="L59" s="50"/>
      <c r="M59" s="15"/>
    </row>
    <row r="60" spans="1:16">
      <c r="A60" s="50"/>
      <c r="B60" s="50"/>
      <c r="C60" s="50" t="s">
        <v>40</v>
      </c>
      <c r="D60" s="32"/>
      <c r="E60" s="32">
        <f t="shared" ref="E60:J60" si="3">E56</f>
        <v>259</v>
      </c>
      <c r="F60" s="32">
        <f t="shared" si="3"/>
        <v>270.56882406563352</v>
      </c>
      <c r="G60" s="32">
        <f t="shared" si="3"/>
        <v>274.8185961713765</v>
      </c>
      <c r="H60" s="32">
        <f t="shared" si="3"/>
        <v>279.77666362807656</v>
      </c>
      <c r="I60" s="32">
        <f t="shared" si="3"/>
        <v>284.73473108477668</v>
      </c>
      <c r="J60" s="32">
        <f t="shared" si="3"/>
        <v>291.34548769371008</v>
      </c>
      <c r="K60" s="95"/>
      <c r="L60" s="50"/>
      <c r="M60" s="15"/>
    </row>
    <row r="61" spans="1:16">
      <c r="A61" s="50"/>
      <c r="B61" s="50"/>
      <c r="C61" s="50" t="s">
        <v>312</v>
      </c>
      <c r="D61" s="32"/>
      <c r="E61" s="32">
        <f>Est!E12</f>
        <v>0</v>
      </c>
      <c r="F61" s="95"/>
      <c r="G61" s="95"/>
      <c r="H61" s="95"/>
      <c r="I61" s="95"/>
      <c r="J61" s="95"/>
      <c r="K61" s="95"/>
      <c r="L61" s="50"/>
      <c r="M61" s="15"/>
    </row>
    <row r="62" spans="1:16">
      <c r="A62" s="50"/>
      <c r="B62" s="50"/>
      <c r="C62" s="50" t="s">
        <v>313</v>
      </c>
      <c r="D62" s="32"/>
      <c r="E62" s="32">
        <f>Est!E13</f>
        <v>0</v>
      </c>
      <c r="F62" s="95"/>
      <c r="G62" s="95"/>
      <c r="H62" s="95"/>
      <c r="I62" s="95"/>
      <c r="J62" s="95"/>
      <c r="K62" s="95"/>
      <c r="L62" s="50"/>
      <c r="M62" s="15"/>
    </row>
    <row r="63" spans="1:16">
      <c r="A63" s="50"/>
      <c r="B63" s="50"/>
      <c r="C63" s="50" t="s">
        <v>41</v>
      </c>
      <c r="D63" s="50"/>
      <c r="E63" s="32">
        <f t="shared" ref="E63:J63" si="4">(E59*0.999-E60)*E41</f>
        <v>1957.6280949078568</v>
      </c>
      <c r="F63" s="32">
        <f t="shared" si="4"/>
        <v>2200.2770375078239</v>
      </c>
      <c r="G63" s="32">
        <f t="shared" si="4"/>
        <v>2645.6000180998012</v>
      </c>
      <c r="H63" s="32">
        <f t="shared" si="4"/>
        <v>2442.5773154348485</v>
      </c>
      <c r="I63" s="32">
        <f t="shared" si="4"/>
        <v>2238.7659163582675</v>
      </c>
      <c r="J63" s="32">
        <f t="shared" si="4"/>
        <v>2035.5423331667537</v>
      </c>
      <c r="K63" s="95"/>
      <c r="L63" s="50"/>
      <c r="M63" s="15"/>
    </row>
    <row r="64" spans="1:16">
      <c r="A64" s="50"/>
      <c r="B64" s="50"/>
      <c r="C64" s="50" t="s">
        <v>42</v>
      </c>
      <c r="D64" s="50"/>
      <c r="E64" s="129">
        <f>E14</f>
        <v>4225</v>
      </c>
      <c r="F64" s="32">
        <f>F59/F54</f>
        <v>4290.3973364405474</v>
      </c>
      <c r="G64" s="32">
        <f>G59/G54</f>
        <v>4367.6661342588031</v>
      </c>
      <c r="H64" s="32">
        <f>H59/H54</f>
        <v>4466.5559704484322</v>
      </c>
      <c r="I64" s="32">
        <f>I59/I54</f>
        <v>4560.6973474008209</v>
      </c>
      <c r="J64" s="32">
        <f>J59/J54</f>
        <v>4649.6221832235315</v>
      </c>
      <c r="K64" s="95"/>
      <c r="L64" s="50"/>
      <c r="M64" s="15"/>
    </row>
    <row r="65" spans="1:13">
      <c r="A65" s="50"/>
      <c r="B65" s="50"/>
      <c r="C65" s="50" t="s">
        <v>43</v>
      </c>
      <c r="D65" s="50"/>
      <c r="E65" s="129">
        <f>E59-E60-E61+E62+E63-E64</f>
        <v>111438.62809490785</v>
      </c>
      <c r="F65" s="32">
        <f>F59-F60+F63-F64</f>
        <v>109077.93897190949</v>
      </c>
      <c r="G65" s="32">
        <f>G59-G60+G63-G64</f>
        <v>107081.0542595791</v>
      </c>
      <c r="H65" s="32">
        <f>H59-H60+H63-H64</f>
        <v>104777.29894093744</v>
      </c>
      <c r="I65" s="32">
        <f>I59-I60+I63-I64</f>
        <v>102170.6327788101</v>
      </c>
      <c r="J65" s="32">
        <f>J59-J60+J63-J64</f>
        <v>99265.207441059625</v>
      </c>
      <c r="K65" s="95"/>
      <c r="L65" s="50"/>
      <c r="M65" s="15"/>
    </row>
    <row r="66" spans="1:13">
      <c r="A66" s="50"/>
      <c r="B66" s="50"/>
      <c r="C66" s="50"/>
      <c r="D66" s="50"/>
      <c r="E66" s="50"/>
      <c r="F66" s="50"/>
      <c r="G66" s="50"/>
      <c r="H66" s="50"/>
      <c r="I66" s="50"/>
      <c r="J66" s="50"/>
      <c r="K66" s="95"/>
      <c r="L66" s="27"/>
      <c r="M66" s="15"/>
    </row>
    <row r="67" spans="1:13" ht="15.75">
      <c r="A67" s="50"/>
      <c r="B67" s="50"/>
      <c r="C67" s="162" t="s">
        <v>67</v>
      </c>
      <c r="D67" s="50"/>
      <c r="E67" s="162" t="str">
        <f>Inputs!D$11</f>
        <v>2009/10</v>
      </c>
      <c r="F67" s="162" t="str">
        <f>Inputs!E$11</f>
        <v>2010/11</v>
      </c>
      <c r="G67" s="162" t="str">
        <f>Inputs!F$11</f>
        <v>2011/12</v>
      </c>
      <c r="H67" s="162" t="str">
        <f>Inputs!G$11</f>
        <v>2012/13</v>
      </c>
      <c r="I67" s="162" t="str">
        <f>Inputs!H$11</f>
        <v>2013/14</v>
      </c>
      <c r="J67" s="162" t="str">
        <f>Inputs!I$11</f>
        <v>2014/15</v>
      </c>
      <c r="K67" s="95"/>
      <c r="L67" s="27"/>
      <c r="M67" s="15"/>
    </row>
    <row r="68" spans="1:13">
      <c r="A68" s="50"/>
      <c r="B68" s="50"/>
      <c r="C68" s="164" t="s">
        <v>60</v>
      </c>
      <c r="D68" s="50"/>
      <c r="E68" s="192">
        <v>1</v>
      </c>
      <c r="F68" s="164">
        <f>E68+1</f>
        <v>2</v>
      </c>
      <c r="G68" s="164">
        <f>F68+1</f>
        <v>3</v>
      </c>
      <c r="H68" s="164">
        <f>G68+1</f>
        <v>4</v>
      </c>
      <c r="I68" s="164">
        <f>H68+1</f>
        <v>5</v>
      </c>
      <c r="J68" s="164">
        <f>I68+1</f>
        <v>6</v>
      </c>
      <c r="K68" s="95"/>
      <c r="L68" s="27"/>
      <c r="M68" s="15"/>
    </row>
    <row r="69" spans="1:13">
      <c r="A69" s="50"/>
      <c r="B69" s="50"/>
      <c r="C69" s="50" t="s">
        <v>39</v>
      </c>
      <c r="D69" s="32"/>
      <c r="E69" s="32">
        <f t="shared" ref="E69:J69" si="5">E$29</f>
        <v>5076</v>
      </c>
      <c r="F69" s="32">
        <f t="shared" si="5"/>
        <v>5502.0491620030361</v>
      </c>
      <c r="G69" s="32">
        <f t="shared" si="5"/>
        <v>5888.9763292164389</v>
      </c>
      <c r="H69" s="32">
        <f t="shared" si="5"/>
        <v>5903.3786523138315</v>
      </c>
      <c r="I69" s="32">
        <f t="shared" si="5"/>
        <v>5966.4877321646809</v>
      </c>
      <c r="J69" s="32">
        <f t="shared" si="5"/>
        <v>6121.6744020007181</v>
      </c>
      <c r="K69" s="95"/>
      <c r="L69" s="50"/>
      <c r="M69" s="15"/>
    </row>
    <row r="70" spans="1:13">
      <c r="A70" s="50">
        <v>1</v>
      </c>
      <c r="B70" s="50"/>
      <c r="C70" s="50" t="s">
        <v>254</v>
      </c>
      <c r="D70" s="50"/>
      <c r="E70" s="129">
        <v>0</v>
      </c>
      <c r="F70" s="32">
        <f t="shared" ref="F70:J75" si="6">E94</f>
        <v>5076</v>
      </c>
      <c r="G70" s="32">
        <f t="shared" si="6"/>
        <v>5063.766775557825</v>
      </c>
      <c r="H70" s="32">
        <f t="shared" si="6"/>
        <v>5071.9326458775058</v>
      </c>
      <c r="I70" s="32">
        <f t="shared" si="6"/>
        <v>5070.0937649621428</v>
      </c>
      <c r="J70" s="32">
        <f t="shared" si="6"/>
        <v>5058.1136559555653</v>
      </c>
      <c r="K70" s="95"/>
      <c r="L70" s="50"/>
      <c r="M70" s="15"/>
    </row>
    <row r="71" spans="1:13">
      <c r="A71" s="50">
        <v>2</v>
      </c>
      <c r="B71" s="50"/>
      <c r="C71" s="50" t="s">
        <v>255</v>
      </c>
      <c r="D71" s="50"/>
      <c r="E71" s="129">
        <v>0</v>
      </c>
      <c r="F71" s="32">
        <f t="shared" si="6"/>
        <v>0</v>
      </c>
      <c r="G71" s="32">
        <f t="shared" si="6"/>
        <v>5502.0491620030361</v>
      </c>
      <c r="H71" s="32">
        <f t="shared" si="6"/>
        <v>5513.7006226707945</v>
      </c>
      <c r="I71" s="32">
        <f t="shared" si="6"/>
        <v>5514.6157923574274</v>
      </c>
      <c r="J71" s="32">
        <f t="shared" si="6"/>
        <v>5504.6388207322025</v>
      </c>
      <c r="K71" s="95"/>
      <c r="L71" s="50"/>
      <c r="M71" s="15"/>
    </row>
    <row r="72" spans="1:13">
      <c r="A72" s="50">
        <v>3</v>
      </c>
      <c r="B72" s="50"/>
      <c r="C72" s="50" t="s">
        <v>256</v>
      </c>
      <c r="D72" s="50"/>
      <c r="E72" s="129">
        <v>0</v>
      </c>
      <c r="F72" s="32">
        <f t="shared" si="6"/>
        <v>0</v>
      </c>
      <c r="G72" s="32">
        <f t="shared" si="6"/>
        <v>0</v>
      </c>
      <c r="H72" s="32">
        <f t="shared" si="6"/>
        <v>5888.9763292164389</v>
      </c>
      <c r="I72" s="32">
        <f t="shared" si="6"/>
        <v>5892.9280180191936</v>
      </c>
      <c r="J72" s="32">
        <f t="shared" si="6"/>
        <v>5885.3812642049379</v>
      </c>
      <c r="K72" s="95"/>
      <c r="L72" s="50"/>
      <c r="M72" s="15"/>
    </row>
    <row r="73" spans="1:13">
      <c r="A73" s="50">
        <v>4</v>
      </c>
      <c r="B73" s="50"/>
      <c r="C73" s="50" t="s">
        <v>257</v>
      </c>
      <c r="D73" s="50"/>
      <c r="E73" s="129">
        <v>0</v>
      </c>
      <c r="F73" s="32">
        <f t="shared" si="6"/>
        <v>0</v>
      </c>
      <c r="G73" s="32">
        <f t="shared" si="6"/>
        <v>0</v>
      </c>
      <c r="H73" s="32">
        <f t="shared" si="6"/>
        <v>0</v>
      </c>
      <c r="I73" s="32">
        <f t="shared" si="6"/>
        <v>5903.3786523138315</v>
      </c>
      <c r="J73" s="32">
        <f t="shared" si="6"/>
        <v>5898.8000193079861</v>
      </c>
      <c r="K73" s="95"/>
      <c r="L73" s="50"/>
      <c r="M73" s="15"/>
    </row>
    <row r="74" spans="1:13">
      <c r="A74" s="50">
        <v>5</v>
      </c>
      <c r="B74" s="50"/>
      <c r="C74" s="50" t="s">
        <v>258</v>
      </c>
      <c r="D74" s="50"/>
      <c r="E74" s="129">
        <v>0</v>
      </c>
      <c r="F74" s="32">
        <f t="shared" si="6"/>
        <v>0</v>
      </c>
      <c r="G74" s="32">
        <f t="shared" si="6"/>
        <v>0</v>
      </c>
      <c r="H74" s="32">
        <f t="shared" si="6"/>
        <v>0</v>
      </c>
      <c r="I74" s="32">
        <f t="shared" si="6"/>
        <v>0</v>
      </c>
      <c r="J74" s="32">
        <f t="shared" si="6"/>
        <v>5966.4877321646809</v>
      </c>
      <c r="K74" s="95"/>
      <c r="L74" s="50"/>
      <c r="M74" s="15"/>
    </row>
    <row r="75" spans="1:13">
      <c r="A75" s="50">
        <v>6</v>
      </c>
      <c r="B75" s="50"/>
      <c r="C75" s="50" t="s">
        <v>259</v>
      </c>
      <c r="D75" s="50"/>
      <c r="E75" s="129">
        <v>0</v>
      </c>
      <c r="F75" s="32">
        <f t="shared" si="6"/>
        <v>0</v>
      </c>
      <c r="G75" s="32">
        <f t="shared" si="6"/>
        <v>0</v>
      </c>
      <c r="H75" s="32">
        <f t="shared" si="6"/>
        <v>0</v>
      </c>
      <c r="I75" s="32">
        <f t="shared" si="6"/>
        <v>0</v>
      </c>
      <c r="J75" s="32">
        <f t="shared" si="6"/>
        <v>0</v>
      </c>
      <c r="K75" s="95"/>
      <c r="L75" s="50"/>
      <c r="M75" s="15"/>
    </row>
    <row r="76" spans="1:13">
      <c r="A76" s="50">
        <v>1</v>
      </c>
      <c r="B76" s="50"/>
      <c r="C76" s="50" t="s">
        <v>236</v>
      </c>
      <c r="D76" s="50"/>
      <c r="E76" s="129">
        <f>Inputs!$C$7+$A76</f>
        <v>46</v>
      </c>
      <c r="F76" s="32">
        <f t="shared" ref="F76:J81" si="7">E76-1</f>
        <v>45</v>
      </c>
      <c r="G76" s="32">
        <f t="shared" si="7"/>
        <v>44</v>
      </c>
      <c r="H76" s="32">
        <f t="shared" si="7"/>
        <v>43</v>
      </c>
      <c r="I76" s="32">
        <f t="shared" si="7"/>
        <v>42</v>
      </c>
      <c r="J76" s="32">
        <f t="shared" si="7"/>
        <v>41</v>
      </c>
      <c r="K76" s="95"/>
      <c r="L76" s="50"/>
      <c r="M76" s="15"/>
    </row>
    <row r="77" spans="1:13">
      <c r="A77" s="50">
        <v>2</v>
      </c>
      <c r="B77" s="50"/>
      <c r="C77" s="50" t="s">
        <v>237</v>
      </c>
      <c r="D77" s="50"/>
      <c r="E77" s="129">
        <f>Inputs!$C$7+$A77</f>
        <v>47</v>
      </c>
      <c r="F77" s="32">
        <f t="shared" si="7"/>
        <v>46</v>
      </c>
      <c r="G77" s="32">
        <f t="shared" si="7"/>
        <v>45</v>
      </c>
      <c r="H77" s="32">
        <f t="shared" si="7"/>
        <v>44</v>
      </c>
      <c r="I77" s="32">
        <f t="shared" si="7"/>
        <v>43</v>
      </c>
      <c r="J77" s="32">
        <f t="shared" si="7"/>
        <v>42</v>
      </c>
      <c r="K77" s="95"/>
      <c r="L77" s="50"/>
      <c r="M77" s="15"/>
    </row>
    <row r="78" spans="1:13">
      <c r="A78" s="50">
        <v>3</v>
      </c>
      <c r="B78" s="50"/>
      <c r="C78" s="50" t="s">
        <v>238</v>
      </c>
      <c r="D78" s="50"/>
      <c r="E78" s="129">
        <f>Inputs!$C$7+$A78</f>
        <v>48</v>
      </c>
      <c r="F78" s="32">
        <f t="shared" si="7"/>
        <v>47</v>
      </c>
      <c r="G78" s="32">
        <f t="shared" si="7"/>
        <v>46</v>
      </c>
      <c r="H78" s="32">
        <f t="shared" si="7"/>
        <v>45</v>
      </c>
      <c r="I78" s="32">
        <f t="shared" si="7"/>
        <v>44</v>
      </c>
      <c r="J78" s="32">
        <f t="shared" si="7"/>
        <v>43</v>
      </c>
      <c r="K78" s="95"/>
      <c r="L78" s="50"/>
      <c r="M78" s="15"/>
    </row>
    <row r="79" spans="1:13">
      <c r="A79" s="50">
        <v>4</v>
      </c>
      <c r="B79" s="50"/>
      <c r="C79" s="50" t="s">
        <v>239</v>
      </c>
      <c r="D79" s="50"/>
      <c r="E79" s="129">
        <f>Inputs!$C$7+$A79</f>
        <v>49</v>
      </c>
      <c r="F79" s="32">
        <f t="shared" si="7"/>
        <v>48</v>
      </c>
      <c r="G79" s="32">
        <f t="shared" si="7"/>
        <v>47</v>
      </c>
      <c r="H79" s="32">
        <f t="shared" si="7"/>
        <v>46</v>
      </c>
      <c r="I79" s="32">
        <f t="shared" si="7"/>
        <v>45</v>
      </c>
      <c r="J79" s="32">
        <f t="shared" si="7"/>
        <v>44</v>
      </c>
      <c r="K79" s="95"/>
      <c r="L79" s="50"/>
      <c r="M79" s="15"/>
    </row>
    <row r="80" spans="1:13">
      <c r="A80" s="50">
        <v>5</v>
      </c>
      <c r="B80" s="50"/>
      <c r="C80" s="50" t="s">
        <v>240</v>
      </c>
      <c r="D80" s="50"/>
      <c r="E80" s="129">
        <f>Inputs!$C$7+$A80</f>
        <v>50</v>
      </c>
      <c r="F80" s="32">
        <f t="shared" si="7"/>
        <v>49</v>
      </c>
      <c r="G80" s="32">
        <f t="shared" si="7"/>
        <v>48</v>
      </c>
      <c r="H80" s="32">
        <f t="shared" si="7"/>
        <v>47</v>
      </c>
      <c r="I80" s="32">
        <f t="shared" si="7"/>
        <v>46</v>
      </c>
      <c r="J80" s="32">
        <f t="shared" si="7"/>
        <v>45</v>
      </c>
      <c r="K80" s="95"/>
      <c r="L80" s="50"/>
      <c r="M80" s="15"/>
    </row>
    <row r="81" spans="1:13">
      <c r="A81" s="50">
        <v>6</v>
      </c>
      <c r="B81" s="50"/>
      <c r="C81" s="50" t="s">
        <v>241</v>
      </c>
      <c r="D81" s="50"/>
      <c r="E81" s="129">
        <f>Inputs!$C$7+$A81</f>
        <v>51</v>
      </c>
      <c r="F81" s="32">
        <f t="shared" si="7"/>
        <v>50</v>
      </c>
      <c r="G81" s="32">
        <f t="shared" si="7"/>
        <v>49</v>
      </c>
      <c r="H81" s="32">
        <f t="shared" si="7"/>
        <v>48</v>
      </c>
      <c r="I81" s="32">
        <f t="shared" si="7"/>
        <v>47</v>
      </c>
      <c r="J81" s="32">
        <f t="shared" si="7"/>
        <v>46</v>
      </c>
      <c r="K81" s="95"/>
      <c r="L81" s="50"/>
      <c r="M81" s="15"/>
    </row>
    <row r="82" spans="1:13">
      <c r="A82" s="50">
        <v>1</v>
      </c>
      <c r="B82" s="50"/>
      <c r="C82" s="50" t="s">
        <v>260</v>
      </c>
      <c r="D82" s="50"/>
      <c r="E82" s="32">
        <f t="shared" ref="E82:J87" si="8">E70*E$41</f>
        <v>0</v>
      </c>
      <c r="F82" s="32">
        <f t="shared" si="8"/>
        <v>100.56677555782528</v>
      </c>
      <c r="G82" s="32">
        <f t="shared" si="8"/>
        <v>123.2514788550864</v>
      </c>
      <c r="H82" s="32">
        <f t="shared" si="8"/>
        <v>116.11304108178861</v>
      </c>
      <c r="I82" s="32">
        <f t="shared" si="8"/>
        <v>108.73640920680644</v>
      </c>
      <c r="J82" s="32">
        <f t="shared" si="8"/>
        <v>101.16227311911139</v>
      </c>
      <c r="K82" s="95"/>
      <c r="L82" s="50"/>
      <c r="M82" s="15"/>
    </row>
    <row r="83" spans="1:13">
      <c r="A83" s="50">
        <v>2</v>
      </c>
      <c r="B83" s="50"/>
      <c r="C83" s="50" t="s">
        <v>261</v>
      </c>
      <c r="D83" s="50"/>
      <c r="E83" s="32">
        <f t="shared" si="8"/>
        <v>0</v>
      </c>
      <c r="F83" s="32">
        <f t="shared" si="8"/>
        <v>0</v>
      </c>
      <c r="G83" s="32">
        <f t="shared" si="8"/>
        <v>133.9192198233813</v>
      </c>
      <c r="H83" s="32">
        <f t="shared" si="8"/>
        <v>126.22654747460528</v>
      </c>
      <c r="I83" s="32">
        <f t="shared" si="8"/>
        <v>118.26990726680806</v>
      </c>
      <c r="J83" s="32">
        <f t="shared" si="8"/>
        <v>110.09277641464415</v>
      </c>
      <c r="K83" s="95"/>
      <c r="L83" s="50"/>
      <c r="M83" s="15"/>
    </row>
    <row r="84" spans="1:13">
      <c r="A84" s="50">
        <v>3</v>
      </c>
      <c r="B84" s="50"/>
      <c r="C84" s="50" t="s">
        <v>262</v>
      </c>
      <c r="D84" s="50"/>
      <c r="E84" s="32">
        <f t="shared" si="8"/>
        <v>0</v>
      </c>
      <c r="F84" s="32">
        <f t="shared" si="8"/>
        <v>0</v>
      </c>
      <c r="G84" s="32">
        <f t="shared" si="8"/>
        <v>0</v>
      </c>
      <c r="H84" s="32">
        <f t="shared" si="8"/>
        <v>134.81782945200874</v>
      </c>
      <c r="I84" s="32">
        <f t="shared" si="8"/>
        <v>126.3834284134535</v>
      </c>
      <c r="J84" s="32">
        <f t="shared" si="8"/>
        <v>117.70762528409887</v>
      </c>
      <c r="K84" s="95"/>
      <c r="L84" s="50"/>
      <c r="M84" s="15"/>
    </row>
    <row r="85" spans="1:13">
      <c r="A85" s="50">
        <v>4</v>
      </c>
      <c r="B85" s="50"/>
      <c r="C85" s="50" t="s">
        <v>263</v>
      </c>
      <c r="D85" s="50"/>
      <c r="E85" s="32">
        <f t="shared" si="8"/>
        <v>0</v>
      </c>
      <c r="F85" s="32">
        <f t="shared" si="8"/>
        <v>0</v>
      </c>
      <c r="G85" s="32">
        <f t="shared" si="8"/>
        <v>0</v>
      </c>
      <c r="H85" s="32">
        <f t="shared" si="8"/>
        <v>0</v>
      </c>
      <c r="I85" s="32">
        <f t="shared" si="8"/>
        <v>126.607559267795</v>
      </c>
      <c r="J85" s="32">
        <f t="shared" si="8"/>
        <v>117.97600038615982</v>
      </c>
      <c r="K85" s="95"/>
      <c r="L85" s="50"/>
      <c r="M85" s="15"/>
    </row>
    <row r="86" spans="1:13">
      <c r="A86" s="50">
        <v>5</v>
      </c>
      <c r="B86" s="50"/>
      <c r="C86" s="50" t="s">
        <v>264</v>
      </c>
      <c r="D86" s="50"/>
      <c r="E86" s="32">
        <f t="shared" si="8"/>
        <v>0</v>
      </c>
      <c r="F86" s="32">
        <f t="shared" si="8"/>
        <v>0</v>
      </c>
      <c r="G86" s="32">
        <f t="shared" si="8"/>
        <v>0</v>
      </c>
      <c r="H86" s="32">
        <f t="shared" si="8"/>
        <v>0</v>
      </c>
      <c r="I86" s="32">
        <f t="shared" si="8"/>
        <v>0</v>
      </c>
      <c r="J86" s="32">
        <f t="shared" si="8"/>
        <v>119.32975464329373</v>
      </c>
      <c r="K86" s="95"/>
      <c r="L86" s="50"/>
      <c r="M86" s="15"/>
    </row>
    <row r="87" spans="1:13">
      <c r="A87" s="50">
        <v>6</v>
      </c>
      <c r="B87" s="50"/>
      <c r="C87" s="50" t="s">
        <v>265</v>
      </c>
      <c r="D87" s="50"/>
      <c r="E87" s="32">
        <f t="shared" si="8"/>
        <v>0</v>
      </c>
      <c r="F87" s="32">
        <f t="shared" si="8"/>
        <v>0</v>
      </c>
      <c r="G87" s="32">
        <f t="shared" si="8"/>
        <v>0</v>
      </c>
      <c r="H87" s="32">
        <f t="shared" si="8"/>
        <v>0</v>
      </c>
      <c r="I87" s="32">
        <f t="shared" si="8"/>
        <v>0</v>
      </c>
      <c r="J87" s="32">
        <f t="shared" si="8"/>
        <v>0</v>
      </c>
      <c r="K87" s="95"/>
      <c r="L87" s="50"/>
      <c r="M87" s="15"/>
    </row>
    <row r="88" spans="1:13">
      <c r="A88" s="50">
        <v>1</v>
      </c>
      <c r="B88" s="50"/>
      <c r="C88" s="50" t="s">
        <v>266</v>
      </c>
      <c r="D88" s="50"/>
      <c r="E88" s="32">
        <f t="shared" ref="E88:J93" si="9">E70/E76</f>
        <v>0</v>
      </c>
      <c r="F88" s="32">
        <f t="shared" si="9"/>
        <v>112.8</v>
      </c>
      <c r="G88" s="32">
        <f t="shared" si="9"/>
        <v>115.08560853540511</v>
      </c>
      <c r="H88" s="32">
        <f t="shared" si="9"/>
        <v>117.9519219971513</v>
      </c>
      <c r="I88" s="32">
        <f t="shared" si="9"/>
        <v>120.71651821338435</v>
      </c>
      <c r="J88" s="32">
        <f t="shared" si="9"/>
        <v>123.36862575501378</v>
      </c>
      <c r="K88" s="95"/>
      <c r="L88" s="50"/>
      <c r="M88" s="15"/>
    </row>
    <row r="89" spans="1:13">
      <c r="A89" s="50">
        <v>2</v>
      </c>
      <c r="B89" s="50"/>
      <c r="C89" s="50" t="s">
        <v>267</v>
      </c>
      <c r="D89" s="50"/>
      <c r="E89" s="32">
        <f t="shared" si="9"/>
        <v>0</v>
      </c>
      <c r="F89" s="32">
        <f t="shared" si="9"/>
        <v>0</v>
      </c>
      <c r="G89" s="32">
        <f t="shared" si="9"/>
        <v>122.26775915562303</v>
      </c>
      <c r="H89" s="32">
        <f t="shared" si="9"/>
        <v>125.3113777879726</v>
      </c>
      <c r="I89" s="32">
        <f t="shared" si="9"/>
        <v>128.24687889203321</v>
      </c>
      <c r="J89" s="32">
        <f t="shared" si="9"/>
        <v>131.06282906505243</v>
      </c>
      <c r="K89" s="95"/>
      <c r="L89" s="50"/>
      <c r="M89" s="15"/>
    </row>
    <row r="90" spans="1:13">
      <c r="A90" s="50">
        <v>3</v>
      </c>
      <c r="B90" s="50"/>
      <c r="C90" s="50" t="s">
        <v>268</v>
      </c>
      <c r="D90" s="50"/>
      <c r="E90" s="32">
        <f t="shared" si="9"/>
        <v>0</v>
      </c>
      <c r="F90" s="32">
        <f t="shared" si="9"/>
        <v>0</v>
      </c>
      <c r="G90" s="32">
        <f t="shared" si="9"/>
        <v>0</v>
      </c>
      <c r="H90" s="32">
        <f t="shared" si="9"/>
        <v>130.86614064925419</v>
      </c>
      <c r="I90" s="32">
        <f t="shared" si="9"/>
        <v>133.93018222770894</v>
      </c>
      <c r="J90" s="32">
        <f t="shared" si="9"/>
        <v>136.86933172569624</v>
      </c>
      <c r="K90" s="95"/>
      <c r="L90" s="50"/>
      <c r="M90" s="15"/>
    </row>
    <row r="91" spans="1:13">
      <c r="A91" s="50">
        <v>4</v>
      </c>
      <c r="B91" s="50"/>
      <c r="C91" s="50" t="s">
        <v>269</v>
      </c>
      <c r="D91" s="50"/>
      <c r="E91" s="32">
        <f t="shared" si="9"/>
        <v>0</v>
      </c>
      <c r="F91" s="32">
        <f t="shared" si="9"/>
        <v>0</v>
      </c>
      <c r="G91" s="32">
        <f t="shared" si="9"/>
        <v>0</v>
      </c>
      <c r="H91" s="32">
        <f t="shared" si="9"/>
        <v>0</v>
      </c>
      <c r="I91" s="32">
        <f t="shared" si="9"/>
        <v>131.1861922736407</v>
      </c>
      <c r="J91" s="32">
        <f t="shared" si="9"/>
        <v>134.06363680245423</v>
      </c>
      <c r="K91" s="95"/>
      <c r="L91" s="50"/>
      <c r="M91" s="15"/>
    </row>
    <row r="92" spans="1:13">
      <c r="A92" s="50">
        <v>5</v>
      </c>
      <c r="B92" s="50"/>
      <c r="C92" s="50" t="s">
        <v>270</v>
      </c>
      <c r="D92" s="50"/>
      <c r="E92" s="32">
        <f t="shared" si="9"/>
        <v>0</v>
      </c>
      <c r="F92" s="32">
        <f t="shared" si="9"/>
        <v>0</v>
      </c>
      <c r="G92" s="32">
        <f t="shared" si="9"/>
        <v>0</v>
      </c>
      <c r="H92" s="32">
        <f t="shared" si="9"/>
        <v>0</v>
      </c>
      <c r="I92" s="32">
        <f t="shared" si="9"/>
        <v>0</v>
      </c>
      <c r="J92" s="32">
        <f t="shared" si="9"/>
        <v>132.58861627032624</v>
      </c>
      <c r="K92" s="95"/>
      <c r="L92" s="50"/>
      <c r="M92" s="15"/>
    </row>
    <row r="93" spans="1:13">
      <c r="A93" s="50">
        <v>6</v>
      </c>
      <c r="B93" s="50"/>
      <c r="C93" s="50" t="s">
        <v>271</v>
      </c>
      <c r="D93" s="50"/>
      <c r="E93" s="32">
        <f t="shared" si="9"/>
        <v>0</v>
      </c>
      <c r="F93" s="32">
        <f t="shared" si="9"/>
        <v>0</v>
      </c>
      <c r="G93" s="32">
        <f t="shared" si="9"/>
        <v>0</v>
      </c>
      <c r="H93" s="32">
        <f t="shared" si="9"/>
        <v>0</v>
      </c>
      <c r="I93" s="32">
        <f t="shared" si="9"/>
        <v>0</v>
      </c>
      <c r="J93" s="32">
        <f t="shared" si="9"/>
        <v>0</v>
      </c>
      <c r="K93" s="95"/>
      <c r="L93" s="50"/>
      <c r="M93" s="15"/>
    </row>
    <row r="94" spans="1:13">
      <c r="A94" s="50">
        <v>1</v>
      </c>
      <c r="B94" s="50"/>
      <c r="C94" s="50" t="s">
        <v>272</v>
      </c>
      <c r="D94" s="50"/>
      <c r="E94" s="32">
        <f t="shared" ref="E94:J99" si="10">E70+E82-E88+IF($A94=E$68,E$69,0)</f>
        <v>5076</v>
      </c>
      <c r="F94" s="32">
        <f t="shared" si="10"/>
        <v>5063.766775557825</v>
      </c>
      <c r="G94" s="32">
        <f t="shared" si="10"/>
        <v>5071.9326458775058</v>
      </c>
      <c r="H94" s="32">
        <f t="shared" si="10"/>
        <v>5070.0937649621428</v>
      </c>
      <c r="I94" s="32">
        <f t="shared" si="10"/>
        <v>5058.1136559555653</v>
      </c>
      <c r="J94" s="32">
        <f t="shared" si="10"/>
        <v>5035.9073033196628</v>
      </c>
      <c r="K94" s="95"/>
      <c r="L94" s="50"/>
      <c r="M94" s="15"/>
    </row>
    <row r="95" spans="1:13">
      <c r="A95" s="50">
        <v>2</v>
      </c>
      <c r="B95" s="50"/>
      <c r="C95" s="50" t="s">
        <v>273</v>
      </c>
      <c r="D95" s="50"/>
      <c r="E95" s="32">
        <f t="shared" si="10"/>
        <v>0</v>
      </c>
      <c r="F95" s="32">
        <f t="shared" si="10"/>
        <v>5502.0491620030361</v>
      </c>
      <c r="G95" s="32">
        <f t="shared" si="10"/>
        <v>5513.7006226707945</v>
      </c>
      <c r="H95" s="32">
        <f t="shared" si="10"/>
        <v>5514.6157923574274</v>
      </c>
      <c r="I95" s="32">
        <f t="shared" si="10"/>
        <v>5504.6388207322025</v>
      </c>
      <c r="J95" s="32">
        <f t="shared" si="10"/>
        <v>5483.668768081795</v>
      </c>
      <c r="K95" s="95"/>
      <c r="L95" s="50"/>
      <c r="M95" s="15"/>
    </row>
    <row r="96" spans="1:13">
      <c r="A96" s="50">
        <v>3</v>
      </c>
      <c r="B96" s="50"/>
      <c r="C96" s="50" t="s">
        <v>274</v>
      </c>
      <c r="D96" s="50"/>
      <c r="E96" s="32">
        <f t="shared" si="10"/>
        <v>0</v>
      </c>
      <c r="F96" s="32">
        <f t="shared" si="10"/>
        <v>0</v>
      </c>
      <c r="G96" s="32">
        <f t="shared" si="10"/>
        <v>5888.9763292164389</v>
      </c>
      <c r="H96" s="32">
        <f t="shared" si="10"/>
        <v>5892.9280180191936</v>
      </c>
      <c r="I96" s="32">
        <f t="shared" si="10"/>
        <v>5885.3812642049379</v>
      </c>
      <c r="J96" s="32">
        <f t="shared" si="10"/>
        <v>5866.2195577633402</v>
      </c>
      <c r="K96" s="95"/>
      <c r="L96" s="50"/>
      <c r="M96" s="15"/>
    </row>
    <row r="97" spans="1:13">
      <c r="A97" s="50">
        <v>4</v>
      </c>
      <c r="B97" s="50"/>
      <c r="C97" s="50" t="s">
        <v>275</v>
      </c>
      <c r="D97" s="50"/>
      <c r="E97" s="32">
        <f t="shared" si="10"/>
        <v>0</v>
      </c>
      <c r="F97" s="32">
        <f t="shared" si="10"/>
        <v>0</v>
      </c>
      <c r="G97" s="32">
        <f t="shared" si="10"/>
        <v>0</v>
      </c>
      <c r="H97" s="32">
        <f t="shared" si="10"/>
        <v>5903.3786523138315</v>
      </c>
      <c r="I97" s="32">
        <f t="shared" si="10"/>
        <v>5898.8000193079861</v>
      </c>
      <c r="J97" s="32">
        <f t="shared" si="10"/>
        <v>5882.712382891692</v>
      </c>
      <c r="K97" s="95"/>
      <c r="L97" s="50"/>
      <c r="M97" s="15"/>
    </row>
    <row r="98" spans="1:13">
      <c r="A98" s="50">
        <v>5</v>
      </c>
      <c r="B98" s="50"/>
      <c r="C98" s="50" t="s">
        <v>276</v>
      </c>
      <c r="D98" s="50"/>
      <c r="E98" s="32">
        <f t="shared" si="10"/>
        <v>0</v>
      </c>
      <c r="F98" s="32">
        <f t="shared" si="10"/>
        <v>0</v>
      </c>
      <c r="G98" s="32">
        <f t="shared" si="10"/>
        <v>0</v>
      </c>
      <c r="H98" s="32">
        <f t="shared" si="10"/>
        <v>0</v>
      </c>
      <c r="I98" s="32">
        <f t="shared" si="10"/>
        <v>5966.4877321646809</v>
      </c>
      <c r="J98" s="32">
        <f t="shared" si="10"/>
        <v>5953.2288705376486</v>
      </c>
      <c r="K98" s="95"/>
      <c r="L98" s="50"/>
      <c r="M98" s="15"/>
    </row>
    <row r="99" spans="1:13">
      <c r="A99" s="50">
        <v>6</v>
      </c>
      <c r="B99" s="50"/>
      <c r="C99" s="50" t="s">
        <v>277</v>
      </c>
      <c r="D99" s="50"/>
      <c r="E99" s="32">
        <f t="shared" si="10"/>
        <v>0</v>
      </c>
      <c r="F99" s="32">
        <f t="shared" si="10"/>
        <v>0</v>
      </c>
      <c r="G99" s="32">
        <f t="shared" si="10"/>
        <v>0</v>
      </c>
      <c r="H99" s="32">
        <f t="shared" si="10"/>
        <v>0</v>
      </c>
      <c r="I99" s="32">
        <f t="shared" si="10"/>
        <v>0</v>
      </c>
      <c r="J99" s="32">
        <f t="shared" si="10"/>
        <v>6121.6744020007181</v>
      </c>
      <c r="K99" s="95"/>
      <c r="L99" s="50"/>
      <c r="M99" s="15"/>
    </row>
    <row r="100" spans="1:13">
      <c r="A100" s="50"/>
      <c r="B100" s="50"/>
      <c r="C100" s="50" t="s">
        <v>146</v>
      </c>
      <c r="D100" s="50"/>
      <c r="E100" s="32">
        <f t="shared" ref="E100:J100" si="11">SUM(E70:E75)</f>
        <v>0</v>
      </c>
      <c r="F100" s="32">
        <f t="shared" si="11"/>
        <v>5076</v>
      </c>
      <c r="G100" s="32">
        <f t="shared" si="11"/>
        <v>10565.815937560861</v>
      </c>
      <c r="H100" s="32">
        <f t="shared" si="11"/>
        <v>16474.609597764738</v>
      </c>
      <c r="I100" s="32">
        <f t="shared" si="11"/>
        <v>22381.016227652595</v>
      </c>
      <c r="J100" s="32">
        <f t="shared" si="11"/>
        <v>28313.421492365374</v>
      </c>
      <c r="K100" s="95"/>
      <c r="L100" s="27"/>
      <c r="M100" s="15"/>
    </row>
    <row r="101" spans="1:13">
      <c r="A101" s="50"/>
      <c r="B101" s="50"/>
      <c r="C101" s="50" t="s">
        <v>147</v>
      </c>
      <c r="D101" s="50"/>
      <c r="E101" s="32">
        <f t="shared" ref="E101:J101" si="12">SUM(E82:E87)</f>
        <v>0</v>
      </c>
      <c r="F101" s="32">
        <f t="shared" si="12"/>
        <v>100.56677555782528</v>
      </c>
      <c r="G101" s="32">
        <f t="shared" si="12"/>
        <v>257.17069867846772</v>
      </c>
      <c r="H101" s="32">
        <f t="shared" si="12"/>
        <v>377.1574180084026</v>
      </c>
      <c r="I101" s="32">
        <f t="shared" si="12"/>
        <v>479.997304154863</v>
      </c>
      <c r="J101" s="32">
        <f t="shared" si="12"/>
        <v>566.26842984730797</v>
      </c>
      <c r="K101" s="95"/>
      <c r="L101" s="27"/>
      <c r="M101" s="15"/>
    </row>
    <row r="102" spans="1:13">
      <c r="A102" s="50"/>
      <c r="B102" s="50"/>
      <c r="C102" s="50" t="s">
        <v>68</v>
      </c>
      <c r="D102" s="50"/>
      <c r="E102" s="32">
        <f t="shared" ref="E102:J102" si="13">SUM(E88:E93)</f>
        <v>0</v>
      </c>
      <c r="F102" s="32">
        <f t="shared" si="13"/>
        <v>112.8</v>
      </c>
      <c r="G102" s="32">
        <f t="shared" si="13"/>
        <v>237.35336769102815</v>
      </c>
      <c r="H102" s="32">
        <f t="shared" si="13"/>
        <v>374.12944043437813</v>
      </c>
      <c r="I102" s="32">
        <f t="shared" si="13"/>
        <v>514.07977160676717</v>
      </c>
      <c r="J102" s="32">
        <f t="shared" si="13"/>
        <v>657.9530396185429</v>
      </c>
      <c r="K102" s="95"/>
      <c r="L102" s="27"/>
      <c r="M102" s="15"/>
    </row>
    <row r="103" spans="1:13">
      <c r="A103" s="50"/>
      <c r="B103" s="50"/>
      <c r="C103" s="50" t="s">
        <v>148</v>
      </c>
      <c r="D103" s="50"/>
      <c r="E103" s="32">
        <f t="shared" ref="E103:J103" si="14">SUM(E94:E99)</f>
        <v>5076</v>
      </c>
      <c r="F103" s="32">
        <f t="shared" si="14"/>
        <v>10565.815937560861</v>
      </c>
      <c r="G103" s="32">
        <f t="shared" si="14"/>
        <v>16474.609597764738</v>
      </c>
      <c r="H103" s="32">
        <f t="shared" si="14"/>
        <v>22381.016227652595</v>
      </c>
      <c r="I103" s="32">
        <f t="shared" si="14"/>
        <v>28313.421492365374</v>
      </c>
      <c r="J103" s="32">
        <f t="shared" si="14"/>
        <v>34343.411284594855</v>
      </c>
      <c r="K103" s="95"/>
      <c r="L103" s="50"/>
      <c r="M103" s="15"/>
    </row>
    <row r="104" spans="1:13">
      <c r="A104" s="50"/>
      <c r="B104" s="50"/>
      <c r="C104" s="50"/>
      <c r="D104" s="50"/>
      <c r="E104" s="32"/>
      <c r="F104" s="32"/>
      <c r="G104" s="32"/>
      <c r="H104" s="32"/>
      <c r="I104" s="32"/>
      <c r="J104" s="32"/>
      <c r="K104" s="95"/>
      <c r="L104" s="50"/>
      <c r="M104" s="15"/>
    </row>
    <row r="105" spans="1:13" ht="15.75">
      <c r="A105" s="50"/>
      <c r="B105" s="50"/>
      <c r="C105" s="162" t="s">
        <v>121</v>
      </c>
      <c r="D105" s="50"/>
      <c r="E105" s="162" t="str">
        <f>Inputs!D$11</f>
        <v>2009/10</v>
      </c>
      <c r="F105" s="162" t="str">
        <f>Inputs!E$11</f>
        <v>2010/11</v>
      </c>
      <c r="G105" s="162" t="str">
        <f>Inputs!F$11</f>
        <v>2011/12</v>
      </c>
      <c r="H105" s="162" t="str">
        <f>Inputs!G$11</f>
        <v>2012/13</v>
      </c>
      <c r="I105" s="162" t="str">
        <f>Inputs!H$11</f>
        <v>2013/14</v>
      </c>
      <c r="J105" s="162" t="str">
        <f>Inputs!I$11</f>
        <v>2014/15</v>
      </c>
      <c r="K105" s="95"/>
      <c r="L105" s="50"/>
      <c r="M105" s="15"/>
    </row>
    <row r="106" spans="1:13">
      <c r="A106" s="50"/>
      <c r="B106" s="50"/>
      <c r="C106" s="164" t="s">
        <v>60</v>
      </c>
      <c r="D106" s="50"/>
      <c r="E106" s="164">
        <v>1</v>
      </c>
      <c r="F106" s="164">
        <v>2</v>
      </c>
      <c r="G106" s="164">
        <v>3</v>
      </c>
      <c r="H106" s="164">
        <v>4</v>
      </c>
      <c r="I106" s="164">
        <v>5</v>
      </c>
      <c r="J106" s="164">
        <v>6</v>
      </c>
      <c r="K106" s="95"/>
      <c r="L106" s="50"/>
      <c r="M106" s="15"/>
    </row>
    <row r="107" spans="1:13">
      <c r="A107" s="50"/>
      <c r="B107" s="50"/>
      <c r="C107" s="50" t="s">
        <v>39</v>
      </c>
      <c r="D107" s="32"/>
      <c r="E107" s="32">
        <f t="shared" ref="E107:J107" si="15">E$29</f>
        <v>5076</v>
      </c>
      <c r="F107" s="32">
        <f t="shared" si="15"/>
        <v>5502.0491620030361</v>
      </c>
      <c r="G107" s="32">
        <f t="shared" si="15"/>
        <v>5888.9763292164389</v>
      </c>
      <c r="H107" s="32">
        <f t="shared" si="15"/>
        <v>5903.3786523138315</v>
      </c>
      <c r="I107" s="32">
        <f t="shared" si="15"/>
        <v>5966.4877321646809</v>
      </c>
      <c r="J107" s="32">
        <f t="shared" si="15"/>
        <v>6121.6744020007181</v>
      </c>
      <c r="K107" s="95"/>
      <c r="L107" s="50"/>
      <c r="M107" s="15"/>
    </row>
    <row r="108" spans="1:13">
      <c r="A108" s="50">
        <v>1</v>
      </c>
      <c r="B108" s="50"/>
      <c r="C108" s="50" t="s">
        <v>230</v>
      </c>
      <c r="D108" s="50"/>
      <c r="E108" s="129">
        <v>0</v>
      </c>
      <c r="F108" s="32">
        <f t="shared" ref="F108:J113" si="16">E126</f>
        <v>5076</v>
      </c>
      <c r="G108" s="32">
        <f t="shared" si="16"/>
        <v>4963.2</v>
      </c>
      <c r="H108" s="32">
        <f t="shared" si="16"/>
        <v>4850.3999999999996</v>
      </c>
      <c r="I108" s="32">
        <f t="shared" si="16"/>
        <v>4737.5999999999995</v>
      </c>
      <c r="J108" s="32">
        <f t="shared" si="16"/>
        <v>4624.7999999999993</v>
      </c>
      <c r="K108" s="95"/>
      <c r="L108" s="50"/>
      <c r="M108" s="15"/>
    </row>
    <row r="109" spans="1:13">
      <c r="A109" s="50">
        <v>2</v>
      </c>
      <c r="B109" s="50"/>
      <c r="C109" s="50" t="s">
        <v>231</v>
      </c>
      <c r="D109" s="50"/>
      <c r="E109" s="129">
        <v>0</v>
      </c>
      <c r="F109" s="32">
        <f t="shared" si="16"/>
        <v>0</v>
      </c>
      <c r="G109" s="32">
        <f t="shared" si="16"/>
        <v>5502.0491620030361</v>
      </c>
      <c r="H109" s="32">
        <f t="shared" si="16"/>
        <v>5379.7814028474131</v>
      </c>
      <c r="I109" s="32">
        <f t="shared" si="16"/>
        <v>5257.5136436917901</v>
      </c>
      <c r="J109" s="32">
        <f t="shared" si="16"/>
        <v>5135.2458845361671</v>
      </c>
      <c r="K109" s="95"/>
      <c r="L109" s="50"/>
      <c r="M109" s="15"/>
    </row>
    <row r="110" spans="1:13">
      <c r="A110" s="50">
        <v>3</v>
      </c>
      <c r="B110" s="50"/>
      <c r="C110" s="50" t="s">
        <v>232</v>
      </c>
      <c r="D110" s="50"/>
      <c r="E110" s="129">
        <v>0</v>
      </c>
      <c r="F110" s="32">
        <f t="shared" si="16"/>
        <v>0</v>
      </c>
      <c r="G110" s="32">
        <f t="shared" si="16"/>
        <v>0</v>
      </c>
      <c r="H110" s="32">
        <f t="shared" si="16"/>
        <v>5888.9763292164389</v>
      </c>
      <c r="I110" s="32">
        <f t="shared" si="16"/>
        <v>5758.1101885671851</v>
      </c>
      <c r="J110" s="32">
        <f t="shared" si="16"/>
        <v>5627.2440479179313</v>
      </c>
      <c r="K110" s="95"/>
      <c r="L110" s="50"/>
      <c r="M110" s="15"/>
    </row>
    <row r="111" spans="1:13">
      <c r="A111" s="50">
        <v>4</v>
      </c>
      <c r="B111" s="50"/>
      <c r="C111" s="50" t="s">
        <v>233</v>
      </c>
      <c r="D111" s="50"/>
      <c r="E111" s="129">
        <v>0</v>
      </c>
      <c r="F111" s="32">
        <f t="shared" si="16"/>
        <v>0</v>
      </c>
      <c r="G111" s="32">
        <f t="shared" si="16"/>
        <v>0</v>
      </c>
      <c r="H111" s="32">
        <f t="shared" si="16"/>
        <v>0</v>
      </c>
      <c r="I111" s="32">
        <f t="shared" si="16"/>
        <v>5903.3786523138315</v>
      </c>
      <c r="J111" s="32">
        <f t="shared" si="16"/>
        <v>5772.1924600401908</v>
      </c>
      <c r="K111" s="95"/>
      <c r="L111" s="50"/>
      <c r="M111" s="15"/>
    </row>
    <row r="112" spans="1:13">
      <c r="A112" s="50">
        <v>5</v>
      </c>
      <c r="B112" s="50"/>
      <c r="C112" s="50" t="s">
        <v>234</v>
      </c>
      <c r="D112" s="50"/>
      <c r="E112" s="129">
        <v>0</v>
      </c>
      <c r="F112" s="32">
        <f t="shared" si="16"/>
        <v>0</v>
      </c>
      <c r="G112" s="32">
        <f t="shared" si="16"/>
        <v>0</v>
      </c>
      <c r="H112" s="32">
        <f t="shared" si="16"/>
        <v>0</v>
      </c>
      <c r="I112" s="32">
        <f t="shared" si="16"/>
        <v>0</v>
      </c>
      <c r="J112" s="32">
        <f t="shared" si="16"/>
        <v>5966.4877321646809</v>
      </c>
      <c r="K112" s="95"/>
      <c r="L112" s="50"/>
      <c r="M112" s="15"/>
    </row>
    <row r="113" spans="1:13">
      <c r="A113" s="50">
        <v>6</v>
      </c>
      <c r="B113" s="50"/>
      <c r="C113" s="50" t="s">
        <v>235</v>
      </c>
      <c r="D113" s="50"/>
      <c r="E113" s="129">
        <v>0</v>
      </c>
      <c r="F113" s="32">
        <f t="shared" si="16"/>
        <v>0</v>
      </c>
      <c r="G113" s="32">
        <f t="shared" si="16"/>
        <v>0</v>
      </c>
      <c r="H113" s="32">
        <f t="shared" si="16"/>
        <v>0</v>
      </c>
      <c r="I113" s="32">
        <f t="shared" si="16"/>
        <v>0</v>
      </c>
      <c r="J113" s="32">
        <f t="shared" si="16"/>
        <v>0</v>
      </c>
      <c r="K113" s="95"/>
      <c r="L113" s="50"/>
      <c r="M113" s="15"/>
    </row>
    <row r="114" spans="1:13">
      <c r="A114" s="50">
        <v>1</v>
      </c>
      <c r="B114" s="50"/>
      <c r="C114" s="50" t="s">
        <v>236</v>
      </c>
      <c r="D114" s="50"/>
      <c r="E114" s="129">
        <f>Inputs!$C$7+$A114</f>
        <v>46</v>
      </c>
      <c r="F114" s="32">
        <f t="shared" ref="F114:J119" si="17">E114-1</f>
        <v>45</v>
      </c>
      <c r="G114" s="32">
        <f t="shared" si="17"/>
        <v>44</v>
      </c>
      <c r="H114" s="32">
        <f t="shared" si="17"/>
        <v>43</v>
      </c>
      <c r="I114" s="32">
        <f t="shared" si="17"/>
        <v>42</v>
      </c>
      <c r="J114" s="32">
        <f t="shared" si="17"/>
        <v>41</v>
      </c>
      <c r="K114" s="95"/>
      <c r="L114" s="50"/>
      <c r="M114" s="15"/>
    </row>
    <row r="115" spans="1:13">
      <c r="A115" s="50">
        <v>2</v>
      </c>
      <c r="B115" s="50"/>
      <c r="C115" s="50" t="s">
        <v>237</v>
      </c>
      <c r="D115" s="50"/>
      <c r="E115" s="129">
        <f>Inputs!$C$7+$A115</f>
        <v>47</v>
      </c>
      <c r="F115" s="32">
        <f t="shared" si="17"/>
        <v>46</v>
      </c>
      <c r="G115" s="32">
        <f t="shared" si="17"/>
        <v>45</v>
      </c>
      <c r="H115" s="32">
        <f t="shared" si="17"/>
        <v>44</v>
      </c>
      <c r="I115" s="32">
        <f t="shared" si="17"/>
        <v>43</v>
      </c>
      <c r="J115" s="32">
        <f t="shared" si="17"/>
        <v>42</v>
      </c>
      <c r="K115" s="95"/>
      <c r="L115" s="50"/>
      <c r="M115" s="15"/>
    </row>
    <row r="116" spans="1:13">
      <c r="A116" s="50">
        <v>3</v>
      </c>
      <c r="B116" s="50"/>
      <c r="C116" s="50" t="s">
        <v>238</v>
      </c>
      <c r="D116" s="50"/>
      <c r="E116" s="129">
        <f>Inputs!$C$7+$A116</f>
        <v>48</v>
      </c>
      <c r="F116" s="32">
        <f t="shared" si="17"/>
        <v>47</v>
      </c>
      <c r="G116" s="32">
        <f t="shared" si="17"/>
        <v>46</v>
      </c>
      <c r="H116" s="32">
        <f t="shared" si="17"/>
        <v>45</v>
      </c>
      <c r="I116" s="32">
        <f t="shared" si="17"/>
        <v>44</v>
      </c>
      <c r="J116" s="32">
        <f t="shared" si="17"/>
        <v>43</v>
      </c>
      <c r="K116" s="95"/>
      <c r="L116" s="50"/>
      <c r="M116" s="15"/>
    </row>
    <row r="117" spans="1:13">
      <c r="A117" s="50">
        <v>4</v>
      </c>
      <c r="B117" s="50"/>
      <c r="C117" s="50" t="s">
        <v>239</v>
      </c>
      <c r="D117" s="50"/>
      <c r="E117" s="129">
        <f>Inputs!$C$7+$A117</f>
        <v>49</v>
      </c>
      <c r="F117" s="32">
        <f t="shared" si="17"/>
        <v>48</v>
      </c>
      <c r="G117" s="32">
        <f t="shared" si="17"/>
        <v>47</v>
      </c>
      <c r="H117" s="32">
        <f t="shared" si="17"/>
        <v>46</v>
      </c>
      <c r="I117" s="32">
        <f t="shared" si="17"/>
        <v>45</v>
      </c>
      <c r="J117" s="32">
        <f t="shared" si="17"/>
        <v>44</v>
      </c>
      <c r="K117" s="95"/>
      <c r="L117" s="50"/>
      <c r="M117" s="15"/>
    </row>
    <row r="118" spans="1:13">
      <c r="A118" s="50">
        <v>5</v>
      </c>
      <c r="B118" s="50"/>
      <c r="C118" s="50" t="s">
        <v>240</v>
      </c>
      <c r="D118" s="50"/>
      <c r="E118" s="129">
        <f>Inputs!$C$7+$A118</f>
        <v>50</v>
      </c>
      <c r="F118" s="32">
        <f t="shared" si="17"/>
        <v>49</v>
      </c>
      <c r="G118" s="32">
        <f t="shared" si="17"/>
        <v>48</v>
      </c>
      <c r="H118" s="32">
        <f t="shared" si="17"/>
        <v>47</v>
      </c>
      <c r="I118" s="32">
        <f t="shared" si="17"/>
        <v>46</v>
      </c>
      <c r="J118" s="32">
        <f t="shared" si="17"/>
        <v>45</v>
      </c>
      <c r="K118" s="95"/>
      <c r="L118" s="50"/>
      <c r="M118" s="15"/>
    </row>
    <row r="119" spans="1:13">
      <c r="A119" s="50">
        <v>6</v>
      </c>
      <c r="B119" s="50"/>
      <c r="C119" s="50" t="s">
        <v>241</v>
      </c>
      <c r="D119" s="50"/>
      <c r="E119" s="129">
        <f>Inputs!$C$7+$A119</f>
        <v>51</v>
      </c>
      <c r="F119" s="32">
        <f t="shared" si="17"/>
        <v>50</v>
      </c>
      <c r="G119" s="32">
        <f t="shared" si="17"/>
        <v>49</v>
      </c>
      <c r="H119" s="32">
        <f t="shared" si="17"/>
        <v>48</v>
      </c>
      <c r="I119" s="32">
        <f t="shared" si="17"/>
        <v>47</v>
      </c>
      <c r="J119" s="32">
        <f t="shared" si="17"/>
        <v>46</v>
      </c>
      <c r="K119" s="95"/>
      <c r="L119" s="50"/>
      <c r="M119" s="15"/>
    </row>
    <row r="120" spans="1:13">
      <c r="A120" s="50">
        <v>1</v>
      </c>
      <c r="B120" s="50"/>
      <c r="C120" s="50" t="s">
        <v>242</v>
      </c>
      <c r="D120" s="50"/>
      <c r="E120" s="32">
        <f t="shared" ref="E120:J125" si="18">E108/E114</f>
        <v>0</v>
      </c>
      <c r="F120" s="32">
        <f t="shared" si="18"/>
        <v>112.8</v>
      </c>
      <c r="G120" s="32">
        <f t="shared" si="18"/>
        <v>112.8</v>
      </c>
      <c r="H120" s="32">
        <f t="shared" si="18"/>
        <v>112.8</v>
      </c>
      <c r="I120" s="32">
        <f t="shared" si="18"/>
        <v>112.79999999999998</v>
      </c>
      <c r="J120" s="32">
        <f t="shared" si="18"/>
        <v>112.79999999999998</v>
      </c>
      <c r="K120" s="95"/>
      <c r="L120" s="50"/>
      <c r="M120" s="15"/>
    </row>
    <row r="121" spans="1:13">
      <c r="A121" s="50">
        <v>2</v>
      </c>
      <c r="B121" s="50"/>
      <c r="C121" s="50" t="s">
        <v>243</v>
      </c>
      <c r="D121" s="50"/>
      <c r="E121" s="32">
        <f t="shared" si="18"/>
        <v>0</v>
      </c>
      <c r="F121" s="32">
        <f t="shared" si="18"/>
        <v>0</v>
      </c>
      <c r="G121" s="32">
        <f t="shared" si="18"/>
        <v>122.26775915562303</v>
      </c>
      <c r="H121" s="32">
        <f t="shared" si="18"/>
        <v>122.26775915562303</v>
      </c>
      <c r="I121" s="32">
        <f t="shared" si="18"/>
        <v>122.26775915562303</v>
      </c>
      <c r="J121" s="32">
        <f t="shared" si="18"/>
        <v>122.26775915562303</v>
      </c>
      <c r="K121" s="95"/>
      <c r="L121" s="50"/>
      <c r="M121" s="15"/>
    </row>
    <row r="122" spans="1:13">
      <c r="A122" s="50">
        <v>3</v>
      </c>
      <c r="B122" s="50"/>
      <c r="C122" s="50" t="s">
        <v>244</v>
      </c>
      <c r="D122" s="50"/>
      <c r="E122" s="32">
        <f t="shared" si="18"/>
        <v>0</v>
      </c>
      <c r="F122" s="32">
        <f t="shared" si="18"/>
        <v>0</v>
      </c>
      <c r="G122" s="32">
        <f t="shared" si="18"/>
        <v>0</v>
      </c>
      <c r="H122" s="32">
        <f t="shared" si="18"/>
        <v>130.86614064925419</v>
      </c>
      <c r="I122" s="32">
        <f t="shared" si="18"/>
        <v>130.86614064925422</v>
      </c>
      <c r="J122" s="32">
        <f t="shared" si="18"/>
        <v>130.86614064925422</v>
      </c>
      <c r="K122" s="95"/>
      <c r="L122" s="50"/>
      <c r="M122" s="15"/>
    </row>
    <row r="123" spans="1:13">
      <c r="A123" s="50">
        <v>4</v>
      </c>
      <c r="B123" s="50"/>
      <c r="C123" s="50" t="s">
        <v>245</v>
      </c>
      <c r="D123" s="50"/>
      <c r="E123" s="32">
        <f t="shared" si="18"/>
        <v>0</v>
      </c>
      <c r="F123" s="32">
        <f t="shared" si="18"/>
        <v>0</v>
      </c>
      <c r="G123" s="32">
        <f t="shared" si="18"/>
        <v>0</v>
      </c>
      <c r="H123" s="32">
        <f t="shared" si="18"/>
        <v>0</v>
      </c>
      <c r="I123" s="32">
        <f t="shared" si="18"/>
        <v>131.1861922736407</v>
      </c>
      <c r="J123" s="32">
        <f t="shared" si="18"/>
        <v>131.1861922736407</v>
      </c>
      <c r="K123" s="95"/>
      <c r="L123" s="50"/>
      <c r="M123" s="15"/>
    </row>
    <row r="124" spans="1:13">
      <c r="A124" s="50">
        <v>5</v>
      </c>
      <c r="B124" s="50"/>
      <c r="C124" s="50" t="s">
        <v>246</v>
      </c>
      <c r="D124" s="50"/>
      <c r="E124" s="32">
        <f t="shared" si="18"/>
        <v>0</v>
      </c>
      <c r="F124" s="32">
        <f t="shared" si="18"/>
        <v>0</v>
      </c>
      <c r="G124" s="32">
        <f t="shared" si="18"/>
        <v>0</v>
      </c>
      <c r="H124" s="32">
        <f t="shared" si="18"/>
        <v>0</v>
      </c>
      <c r="I124" s="32">
        <f t="shared" si="18"/>
        <v>0</v>
      </c>
      <c r="J124" s="32">
        <f t="shared" si="18"/>
        <v>132.58861627032624</v>
      </c>
      <c r="K124" s="95"/>
      <c r="L124" s="50"/>
      <c r="M124" s="15"/>
    </row>
    <row r="125" spans="1:13">
      <c r="A125" s="50">
        <v>6</v>
      </c>
      <c r="B125" s="50"/>
      <c r="C125" s="50" t="s">
        <v>247</v>
      </c>
      <c r="D125" s="50"/>
      <c r="E125" s="32">
        <f t="shared" si="18"/>
        <v>0</v>
      </c>
      <c r="F125" s="32">
        <f t="shared" si="18"/>
        <v>0</v>
      </c>
      <c r="G125" s="32">
        <f t="shared" si="18"/>
        <v>0</v>
      </c>
      <c r="H125" s="32">
        <f t="shared" si="18"/>
        <v>0</v>
      </c>
      <c r="I125" s="32">
        <f t="shared" si="18"/>
        <v>0</v>
      </c>
      <c r="J125" s="32">
        <f t="shared" si="18"/>
        <v>0</v>
      </c>
      <c r="K125" s="95"/>
      <c r="L125" s="50"/>
      <c r="M125" s="15"/>
    </row>
    <row r="126" spans="1:13">
      <c r="A126" s="50">
        <v>1</v>
      </c>
      <c r="B126" s="50"/>
      <c r="C126" s="50" t="s">
        <v>248</v>
      </c>
      <c r="D126" s="50"/>
      <c r="E126" s="32">
        <f t="shared" ref="E126:J131" si="19">E108-E120+IF($A126=E$106,E$107,0)</f>
        <v>5076</v>
      </c>
      <c r="F126" s="32">
        <f t="shared" si="19"/>
        <v>4963.2</v>
      </c>
      <c r="G126" s="32">
        <f t="shared" si="19"/>
        <v>4850.3999999999996</v>
      </c>
      <c r="H126" s="32">
        <f t="shared" si="19"/>
        <v>4737.5999999999995</v>
      </c>
      <c r="I126" s="32">
        <f t="shared" si="19"/>
        <v>4624.7999999999993</v>
      </c>
      <c r="J126" s="32">
        <f t="shared" si="19"/>
        <v>4511.9999999999991</v>
      </c>
      <c r="K126" s="95"/>
      <c r="L126" s="50"/>
      <c r="M126" s="15"/>
    </row>
    <row r="127" spans="1:13">
      <c r="A127" s="50">
        <v>2</v>
      </c>
      <c r="B127" s="50"/>
      <c r="C127" s="50" t="s">
        <v>249</v>
      </c>
      <c r="D127" s="50"/>
      <c r="E127" s="32">
        <f t="shared" si="19"/>
        <v>0</v>
      </c>
      <c r="F127" s="32">
        <f t="shared" si="19"/>
        <v>5502.0491620030361</v>
      </c>
      <c r="G127" s="32">
        <f t="shared" si="19"/>
        <v>5379.7814028474131</v>
      </c>
      <c r="H127" s="32">
        <f t="shared" si="19"/>
        <v>5257.5136436917901</v>
      </c>
      <c r="I127" s="32">
        <f t="shared" si="19"/>
        <v>5135.2458845361671</v>
      </c>
      <c r="J127" s="32">
        <f t="shared" si="19"/>
        <v>5012.978125380544</v>
      </c>
      <c r="K127" s="95"/>
      <c r="L127" s="50"/>
      <c r="M127" s="15"/>
    </row>
    <row r="128" spans="1:13">
      <c r="A128" s="50">
        <v>3</v>
      </c>
      <c r="B128" s="50"/>
      <c r="C128" s="50" t="s">
        <v>250</v>
      </c>
      <c r="D128" s="50"/>
      <c r="E128" s="32">
        <f t="shared" si="19"/>
        <v>0</v>
      </c>
      <c r="F128" s="32">
        <f t="shared" si="19"/>
        <v>0</v>
      </c>
      <c r="G128" s="32">
        <f t="shared" si="19"/>
        <v>5888.9763292164389</v>
      </c>
      <c r="H128" s="32">
        <f t="shared" si="19"/>
        <v>5758.1101885671851</v>
      </c>
      <c r="I128" s="32">
        <f t="shared" si="19"/>
        <v>5627.2440479179313</v>
      </c>
      <c r="J128" s="32">
        <f t="shared" si="19"/>
        <v>5496.3779072686775</v>
      </c>
      <c r="K128" s="95"/>
      <c r="L128" s="50"/>
      <c r="M128" s="15"/>
    </row>
    <row r="129" spans="1:13">
      <c r="A129" s="50">
        <v>4</v>
      </c>
      <c r="B129" s="50"/>
      <c r="C129" s="50" t="s">
        <v>251</v>
      </c>
      <c r="D129" s="50"/>
      <c r="E129" s="32">
        <f t="shared" si="19"/>
        <v>0</v>
      </c>
      <c r="F129" s="32">
        <f t="shared" si="19"/>
        <v>0</v>
      </c>
      <c r="G129" s="32">
        <f t="shared" si="19"/>
        <v>0</v>
      </c>
      <c r="H129" s="32">
        <f t="shared" si="19"/>
        <v>5903.3786523138315</v>
      </c>
      <c r="I129" s="32">
        <f t="shared" si="19"/>
        <v>5772.1924600401908</v>
      </c>
      <c r="J129" s="32">
        <f t="shared" si="19"/>
        <v>5641.0062677665501</v>
      </c>
      <c r="K129" s="95"/>
      <c r="L129" s="50"/>
      <c r="M129" s="15"/>
    </row>
    <row r="130" spans="1:13">
      <c r="A130" s="50">
        <v>5</v>
      </c>
      <c r="B130" s="50"/>
      <c r="C130" s="50" t="s">
        <v>252</v>
      </c>
      <c r="D130" s="50"/>
      <c r="E130" s="32">
        <f t="shared" si="19"/>
        <v>0</v>
      </c>
      <c r="F130" s="32">
        <f t="shared" si="19"/>
        <v>0</v>
      </c>
      <c r="G130" s="32">
        <f t="shared" si="19"/>
        <v>0</v>
      </c>
      <c r="H130" s="32">
        <f t="shared" si="19"/>
        <v>0</v>
      </c>
      <c r="I130" s="32">
        <f t="shared" si="19"/>
        <v>5966.4877321646809</v>
      </c>
      <c r="J130" s="32">
        <f t="shared" si="19"/>
        <v>5833.8991158943545</v>
      </c>
      <c r="K130" s="95"/>
      <c r="L130" s="50"/>
      <c r="M130" s="15"/>
    </row>
    <row r="131" spans="1:13">
      <c r="A131" s="50">
        <v>6</v>
      </c>
      <c r="B131" s="50"/>
      <c r="C131" s="50" t="s">
        <v>253</v>
      </c>
      <c r="D131" s="50"/>
      <c r="E131" s="32">
        <f t="shared" si="19"/>
        <v>0</v>
      </c>
      <c r="F131" s="32">
        <f t="shared" si="19"/>
        <v>0</v>
      </c>
      <c r="G131" s="32">
        <f t="shared" si="19"/>
        <v>0</v>
      </c>
      <c r="H131" s="32">
        <f t="shared" si="19"/>
        <v>0</v>
      </c>
      <c r="I131" s="32">
        <f t="shared" si="19"/>
        <v>0</v>
      </c>
      <c r="J131" s="32">
        <f t="shared" si="19"/>
        <v>6121.6744020007181</v>
      </c>
      <c r="K131" s="95"/>
      <c r="L131" s="50"/>
      <c r="M131" s="15"/>
    </row>
    <row r="132" spans="1:13">
      <c r="A132" s="50"/>
      <c r="B132" s="50"/>
      <c r="C132" s="50" t="s">
        <v>62</v>
      </c>
      <c r="D132" s="50"/>
      <c r="E132" s="32">
        <f t="shared" ref="E132:J132" si="20">SUM(E120:E125)</f>
        <v>0</v>
      </c>
      <c r="F132" s="32">
        <f t="shared" si="20"/>
        <v>112.8</v>
      </c>
      <c r="G132" s="32">
        <f t="shared" si="20"/>
        <v>235.06775915562304</v>
      </c>
      <c r="H132" s="32">
        <f t="shared" si="20"/>
        <v>365.93389980487723</v>
      </c>
      <c r="I132" s="32">
        <f t="shared" si="20"/>
        <v>497.12009207851793</v>
      </c>
      <c r="J132" s="32">
        <f t="shared" si="20"/>
        <v>629.7087083488442</v>
      </c>
      <c r="K132" s="95"/>
      <c r="L132" s="27"/>
      <c r="M132" s="15"/>
    </row>
    <row r="133" spans="1:13" s="15" customFormat="1">
      <c r="A133" s="50"/>
      <c r="B133" s="50"/>
      <c r="C133" s="50"/>
      <c r="D133" s="50"/>
      <c r="E133" s="32"/>
      <c r="F133" s="32"/>
      <c r="G133" s="32"/>
      <c r="H133" s="32"/>
      <c r="I133" s="32"/>
      <c r="J133" s="32"/>
      <c r="K133" s="95"/>
      <c r="L133" s="50"/>
    </row>
    <row r="134" spans="1:13" ht="15.75">
      <c r="A134" s="50"/>
      <c r="B134" s="50"/>
      <c r="C134" s="162" t="s">
        <v>63</v>
      </c>
      <c r="D134" s="50"/>
      <c r="E134" s="50"/>
      <c r="F134" s="50"/>
      <c r="G134" s="50"/>
      <c r="H134" s="50"/>
      <c r="I134" s="50"/>
      <c r="J134" s="50"/>
      <c r="K134" s="95"/>
      <c r="L134" s="50"/>
      <c r="M134" s="15"/>
    </row>
    <row r="135" spans="1:13">
      <c r="A135" s="50"/>
      <c r="B135" s="50"/>
      <c r="C135" s="50" t="s">
        <v>65</v>
      </c>
      <c r="D135" s="50"/>
      <c r="E135" s="129">
        <f>E59</f>
        <v>113965</v>
      </c>
      <c r="F135" s="32">
        <f>E140</f>
        <v>109481</v>
      </c>
      <c r="G135" s="32">
        <f>F140</f>
        <v>104995.40269953561</v>
      </c>
      <c r="H135" s="32">
        <f>G140</f>
        <v>100516.38966271089</v>
      </c>
      <c r="I135" s="32">
        <f>H140</f>
        <v>96043.881768705149</v>
      </c>
      <c r="J135" s="32">
        <f>I140</f>
        <v>91578.593795228371</v>
      </c>
      <c r="K135" s="95"/>
      <c r="L135" s="50"/>
      <c r="M135" s="15"/>
    </row>
    <row r="136" spans="1:13">
      <c r="A136" s="50"/>
      <c r="B136" s="50"/>
      <c r="C136" s="50" t="s">
        <v>40</v>
      </c>
      <c r="D136" s="50"/>
      <c r="E136" s="32">
        <f t="shared" ref="E136:J136" si="21">E56</f>
        <v>259</v>
      </c>
      <c r="F136" s="32">
        <f t="shared" si="21"/>
        <v>270.56882406563352</v>
      </c>
      <c r="G136" s="32">
        <f t="shared" si="21"/>
        <v>274.8185961713765</v>
      </c>
      <c r="H136" s="32">
        <f t="shared" si="21"/>
        <v>279.77666362807656</v>
      </c>
      <c r="I136" s="32">
        <f t="shared" si="21"/>
        <v>284.73473108477668</v>
      </c>
      <c r="J136" s="32">
        <f t="shared" si="21"/>
        <v>291.34548769371008</v>
      </c>
      <c r="K136" s="95"/>
      <c r="L136" s="50"/>
      <c r="M136" s="15"/>
    </row>
    <row r="137" spans="1:13">
      <c r="A137" s="50"/>
      <c r="B137" s="50"/>
      <c r="C137" s="50" t="s">
        <v>312</v>
      </c>
      <c r="D137" s="50"/>
      <c r="E137" s="32">
        <f>Est!E12</f>
        <v>0</v>
      </c>
      <c r="F137" s="32"/>
      <c r="G137" s="32"/>
      <c r="H137" s="32"/>
      <c r="I137" s="32"/>
      <c r="J137" s="32"/>
      <c r="K137" s="95"/>
      <c r="L137" s="50"/>
      <c r="M137" s="15"/>
    </row>
    <row r="138" spans="1:13">
      <c r="A138" s="50"/>
      <c r="B138" s="50"/>
      <c r="C138" s="50" t="s">
        <v>313</v>
      </c>
      <c r="D138" s="50"/>
      <c r="E138" s="32">
        <f>Est!E13</f>
        <v>0</v>
      </c>
      <c r="F138" s="32"/>
      <c r="G138" s="32"/>
      <c r="H138" s="32"/>
      <c r="I138" s="32"/>
      <c r="J138" s="32"/>
      <c r="K138" s="95"/>
      <c r="L138" s="50"/>
      <c r="M138" s="15"/>
    </row>
    <row r="139" spans="1:13">
      <c r="A139" s="50"/>
      <c r="B139" s="50"/>
      <c r="C139" s="50" t="s">
        <v>64</v>
      </c>
      <c r="D139" s="50"/>
      <c r="E139" s="32">
        <f t="shared" ref="E139:J139" si="22">E135/E$54</f>
        <v>4225</v>
      </c>
      <c r="F139" s="32">
        <f t="shared" si="22"/>
        <v>4215.0284763987602</v>
      </c>
      <c r="G139" s="32">
        <f t="shared" si="22"/>
        <v>4204.1944406533476</v>
      </c>
      <c r="H139" s="32">
        <f t="shared" si="22"/>
        <v>4192.7312303776635</v>
      </c>
      <c r="I139" s="32">
        <f t="shared" si="22"/>
        <v>4180.5532423919976</v>
      </c>
      <c r="J139" s="32">
        <f t="shared" si="22"/>
        <v>4167.5954199142598</v>
      </c>
      <c r="K139" s="95"/>
      <c r="L139" s="50"/>
      <c r="M139" s="15"/>
    </row>
    <row r="140" spans="1:13">
      <c r="A140" s="50"/>
      <c r="B140" s="50"/>
      <c r="C140" s="50" t="s">
        <v>61</v>
      </c>
      <c r="D140" s="50"/>
      <c r="E140" s="129">
        <f>E135-E136-E137+E138-E139</f>
        <v>109481</v>
      </c>
      <c r="F140" s="32">
        <f>F135-F136-F139</f>
        <v>104995.40269953561</v>
      </c>
      <c r="G140" s="32">
        <f>G135-G136-G139</f>
        <v>100516.38966271089</v>
      </c>
      <c r="H140" s="32">
        <f>H135-H136-H139</f>
        <v>96043.881768705149</v>
      </c>
      <c r="I140" s="32">
        <f>I135-I136-I139</f>
        <v>91578.593795228371</v>
      </c>
      <c r="J140" s="32">
        <f>J135-J136-J139</f>
        <v>87119.65288762041</v>
      </c>
      <c r="K140" s="95"/>
      <c r="L140" s="50"/>
      <c r="M140" s="15"/>
    </row>
    <row r="141" spans="1:13">
      <c r="A141" s="50"/>
      <c r="B141" s="50"/>
      <c r="C141" s="50"/>
      <c r="D141" s="50"/>
      <c r="E141" s="32"/>
      <c r="F141" s="32"/>
      <c r="G141" s="32"/>
      <c r="H141" s="32"/>
      <c r="I141" s="32"/>
      <c r="J141" s="32"/>
      <c r="K141" s="95"/>
      <c r="L141" s="27"/>
      <c r="M141" s="15"/>
    </row>
    <row r="142" spans="1:13" ht="15.75">
      <c r="A142" s="50"/>
      <c r="B142" s="50"/>
      <c r="C142" s="162" t="s">
        <v>66</v>
      </c>
      <c r="D142" s="50"/>
      <c r="E142" s="50"/>
      <c r="F142" s="50"/>
      <c r="G142" s="50"/>
      <c r="H142" s="50"/>
      <c r="I142" s="50"/>
      <c r="J142" s="50"/>
      <c r="K142" s="95"/>
      <c r="L142" s="27"/>
      <c r="M142" s="15"/>
    </row>
    <row r="143" spans="1:13">
      <c r="A143" s="50"/>
      <c r="B143" s="50"/>
      <c r="C143" s="50" t="s">
        <v>155</v>
      </c>
      <c r="D143" s="50"/>
      <c r="E143" s="32">
        <f t="shared" ref="E143:J143" si="23">E59+E100</f>
        <v>113965</v>
      </c>
      <c r="F143" s="32">
        <f t="shared" si="23"/>
        <v>116514.62809490785</v>
      </c>
      <c r="G143" s="32">
        <f t="shared" si="23"/>
        <v>119643.75490947036</v>
      </c>
      <c r="H143" s="32">
        <f t="shared" si="23"/>
        <v>123555.66385734384</v>
      </c>
      <c r="I143" s="32">
        <f t="shared" si="23"/>
        <v>127158.31516859004</v>
      </c>
      <c r="J143" s="32">
        <f t="shared" si="23"/>
        <v>130484.05427117548</v>
      </c>
      <c r="K143" s="95"/>
      <c r="L143" s="27"/>
      <c r="M143" s="15"/>
    </row>
    <row r="144" spans="1:13">
      <c r="A144" s="50"/>
      <c r="B144" s="50"/>
      <c r="C144" s="50" t="s">
        <v>154</v>
      </c>
      <c r="D144" s="50"/>
      <c r="E144" s="32">
        <f t="shared" ref="E144:J146" si="24">E63+E101</f>
        <v>1957.6280949078568</v>
      </c>
      <c r="F144" s="32">
        <f t="shared" si="24"/>
        <v>2300.8438130656491</v>
      </c>
      <c r="G144" s="32">
        <f t="shared" si="24"/>
        <v>2902.7707167782692</v>
      </c>
      <c r="H144" s="32">
        <f t="shared" si="24"/>
        <v>2819.7347334432511</v>
      </c>
      <c r="I144" s="32">
        <f t="shared" si="24"/>
        <v>2718.7632205131304</v>
      </c>
      <c r="J144" s="32">
        <f t="shared" si="24"/>
        <v>2601.8107630140616</v>
      </c>
      <c r="K144" s="95"/>
      <c r="L144" s="50"/>
      <c r="M144" s="15"/>
    </row>
    <row r="145" spans="1:13">
      <c r="A145" s="50"/>
      <c r="B145" s="50"/>
      <c r="C145" s="50" t="s">
        <v>153</v>
      </c>
      <c r="D145" s="50"/>
      <c r="E145" s="32">
        <f t="shared" si="24"/>
        <v>4225</v>
      </c>
      <c r="F145" s="32">
        <f t="shared" si="24"/>
        <v>4403.1973364405476</v>
      </c>
      <c r="G145" s="32">
        <f t="shared" si="24"/>
        <v>4605.0195019498315</v>
      </c>
      <c r="H145" s="32">
        <f t="shared" si="24"/>
        <v>4840.6854108828102</v>
      </c>
      <c r="I145" s="32">
        <f t="shared" si="24"/>
        <v>5074.7771190075882</v>
      </c>
      <c r="J145" s="32">
        <f t="shared" si="24"/>
        <v>5307.5752228420743</v>
      </c>
      <c r="K145" s="95"/>
      <c r="L145" s="50"/>
      <c r="M145" s="15"/>
    </row>
    <row r="146" spans="1:13">
      <c r="A146" s="50"/>
      <c r="B146" s="50"/>
      <c r="C146" s="50" t="s">
        <v>156</v>
      </c>
      <c r="D146" s="50"/>
      <c r="E146" s="32">
        <f t="shared" si="24"/>
        <v>116514.62809490785</v>
      </c>
      <c r="F146" s="32">
        <f t="shared" si="24"/>
        <v>119643.75490947036</v>
      </c>
      <c r="G146" s="32">
        <f t="shared" si="24"/>
        <v>123555.66385734384</v>
      </c>
      <c r="H146" s="32">
        <f t="shared" si="24"/>
        <v>127158.31516859004</v>
      </c>
      <c r="I146" s="32">
        <f t="shared" si="24"/>
        <v>130484.05427117548</v>
      </c>
      <c r="J146" s="32">
        <f t="shared" si="24"/>
        <v>133608.61872565449</v>
      </c>
      <c r="K146" s="95"/>
      <c r="L146" s="50"/>
      <c r="M146" s="15"/>
    </row>
    <row r="147" spans="1:13">
      <c r="A147" s="50"/>
      <c r="B147" s="50"/>
      <c r="C147" s="50" t="s">
        <v>45</v>
      </c>
      <c r="D147" s="50"/>
      <c r="E147" s="32">
        <f t="shared" ref="E147:J147" si="25">E132+E139</f>
        <v>4225</v>
      </c>
      <c r="F147" s="32">
        <f t="shared" si="25"/>
        <v>4327.8284763987604</v>
      </c>
      <c r="G147" s="32">
        <f t="shared" si="25"/>
        <v>4439.2621998089708</v>
      </c>
      <c r="H147" s="32">
        <f t="shared" si="25"/>
        <v>4558.6651301825405</v>
      </c>
      <c r="I147" s="32">
        <f t="shared" si="25"/>
        <v>4677.6733344705153</v>
      </c>
      <c r="J147" s="32">
        <f t="shared" si="25"/>
        <v>4797.3041282631038</v>
      </c>
      <c r="K147" s="95"/>
      <c r="L147" s="50"/>
      <c r="M147" s="15"/>
    </row>
    <row r="148" spans="1:13">
      <c r="A148" s="50"/>
      <c r="B148" s="50"/>
      <c r="C148" s="50" t="s">
        <v>178</v>
      </c>
      <c r="D148" s="50"/>
      <c r="E148" s="128"/>
      <c r="F148" s="165">
        <f>F143+F107+F144-F145-F56-F146</f>
        <v>0</v>
      </c>
      <c r="G148" s="165">
        <f>G143+G107+G144-G145-G56-G146</f>
        <v>0</v>
      </c>
      <c r="H148" s="165">
        <f>H143+H107+H144-H145-H56-H146</f>
        <v>0</v>
      </c>
      <c r="I148" s="165">
        <f>I143+I107+I144-I145-I56-I146</f>
        <v>0</v>
      </c>
      <c r="J148" s="165">
        <f>J143+J107+J144-J145-J56-J146</f>
        <v>0</v>
      </c>
      <c r="K148" s="95"/>
      <c r="L148" s="50"/>
      <c r="M148" s="15"/>
    </row>
    <row r="149" spans="1:13">
      <c r="A149" s="50"/>
      <c r="B149" s="50"/>
      <c r="C149" s="50"/>
      <c r="D149" s="50"/>
      <c r="E149" s="50"/>
      <c r="F149" s="32"/>
      <c r="G149" s="32"/>
      <c r="H149" s="50"/>
      <c r="I149" s="50"/>
      <c r="J149" s="50"/>
      <c r="K149" s="95"/>
      <c r="L149" s="50"/>
      <c r="M149" s="15"/>
    </row>
    <row r="150" spans="1:13" ht="15.75">
      <c r="A150" s="50"/>
      <c r="B150" s="50"/>
      <c r="C150" s="162" t="s">
        <v>90</v>
      </c>
      <c r="D150" s="50"/>
      <c r="E150" s="50"/>
      <c r="F150" s="50"/>
      <c r="G150" s="50"/>
      <c r="H150" s="50"/>
      <c r="I150" s="50"/>
      <c r="J150" s="50"/>
      <c r="K150" s="95"/>
      <c r="L150" s="50"/>
      <c r="M150" s="15"/>
    </row>
    <row r="151" spans="1:13" ht="15.75">
      <c r="A151" s="50"/>
      <c r="B151" s="50"/>
      <c r="C151" s="158" t="s">
        <v>160</v>
      </c>
      <c r="D151" s="50"/>
      <c r="E151" s="129"/>
      <c r="F151" s="166">
        <f>F143/$E143</f>
        <v>1.0223720273321446</v>
      </c>
      <c r="G151" s="166">
        <f>G143/$E143</f>
        <v>1.0498289379148893</v>
      </c>
      <c r="H151" s="166">
        <f>H143/$E143</f>
        <v>1.08415446722541</v>
      </c>
      <c r="I151" s="166">
        <f>I143/$E143</f>
        <v>1.1157663771209585</v>
      </c>
      <c r="J151" s="166">
        <f>J143/$E143</f>
        <v>1.1449484865632034</v>
      </c>
      <c r="K151" s="95"/>
      <c r="L151" s="50"/>
      <c r="M151" s="15"/>
    </row>
    <row r="152" spans="1:13">
      <c r="A152" s="50"/>
      <c r="B152" s="50"/>
      <c r="C152" s="50" t="s">
        <v>90</v>
      </c>
      <c r="D152" s="50"/>
      <c r="E152" s="129">
        <f>IF(E20&gt;0,E20,0)</f>
        <v>0</v>
      </c>
      <c r="F152" s="32">
        <f>$E152*F151</f>
        <v>0</v>
      </c>
      <c r="G152" s="32">
        <f>$E152*G151</f>
        <v>0</v>
      </c>
      <c r="H152" s="32">
        <f>$E152*H151</f>
        <v>0</v>
      </c>
      <c r="I152" s="32">
        <f>$E152*I151</f>
        <v>0</v>
      </c>
      <c r="J152" s="32">
        <f>$E152*J151</f>
        <v>0</v>
      </c>
      <c r="K152" s="95"/>
      <c r="L152" s="50"/>
      <c r="M152" s="15"/>
    </row>
    <row r="153" spans="1:13">
      <c r="A153" s="50"/>
      <c r="B153" s="50"/>
      <c r="C153" s="50"/>
      <c r="D153" s="50"/>
      <c r="E153" s="50"/>
      <c r="F153" s="50"/>
      <c r="G153" s="50"/>
      <c r="H153" s="50"/>
      <c r="I153" s="50"/>
      <c r="J153" s="50"/>
      <c r="K153" s="95"/>
      <c r="L153" s="50"/>
      <c r="M153" s="15"/>
    </row>
    <row r="154" spans="1:13" ht="15.75">
      <c r="A154" s="50"/>
      <c r="B154" s="50"/>
      <c r="C154" s="162" t="s">
        <v>46</v>
      </c>
      <c r="D154" s="50"/>
      <c r="E154" s="50"/>
      <c r="F154" s="50"/>
      <c r="G154" s="50"/>
      <c r="H154" s="50"/>
      <c r="I154" s="50"/>
      <c r="J154" s="50"/>
      <c r="K154" s="95"/>
      <c r="L154" s="27"/>
      <c r="M154" s="15"/>
    </row>
    <row r="155" spans="1:13">
      <c r="A155" s="50"/>
      <c r="B155" s="50"/>
      <c r="C155" s="50" t="s">
        <v>157</v>
      </c>
      <c r="D155" s="49">
        <f>E17/E18</f>
        <v>9.5983209337246606E-2</v>
      </c>
      <c r="E155" s="50"/>
      <c r="F155" s="50"/>
      <c r="G155" s="50"/>
      <c r="H155" s="50"/>
      <c r="I155" s="50"/>
      <c r="J155" s="50"/>
      <c r="K155" s="95"/>
      <c r="L155" s="125"/>
      <c r="M155" s="15"/>
    </row>
    <row r="156" spans="1:13">
      <c r="A156" s="50"/>
      <c r="B156" s="50"/>
      <c r="C156" s="50" t="s">
        <v>167</v>
      </c>
      <c r="D156" s="50"/>
      <c r="E156" s="129">
        <f>E18</f>
        <v>58604</v>
      </c>
      <c r="F156" s="32">
        <f>E159</f>
        <v>58055</v>
      </c>
      <c r="G156" s="32">
        <f>F159</f>
        <v>57984.743943929185</v>
      </c>
      <c r="H156" s="32">
        <f>G159</f>
        <v>58308.158456808829</v>
      </c>
      <c r="I156" s="32">
        <f>H159</f>
        <v>58614.932929893432</v>
      </c>
      <c r="J156" s="32">
        <f>I159</f>
        <v>58955.371284359477</v>
      </c>
      <c r="K156" s="95"/>
      <c r="L156" s="125"/>
      <c r="M156" s="15"/>
    </row>
    <row r="157" spans="1:13">
      <c r="A157" s="50"/>
      <c r="B157" s="50"/>
      <c r="C157" s="50" t="s">
        <v>34</v>
      </c>
      <c r="D157" s="50"/>
      <c r="E157" s="129">
        <f>E17</f>
        <v>5625</v>
      </c>
      <c r="F157" s="32">
        <f>F156*$D155</f>
        <v>5572.3052180738514</v>
      </c>
      <c r="G157" s="32">
        <f>G156*$D155</f>
        <v>5565.5618163367972</v>
      </c>
      <c r="H157" s="32">
        <f>H156*$D155</f>
        <v>5596.6041792292281</v>
      </c>
      <c r="I157" s="32">
        <f>I156*$D155</f>
        <v>5626.0493776986305</v>
      </c>
      <c r="J157" s="32">
        <f>J156*$D155</f>
        <v>5658.7257435417732</v>
      </c>
      <c r="K157" s="95"/>
      <c r="L157" s="50"/>
      <c r="M157" s="15"/>
    </row>
    <row r="158" spans="1:13">
      <c r="A158" s="50"/>
      <c r="B158" s="50"/>
      <c r="C158" s="50" t="s">
        <v>98</v>
      </c>
      <c r="D158" s="50"/>
      <c r="E158" s="32">
        <f t="shared" ref="E158:J158" si="26">E29</f>
        <v>5076</v>
      </c>
      <c r="F158" s="32">
        <f t="shared" si="26"/>
        <v>5502.0491620030361</v>
      </c>
      <c r="G158" s="32">
        <f t="shared" si="26"/>
        <v>5888.9763292164389</v>
      </c>
      <c r="H158" s="32">
        <f t="shared" si="26"/>
        <v>5903.3786523138315</v>
      </c>
      <c r="I158" s="32">
        <f t="shared" si="26"/>
        <v>5966.4877321646809</v>
      </c>
      <c r="J158" s="32">
        <f t="shared" si="26"/>
        <v>6121.6744020007181</v>
      </c>
      <c r="K158" s="95"/>
      <c r="L158" s="125"/>
      <c r="M158" s="15"/>
    </row>
    <row r="159" spans="1:13">
      <c r="A159" s="50"/>
      <c r="B159" s="50"/>
      <c r="C159" s="50" t="s">
        <v>127</v>
      </c>
      <c r="D159" s="50"/>
      <c r="E159" s="32">
        <f t="shared" ref="E159:J159" si="27">E156-E157+E158</f>
        <v>58055</v>
      </c>
      <c r="F159" s="32">
        <f t="shared" si="27"/>
        <v>57984.743943929185</v>
      </c>
      <c r="G159" s="32">
        <f t="shared" si="27"/>
        <v>58308.158456808829</v>
      </c>
      <c r="H159" s="32">
        <f t="shared" si="27"/>
        <v>58614.932929893432</v>
      </c>
      <c r="I159" s="32">
        <f t="shared" si="27"/>
        <v>58955.371284359477</v>
      </c>
      <c r="J159" s="32">
        <f t="shared" si="27"/>
        <v>59418.319942818423</v>
      </c>
      <c r="K159" s="95"/>
      <c r="L159" s="125"/>
      <c r="M159" s="15"/>
    </row>
    <row r="160" spans="1:13">
      <c r="A160" s="50"/>
      <c r="B160" s="50"/>
      <c r="C160" s="50"/>
      <c r="D160" s="50"/>
      <c r="E160" s="50"/>
      <c r="F160" s="50"/>
      <c r="G160" s="50"/>
      <c r="H160" s="50"/>
      <c r="I160" s="50"/>
      <c r="J160" s="50"/>
      <c r="K160" s="95"/>
      <c r="L160" s="27"/>
      <c r="M160" s="15"/>
    </row>
    <row r="161" spans="1:13" ht="15.75">
      <c r="A161" s="50"/>
      <c r="B161" s="50"/>
      <c r="C161" s="162" t="s">
        <v>128</v>
      </c>
      <c r="D161" s="50"/>
      <c r="E161" s="50"/>
      <c r="F161" s="50"/>
      <c r="G161" s="50"/>
      <c r="H161" s="50"/>
      <c r="I161" s="50"/>
      <c r="J161" s="50"/>
      <c r="K161" s="95"/>
      <c r="L161" s="27"/>
      <c r="M161" s="15"/>
    </row>
    <row r="162" spans="1:13">
      <c r="A162" s="50"/>
      <c r="B162" s="50"/>
      <c r="C162" s="50" t="s">
        <v>126</v>
      </c>
      <c r="D162" s="50"/>
      <c r="E162" s="32">
        <f t="shared" ref="E162:J162" si="28">E147-E157</f>
        <v>-1400</v>
      </c>
      <c r="F162" s="32">
        <f t="shared" si="28"/>
        <v>-1244.476741675091</v>
      </c>
      <c r="G162" s="32">
        <f t="shared" si="28"/>
        <v>-1126.2996165278264</v>
      </c>
      <c r="H162" s="32">
        <f t="shared" si="28"/>
        <v>-1037.9390490466876</v>
      </c>
      <c r="I162" s="32">
        <f t="shared" si="28"/>
        <v>-948.37604322811512</v>
      </c>
      <c r="J162" s="32">
        <f t="shared" si="28"/>
        <v>-861.42161527866938</v>
      </c>
      <c r="K162" s="95"/>
      <c r="L162" s="50"/>
      <c r="M162" s="15"/>
    </row>
    <row r="163" spans="1:13">
      <c r="A163" s="50"/>
      <c r="B163" s="50"/>
      <c r="C163" s="50"/>
      <c r="D163" s="50"/>
      <c r="E163" s="50"/>
      <c r="F163" s="50"/>
      <c r="G163" s="50"/>
      <c r="H163" s="50"/>
      <c r="I163" s="50"/>
      <c r="J163" s="50"/>
      <c r="K163" s="95"/>
      <c r="L163" s="50"/>
      <c r="M163" s="15"/>
    </row>
    <row r="164" spans="1:13" ht="15.75">
      <c r="A164" s="50"/>
      <c r="B164" s="50"/>
      <c r="C164" s="162" t="s">
        <v>47</v>
      </c>
      <c r="D164" s="50"/>
      <c r="E164" s="50"/>
      <c r="F164" s="50"/>
      <c r="G164" s="50"/>
      <c r="H164" s="50"/>
      <c r="I164" s="50"/>
      <c r="J164" s="50"/>
      <c r="K164" s="95"/>
      <c r="L164" s="50"/>
      <c r="M164" s="15"/>
    </row>
    <row r="165" spans="1:13">
      <c r="A165" s="50"/>
      <c r="B165" s="50"/>
      <c r="C165" s="50" t="s">
        <v>151</v>
      </c>
      <c r="D165" s="50"/>
      <c r="E165" s="193">
        <v>0</v>
      </c>
      <c r="F165" s="31">
        <f>E168</f>
        <v>-908.4794117647059</v>
      </c>
      <c r="G165" s="31">
        <f>F168</f>
        <v>-1770.301846031939</v>
      </c>
      <c r="H165" s="31">
        <f>G168</f>
        <v>-2541.5798563067892</v>
      </c>
      <c r="I165" s="31">
        <f>H168</f>
        <v>-3288.116907686921</v>
      </c>
      <c r="J165" s="31">
        <f>I168</f>
        <v>-4009.5763174378521</v>
      </c>
      <c r="K165" s="95"/>
      <c r="L165" s="50"/>
      <c r="M165" s="15"/>
    </row>
    <row r="166" spans="1:13">
      <c r="A166" s="50"/>
      <c r="B166" s="50"/>
      <c r="C166" s="50" t="s">
        <v>126</v>
      </c>
      <c r="D166" s="50"/>
      <c r="E166" s="32">
        <f t="shared" ref="E166:J166" si="29">E162</f>
        <v>-1400</v>
      </c>
      <c r="F166" s="32">
        <f t="shared" si="29"/>
        <v>-1244.476741675091</v>
      </c>
      <c r="G166" s="32">
        <f t="shared" si="29"/>
        <v>-1126.2996165278264</v>
      </c>
      <c r="H166" s="32">
        <f t="shared" si="29"/>
        <v>-1037.9390490466876</v>
      </c>
      <c r="I166" s="32">
        <f t="shared" si="29"/>
        <v>-948.37604322811512</v>
      </c>
      <c r="J166" s="32">
        <f t="shared" si="29"/>
        <v>-861.42161527866938</v>
      </c>
      <c r="K166" s="95"/>
      <c r="L166" s="50"/>
      <c r="M166" s="15"/>
    </row>
    <row r="167" spans="1:13">
      <c r="A167" s="50"/>
      <c r="B167" s="50"/>
      <c r="C167" s="50" t="s">
        <v>48</v>
      </c>
      <c r="D167" s="50"/>
      <c r="E167" s="129">
        <f>(E11-E18)/E19</f>
        <v>1628.2647058823529</v>
      </c>
      <c r="F167" s="32">
        <f>E167</f>
        <v>1628.2647058823529</v>
      </c>
      <c r="G167" s="32">
        <f>F167</f>
        <v>1628.2647058823529</v>
      </c>
      <c r="H167" s="32">
        <f>G167</f>
        <v>1628.2647058823529</v>
      </c>
      <c r="I167" s="32">
        <f>H167</f>
        <v>1628.2647058823529</v>
      </c>
      <c r="J167" s="32">
        <f>I167</f>
        <v>1628.2647058823529</v>
      </c>
      <c r="K167" s="95"/>
      <c r="L167" s="50"/>
      <c r="M167" s="15"/>
    </row>
    <row r="168" spans="1:13">
      <c r="A168" s="50"/>
      <c r="B168" s="50"/>
      <c r="C168" s="50" t="s">
        <v>152</v>
      </c>
      <c r="D168" s="50"/>
      <c r="E168" s="31">
        <f t="shared" ref="E168:J168" si="30">E165+(E166-E167)*E53</f>
        <v>-908.4794117647059</v>
      </c>
      <c r="F168" s="31">
        <f t="shared" si="30"/>
        <v>-1770.301846031939</v>
      </c>
      <c r="G168" s="31">
        <f t="shared" si="30"/>
        <v>-2541.5798563067892</v>
      </c>
      <c r="H168" s="31">
        <f t="shared" si="30"/>
        <v>-3288.116907686921</v>
      </c>
      <c r="I168" s="31">
        <f t="shared" si="30"/>
        <v>-4009.5763174378521</v>
      </c>
      <c r="J168" s="31">
        <f t="shared" si="30"/>
        <v>-4706.6884873629388</v>
      </c>
      <c r="K168" s="95"/>
      <c r="L168" s="50"/>
      <c r="M168" s="15"/>
    </row>
    <row r="169" spans="1:13">
      <c r="A169" s="50"/>
      <c r="B169" s="50"/>
      <c r="C169" s="50"/>
      <c r="D169" s="50"/>
      <c r="E169" s="31"/>
      <c r="F169" s="31"/>
      <c r="G169" s="31"/>
      <c r="H169" s="31"/>
      <c r="I169" s="31"/>
      <c r="J169" s="31"/>
      <c r="K169" s="95"/>
      <c r="L169" s="27"/>
      <c r="M169" s="15"/>
    </row>
    <row r="170" spans="1:13" ht="15.75">
      <c r="A170" s="50"/>
      <c r="B170" s="50"/>
      <c r="C170" s="162" t="s">
        <v>196</v>
      </c>
      <c r="D170" s="50"/>
      <c r="E170" s="50"/>
      <c r="F170" s="50"/>
      <c r="G170" s="50"/>
      <c r="H170" s="50"/>
      <c r="I170" s="50"/>
      <c r="J170" s="50"/>
      <c r="K170" s="95"/>
      <c r="L170" s="27"/>
      <c r="M170" s="15"/>
    </row>
    <row r="171" spans="1:13">
      <c r="A171" s="50"/>
      <c r="B171" s="50"/>
      <c r="C171" s="50" t="s">
        <v>106</v>
      </c>
      <c r="D171" s="50"/>
      <c r="E171" s="32">
        <f t="shared" ref="E171:J171" si="31">E143+E165</f>
        <v>113965</v>
      </c>
      <c r="F171" s="32">
        <f t="shared" si="31"/>
        <v>115606.14868314314</v>
      </c>
      <c r="G171" s="32">
        <f t="shared" si="31"/>
        <v>117873.45306343841</v>
      </c>
      <c r="H171" s="32">
        <f t="shared" si="31"/>
        <v>121014.08400103704</v>
      </c>
      <c r="I171" s="32">
        <f t="shared" si="31"/>
        <v>123870.19826090311</v>
      </c>
      <c r="J171" s="32">
        <f t="shared" si="31"/>
        <v>126474.47795373763</v>
      </c>
      <c r="K171" s="95"/>
      <c r="L171" s="50"/>
      <c r="M171" s="15"/>
    </row>
    <row r="172" spans="1:13">
      <c r="A172" s="50"/>
      <c r="B172" s="50"/>
      <c r="C172" s="50" t="s">
        <v>98</v>
      </c>
      <c r="D172" s="50"/>
      <c r="E172" s="32">
        <f t="shared" ref="E172:J172" si="32">E29</f>
        <v>5076</v>
      </c>
      <c r="F172" s="32">
        <f t="shared" si="32"/>
        <v>5502.0491620030361</v>
      </c>
      <c r="G172" s="32">
        <f t="shared" si="32"/>
        <v>5888.9763292164389</v>
      </c>
      <c r="H172" s="32">
        <f t="shared" si="32"/>
        <v>5903.3786523138315</v>
      </c>
      <c r="I172" s="32">
        <f t="shared" si="32"/>
        <v>5966.4877321646809</v>
      </c>
      <c r="J172" s="32">
        <f t="shared" si="32"/>
        <v>6121.6744020007181</v>
      </c>
      <c r="K172" s="95"/>
      <c r="L172" s="50"/>
      <c r="M172" s="15"/>
    </row>
    <row r="173" spans="1:13">
      <c r="A173" s="50"/>
      <c r="B173" s="50"/>
      <c r="C173" s="50" t="s">
        <v>111</v>
      </c>
      <c r="D173" s="50"/>
      <c r="E173" s="96">
        <f t="shared" ref="E173:J173" si="33">E152</f>
        <v>0</v>
      </c>
      <c r="F173" s="96">
        <f t="shared" si="33"/>
        <v>0</v>
      </c>
      <c r="G173" s="96">
        <f t="shared" si="33"/>
        <v>0</v>
      </c>
      <c r="H173" s="96">
        <f t="shared" si="33"/>
        <v>0</v>
      </c>
      <c r="I173" s="96">
        <f t="shared" si="33"/>
        <v>0</v>
      </c>
      <c r="J173" s="96">
        <f t="shared" si="33"/>
        <v>0</v>
      </c>
      <c r="K173" s="95"/>
      <c r="L173" s="50"/>
      <c r="M173" s="15"/>
    </row>
    <row r="174" spans="1:13">
      <c r="A174" s="50"/>
      <c r="B174" s="50"/>
      <c r="C174" s="50" t="s">
        <v>44</v>
      </c>
      <c r="D174" s="50"/>
      <c r="E174" s="96">
        <f t="shared" ref="E174:J174" si="34">E144</f>
        <v>1957.6280949078568</v>
      </c>
      <c r="F174" s="96">
        <f t="shared" si="34"/>
        <v>2300.8438130656491</v>
      </c>
      <c r="G174" s="96">
        <f t="shared" si="34"/>
        <v>2902.7707167782692</v>
      </c>
      <c r="H174" s="96">
        <f t="shared" si="34"/>
        <v>2819.7347334432511</v>
      </c>
      <c r="I174" s="96">
        <f t="shared" si="34"/>
        <v>2718.7632205131304</v>
      </c>
      <c r="J174" s="96">
        <f t="shared" si="34"/>
        <v>2601.8107630140616</v>
      </c>
      <c r="K174" s="95"/>
      <c r="L174" s="50"/>
      <c r="M174" s="15"/>
    </row>
    <row r="175" spans="1:13">
      <c r="A175" s="50"/>
      <c r="B175" s="50"/>
      <c r="C175" s="50" t="s">
        <v>196</v>
      </c>
      <c r="D175" s="50"/>
      <c r="E175" s="32">
        <f t="shared" ref="E175:J175" si="35">E171*WACC+E172*($D$48-1)+E173-E174</f>
        <v>8254.3982205338943</v>
      </c>
      <c r="F175" s="32">
        <f t="shared" si="35"/>
        <v>8073.3497564810841</v>
      </c>
      <c r="G175" s="32">
        <f t="shared" si="35"/>
        <v>7686.8292086059782</v>
      </c>
      <c r="H175" s="32">
        <f t="shared" si="35"/>
        <v>8045.9150666462738</v>
      </c>
      <c r="I175" s="32">
        <f t="shared" si="35"/>
        <v>8400.0694035882334</v>
      </c>
      <c r="J175" s="32">
        <f t="shared" si="35"/>
        <v>8752.060494713056</v>
      </c>
      <c r="K175" s="95"/>
      <c r="L175" s="50"/>
      <c r="M175" s="15"/>
    </row>
    <row r="176" spans="1:13">
      <c r="A176" s="50"/>
      <c r="B176" s="50"/>
      <c r="C176" s="50"/>
      <c r="D176" s="50"/>
      <c r="E176" s="31"/>
      <c r="F176" s="31"/>
      <c r="G176" s="31"/>
      <c r="H176" s="31"/>
      <c r="I176" s="31"/>
      <c r="J176" s="31"/>
      <c r="K176" s="95"/>
      <c r="L176" s="27"/>
      <c r="M176" s="15"/>
    </row>
    <row r="177" spans="1:13" ht="15.75">
      <c r="A177" s="50"/>
      <c r="B177" s="50"/>
      <c r="C177" s="162" t="s">
        <v>49</v>
      </c>
      <c r="D177" s="50"/>
      <c r="E177" s="50"/>
      <c r="F177" s="50"/>
      <c r="G177" s="50"/>
      <c r="H177" s="50"/>
      <c r="I177" s="50"/>
      <c r="J177" s="50"/>
      <c r="K177" s="95"/>
      <c r="L177" s="27"/>
      <c r="M177" s="15"/>
    </row>
    <row r="178" spans="1:13">
      <c r="A178" s="50"/>
      <c r="B178" s="50"/>
      <c r="C178" s="50" t="s">
        <v>50</v>
      </c>
      <c r="D178" s="50"/>
      <c r="E178" s="31">
        <f t="shared" ref="E178:J178" si="36">E171*Leverage*Debt+E152</f>
        <v>3976.4667799999997</v>
      </c>
      <c r="F178" s="31">
        <f t="shared" si="36"/>
        <v>4033.7297398522305</v>
      </c>
      <c r="G178" s="31">
        <f t="shared" si="36"/>
        <v>4112.8405242894933</v>
      </c>
      <c r="H178" s="31">
        <f t="shared" si="36"/>
        <v>4222.4234189641838</v>
      </c>
      <c r="I178" s="31">
        <f t="shared" si="36"/>
        <v>4322.0789577194309</v>
      </c>
      <c r="J178" s="31">
        <f t="shared" si="36"/>
        <v>4412.947484761813</v>
      </c>
      <c r="K178" s="95"/>
      <c r="L178" s="50"/>
      <c r="M178" s="15"/>
    </row>
    <row r="179" spans="1:13">
      <c r="A179" s="50"/>
      <c r="B179" s="50"/>
      <c r="C179" s="50" t="s">
        <v>51</v>
      </c>
      <c r="D179" s="50"/>
      <c r="E179" s="31">
        <f t="shared" ref="E179:J179" si="37">E145-E147</f>
        <v>0</v>
      </c>
      <c r="F179" s="31">
        <f t="shared" si="37"/>
        <v>75.368860041787229</v>
      </c>
      <c r="G179" s="31">
        <f t="shared" si="37"/>
        <v>165.7573021408607</v>
      </c>
      <c r="H179" s="31">
        <f t="shared" si="37"/>
        <v>282.02028070026972</v>
      </c>
      <c r="I179" s="31">
        <f t="shared" si="37"/>
        <v>397.1037845370729</v>
      </c>
      <c r="J179" s="31">
        <f t="shared" si="37"/>
        <v>510.27109457897041</v>
      </c>
      <c r="K179" s="95"/>
      <c r="L179" s="50"/>
      <c r="M179" s="15"/>
    </row>
    <row r="180" spans="1:13">
      <c r="A180" s="50"/>
      <c r="B180" s="50"/>
      <c r="C180" s="50" t="s">
        <v>52</v>
      </c>
      <c r="D180" s="50"/>
      <c r="E180" s="31">
        <f t="shared" ref="E180:J180" si="38">E167+E179-E178</f>
        <v>-2348.2020741176466</v>
      </c>
      <c r="F180" s="31">
        <f t="shared" si="38"/>
        <v>-2330.0961739280901</v>
      </c>
      <c r="G180" s="31">
        <f t="shared" si="38"/>
        <v>-2318.8185162662794</v>
      </c>
      <c r="H180" s="31">
        <f t="shared" si="38"/>
        <v>-2312.138432381561</v>
      </c>
      <c r="I180" s="31">
        <f t="shared" si="38"/>
        <v>-2296.7104673000049</v>
      </c>
      <c r="J180" s="31">
        <f t="shared" si="38"/>
        <v>-2274.4116843004895</v>
      </c>
      <c r="K180" s="95"/>
      <c r="L180" s="50"/>
      <c r="M180" s="15"/>
    </row>
    <row r="181" spans="1:13">
      <c r="A181" s="50"/>
      <c r="B181" s="50"/>
      <c r="C181" s="50"/>
      <c r="D181" s="50"/>
      <c r="E181" s="50"/>
      <c r="F181" s="167"/>
      <c r="G181" s="32"/>
      <c r="H181" s="32"/>
      <c r="I181" s="32"/>
      <c r="J181" s="32"/>
      <c r="K181" s="95"/>
      <c r="L181" s="50"/>
      <c r="M181" s="15"/>
    </row>
    <row r="182" spans="1:13" ht="15.75">
      <c r="A182" s="50"/>
      <c r="B182" s="50"/>
      <c r="C182" s="162" t="s">
        <v>107</v>
      </c>
      <c r="D182" s="50"/>
      <c r="E182" s="50"/>
      <c r="F182" s="167"/>
      <c r="G182" s="32"/>
      <c r="H182" s="32"/>
      <c r="I182" s="32"/>
      <c r="J182" s="32"/>
      <c r="K182" s="95"/>
      <c r="L182" s="27"/>
      <c r="M182" s="15"/>
    </row>
    <row r="183" spans="1:13">
      <c r="A183" s="50"/>
      <c r="B183" s="50"/>
      <c r="C183" s="50" t="s">
        <v>153</v>
      </c>
      <c r="D183" s="50"/>
      <c r="E183" s="32">
        <f t="shared" ref="E183:J183" si="39">E145</f>
        <v>4225</v>
      </c>
      <c r="F183" s="32">
        <f t="shared" si="39"/>
        <v>4403.1973364405476</v>
      </c>
      <c r="G183" s="32">
        <f t="shared" si="39"/>
        <v>4605.0195019498315</v>
      </c>
      <c r="H183" s="32">
        <f t="shared" si="39"/>
        <v>4840.6854108828102</v>
      </c>
      <c r="I183" s="32">
        <f t="shared" si="39"/>
        <v>5074.7771190075882</v>
      </c>
      <c r="J183" s="32">
        <f t="shared" si="39"/>
        <v>5307.5752228420743</v>
      </c>
      <c r="K183" s="95"/>
      <c r="L183" s="50"/>
      <c r="M183" s="15"/>
    </row>
    <row r="184" spans="1:13">
      <c r="A184" s="50"/>
      <c r="B184" s="50"/>
      <c r="C184" s="50" t="s">
        <v>107</v>
      </c>
      <c r="D184" s="50"/>
      <c r="E184" s="96">
        <f t="shared" ref="E184:J184" si="40">E183</f>
        <v>4225</v>
      </c>
      <c r="F184" s="96">
        <f t="shared" si="40"/>
        <v>4403.1973364405476</v>
      </c>
      <c r="G184" s="96">
        <f t="shared" si="40"/>
        <v>4605.0195019498315</v>
      </c>
      <c r="H184" s="96">
        <f t="shared" si="40"/>
        <v>4840.6854108828102</v>
      </c>
      <c r="I184" s="96">
        <f t="shared" si="40"/>
        <v>5074.7771190075882</v>
      </c>
      <c r="J184" s="96">
        <f t="shared" si="40"/>
        <v>5307.5752228420743</v>
      </c>
      <c r="K184" s="95"/>
      <c r="L184" s="50"/>
      <c r="M184" s="15"/>
    </row>
    <row r="185" spans="1:13">
      <c r="A185" s="50"/>
      <c r="B185" s="50"/>
      <c r="C185" s="50"/>
      <c r="D185" s="50"/>
      <c r="E185" s="50"/>
      <c r="F185" s="96"/>
      <c r="G185" s="96"/>
      <c r="H185" s="96"/>
      <c r="I185" s="96"/>
      <c r="J185" s="96"/>
      <c r="K185" s="95"/>
      <c r="L185" s="50"/>
      <c r="M185" s="15"/>
    </row>
    <row r="186" spans="1:13" ht="15.75">
      <c r="A186" s="50"/>
      <c r="B186" s="50"/>
      <c r="C186" s="121" t="s">
        <v>122</v>
      </c>
      <c r="D186" s="50"/>
      <c r="E186" s="50"/>
      <c r="F186" s="96"/>
      <c r="G186" s="96"/>
      <c r="H186" s="96"/>
      <c r="I186" s="96"/>
      <c r="J186" s="96"/>
      <c r="K186" s="95"/>
      <c r="L186" s="27"/>
      <c r="M186" s="15"/>
    </row>
    <row r="187" spans="1:13">
      <c r="A187" s="50"/>
      <c r="B187" s="50"/>
      <c r="C187" s="50" t="s">
        <v>122</v>
      </c>
      <c r="D187" s="50"/>
      <c r="E187" s="32">
        <f t="shared" ref="E187:J187" si="41">E43</f>
        <v>367.85431128559418</v>
      </c>
      <c r="F187" s="32">
        <f t="shared" si="41"/>
        <v>384.2853607413773</v>
      </c>
      <c r="G187" s="32">
        <f t="shared" si="41"/>
        <v>390.32125645982831</v>
      </c>
      <c r="H187" s="32">
        <f t="shared" si="41"/>
        <v>397.36313479802106</v>
      </c>
      <c r="I187" s="32">
        <f t="shared" si="41"/>
        <v>404.40501313621388</v>
      </c>
      <c r="J187" s="32">
        <f t="shared" si="41"/>
        <v>413.79418425380419</v>
      </c>
      <c r="K187" s="95"/>
      <c r="L187" s="125"/>
      <c r="M187" s="15"/>
    </row>
    <row r="188" spans="1:13">
      <c r="A188" s="50"/>
      <c r="B188" s="50"/>
      <c r="C188" s="50"/>
      <c r="D188" s="50"/>
      <c r="E188" s="50"/>
      <c r="F188" s="96"/>
      <c r="G188" s="96"/>
      <c r="H188" s="96"/>
      <c r="I188" s="96"/>
      <c r="J188" s="96"/>
      <c r="K188" s="95"/>
      <c r="L188" s="27"/>
      <c r="M188" s="15"/>
    </row>
    <row r="189" spans="1:13" ht="15.75">
      <c r="A189" s="50"/>
      <c r="B189" s="50"/>
      <c r="C189" s="162" t="s">
        <v>179</v>
      </c>
      <c r="D189" s="50"/>
      <c r="E189" s="32">
        <f t="shared" ref="E189:J189" si="42">E28</f>
        <v>5979</v>
      </c>
      <c r="F189" s="32">
        <f t="shared" si="42"/>
        <v>6132.0522396374154</v>
      </c>
      <c r="G189" s="32">
        <f t="shared" si="42"/>
        <v>6301.6555861120814</v>
      </c>
      <c r="H189" s="32">
        <f t="shared" si="42"/>
        <v>6422.1555191858079</v>
      </c>
      <c r="I189" s="32">
        <f t="shared" si="42"/>
        <v>6571.7669890538482</v>
      </c>
      <c r="J189" s="32">
        <f t="shared" si="42"/>
        <v>6739.8702129727581</v>
      </c>
      <c r="K189" s="95"/>
      <c r="L189" s="125"/>
      <c r="M189" s="15"/>
    </row>
    <row r="190" spans="1:13">
      <c r="A190" s="50"/>
      <c r="B190" s="50"/>
      <c r="C190" s="50" t="s">
        <v>180</v>
      </c>
      <c r="D190" s="50"/>
      <c r="E190" s="32">
        <f t="shared" ref="E190:J190" si="43">E189*$D$46</f>
        <v>6234.9518677159649</v>
      </c>
      <c r="F190" s="32">
        <f t="shared" si="43"/>
        <v>6394.5560402172887</v>
      </c>
      <c r="G190" s="32">
        <f t="shared" si="43"/>
        <v>6571.4198471871996</v>
      </c>
      <c r="H190" s="32">
        <f t="shared" si="43"/>
        <v>6697.078198546571</v>
      </c>
      <c r="I190" s="32">
        <f t="shared" si="43"/>
        <v>6853.0943071743459</v>
      </c>
      <c r="J190" s="32">
        <f t="shared" si="43"/>
        <v>7028.3937736306571</v>
      </c>
      <c r="K190" s="95"/>
      <c r="L190" s="125"/>
      <c r="M190" s="15"/>
    </row>
    <row r="191" spans="1:13">
      <c r="A191" s="50"/>
      <c r="B191" s="50"/>
      <c r="C191" s="50"/>
      <c r="D191" s="50"/>
      <c r="E191" s="50"/>
      <c r="F191" s="96"/>
      <c r="G191" s="32"/>
      <c r="H191" s="32"/>
      <c r="I191" s="32"/>
      <c r="J191" s="32"/>
      <c r="K191" s="95"/>
      <c r="L191" s="27"/>
      <c r="M191" s="15"/>
    </row>
    <row r="192" spans="1:13" ht="15.75">
      <c r="A192" s="50"/>
      <c r="B192" s="50"/>
      <c r="C192" s="162" t="s">
        <v>229</v>
      </c>
      <c r="D192" s="50"/>
      <c r="E192" s="50"/>
      <c r="F192" s="50"/>
      <c r="G192" s="50"/>
      <c r="H192" s="50"/>
      <c r="I192" s="50"/>
      <c r="J192" s="50"/>
      <c r="K192" s="95"/>
      <c r="L192" s="125"/>
      <c r="M192" s="15"/>
    </row>
    <row r="193" spans="1:15">
      <c r="A193" s="50"/>
      <c r="B193" s="50"/>
      <c r="C193" s="50" t="s">
        <v>169</v>
      </c>
      <c r="D193" s="50"/>
      <c r="E193" s="31">
        <f t="shared" ref="E193:J193" si="44">E168-E165</f>
        <v>-908.4794117647059</v>
      </c>
      <c r="F193" s="31">
        <f t="shared" si="44"/>
        <v>-861.82243426723312</v>
      </c>
      <c r="G193" s="31">
        <f t="shared" si="44"/>
        <v>-771.2780102748502</v>
      </c>
      <c r="H193" s="31">
        <f t="shared" si="44"/>
        <v>-746.53705138013174</v>
      </c>
      <c r="I193" s="31">
        <f t="shared" si="44"/>
        <v>-721.45940975093117</v>
      </c>
      <c r="J193" s="31">
        <f t="shared" si="44"/>
        <v>-697.11216992508662</v>
      </c>
      <c r="K193" s="95"/>
      <c r="L193" s="125"/>
      <c r="M193" s="15"/>
    </row>
    <row r="194" spans="1:15">
      <c r="A194" s="50"/>
      <c r="B194" s="50"/>
      <c r="C194" s="50" t="s">
        <v>170</v>
      </c>
      <c r="D194" s="50"/>
      <c r="E194" s="50"/>
      <c r="F194" s="31">
        <f>(F175+F184+F190+((F187-F189-F145-F152+F180)*F53+F193)*$D47-F193-F187*$D49)/($D50-F53*$D47)</f>
        <v>20127.772275356536</v>
      </c>
      <c r="G194" s="31">
        <f>(G175+G184+G190+((G187-G189-G145-G152+G180)*G53+G193)*$D47-G193-G187*$D49)/($D50-G53*$D47)</f>
        <v>19760.013852508546</v>
      </c>
      <c r="H194" s="31">
        <f>(H175+H184+H190+((H187-H189-H145-H152+H180)*H53+H193)*$D47-H193-H187*$D49)/($D50-H53*$D47)</f>
        <v>20586.924946524457</v>
      </c>
      <c r="I194" s="31">
        <f>(I175+I184+I190+((I187-I189-I145-I152+I180)*I53+I193)*$D47-I193-I187*$D49)/($D50-I53*$D47)</f>
        <v>21438.584229491553</v>
      </c>
      <c r="J194" s="31">
        <f>(J175+J184+J190+((J187-J189-J145-J152+J180)*J53+J193)*$D47-J193-J187*$D49)/($D50-J53*$D47)</f>
        <v>22305.078006289292</v>
      </c>
      <c r="K194" s="95"/>
      <c r="L194" s="125"/>
      <c r="M194" s="15"/>
    </row>
    <row r="195" spans="1:15">
      <c r="A195" s="50"/>
      <c r="B195" s="50"/>
      <c r="C195" s="50" t="s">
        <v>177</v>
      </c>
      <c r="D195" s="50"/>
      <c r="E195" s="50"/>
      <c r="F195" s="31">
        <f>(F194+F187-F189-F183-F152+F180)*F53</f>
        <v>2294.0135658275585</v>
      </c>
      <c r="G195" s="31">
        <f>(G194+G187-G189-G183-G152+G180)*G53</f>
        <v>1938.9556212992513</v>
      </c>
      <c r="H195" s="31">
        <f>(H194+H187-H189-H183-H152+H180)*H53</f>
        <v>2074.6064412842447</v>
      </c>
      <c r="I195" s="31">
        <f>(I194+I187-I189-I183-I152+I180)*I53</f>
        <v>2211.925706834571</v>
      </c>
      <c r="J195" s="31">
        <f>(J194+J187-J189-J183-J152+J180)*J53</f>
        <v>2351.1642197197775</v>
      </c>
      <c r="K195" s="95"/>
      <c r="L195" s="125"/>
      <c r="M195" s="15"/>
    </row>
    <row r="196" spans="1:15">
      <c r="A196" s="50"/>
      <c r="B196" s="50"/>
      <c r="C196" s="50" t="s">
        <v>162</v>
      </c>
      <c r="D196" s="50"/>
      <c r="E196" s="50"/>
      <c r="F196" s="31">
        <f>IF(F195&lt;0,#N/A,F195)</f>
        <v>2294.0135658275585</v>
      </c>
      <c r="G196" s="31">
        <f>IF(G195&lt;0,#N/A,G195)</f>
        <v>1938.9556212992513</v>
      </c>
      <c r="H196" s="31">
        <f>IF(H195&lt;0,#N/A,H195)</f>
        <v>2074.6064412842447</v>
      </c>
      <c r="I196" s="31">
        <f>IF(I195&lt;0,#N/A,I195)</f>
        <v>2211.925706834571</v>
      </c>
      <c r="J196" s="31">
        <f>IF(J195&lt;0,#N/A,J195)</f>
        <v>2351.1642197197775</v>
      </c>
      <c r="K196" s="95"/>
      <c r="L196" s="50"/>
      <c r="M196" s="15"/>
    </row>
    <row r="197" spans="1:15">
      <c r="A197" s="50"/>
      <c r="B197" s="50"/>
      <c r="C197" s="50" t="s">
        <v>171</v>
      </c>
      <c r="D197" s="50"/>
      <c r="E197" s="50"/>
      <c r="F197" s="31">
        <f>F175+F184+F190+(F196+F193)*$D$47-F193-F187*$D$49</f>
        <v>20825.69058546234</v>
      </c>
      <c r="G197" s="31">
        <f>G175+G184+G190+(G196+G193)*$D$47-G193-G187*$D$49</f>
        <v>20445.180362092666</v>
      </c>
      <c r="H197" s="31">
        <f>H175+H184+H190+(H196+H193)*$D$47-H193-H187*$D$49</f>
        <v>21300.764097345178</v>
      </c>
      <c r="I197" s="31">
        <f>I175+I184+I190+(I196+I193)*$D$47-I193-I187*$D$49</f>
        <v>22181.95415000814</v>
      </c>
      <c r="J197" s="31">
        <f>J175+J184+J190+(J196+J193)*$D$47-J193-J187*$D$49</f>
        <v>23078.493073588477</v>
      </c>
      <c r="K197" s="95"/>
      <c r="L197" s="27"/>
      <c r="M197" s="15"/>
    </row>
    <row r="198" spans="1:15">
      <c r="A198" s="50"/>
      <c r="B198" s="50"/>
      <c r="C198" s="50" t="s">
        <v>172</v>
      </c>
      <c r="D198" s="50"/>
      <c r="E198" s="50"/>
      <c r="F198" s="31">
        <f>F197/$D$50</f>
        <v>20127.772275356539</v>
      </c>
      <c r="G198" s="31">
        <f>G197/$D$50</f>
        <v>19760.013852508549</v>
      </c>
      <c r="H198" s="31">
        <f>H197/$D$50</f>
        <v>20586.924946524457</v>
      </c>
      <c r="I198" s="31">
        <f>I197/$D$50</f>
        <v>21438.584229491556</v>
      </c>
      <c r="J198" s="31">
        <f>J197/$D$50</f>
        <v>22305.078006289292</v>
      </c>
      <c r="K198" s="95"/>
      <c r="L198" s="50"/>
      <c r="M198" s="15"/>
    </row>
    <row r="199" spans="1:15">
      <c r="A199" s="50"/>
      <c r="B199" s="50"/>
      <c r="C199" s="50" t="s">
        <v>173</v>
      </c>
      <c r="D199" s="50"/>
      <c r="E199" s="50"/>
      <c r="F199" s="31">
        <f>F194-F198</f>
        <v>0</v>
      </c>
      <c r="G199" s="31">
        <f>G194-G198</f>
        <v>0</v>
      </c>
      <c r="H199" s="31">
        <f>H194-H198</f>
        <v>0</v>
      </c>
      <c r="I199" s="31">
        <f>I194-I198</f>
        <v>0</v>
      </c>
      <c r="J199" s="31">
        <f>J194-J198</f>
        <v>0</v>
      </c>
      <c r="K199" s="95"/>
      <c r="L199" s="27"/>
      <c r="M199" s="15"/>
    </row>
    <row r="200" spans="1:15">
      <c r="A200" s="50"/>
      <c r="B200" s="50"/>
      <c r="C200" s="50"/>
      <c r="D200" s="50"/>
      <c r="E200" s="50"/>
      <c r="F200" s="50"/>
      <c r="G200" s="50"/>
      <c r="H200" s="50"/>
      <c r="I200" s="50"/>
      <c r="J200" s="50"/>
      <c r="K200" s="50"/>
      <c r="L200" s="50"/>
      <c r="M200" s="15"/>
    </row>
    <row r="201" spans="1:15" ht="15.75">
      <c r="A201" s="50"/>
      <c r="B201" s="50"/>
      <c r="C201" s="162" t="s">
        <v>174</v>
      </c>
      <c r="D201" s="50"/>
      <c r="E201" s="50"/>
      <c r="F201" s="31"/>
      <c r="G201" s="31"/>
      <c r="H201" s="31"/>
      <c r="I201" s="31"/>
      <c r="J201" s="50"/>
      <c r="K201" s="95"/>
      <c r="L201" s="27"/>
      <c r="M201" s="15"/>
    </row>
    <row r="202" spans="1:15">
      <c r="A202" s="50"/>
      <c r="B202" s="50"/>
      <c r="C202" s="95" t="s">
        <v>103</v>
      </c>
      <c r="D202" s="50"/>
      <c r="E202" s="50"/>
      <c r="F202" s="31"/>
      <c r="G202" s="31"/>
      <c r="H202" s="31"/>
      <c r="I202" s="31"/>
      <c r="J202" s="50"/>
      <c r="K202" s="95"/>
      <c r="L202" s="50"/>
      <c r="M202" s="15"/>
      <c r="O202" s="8"/>
    </row>
    <row r="203" spans="1:15">
      <c r="A203" s="50"/>
      <c r="B203" s="50"/>
      <c r="C203" s="50" t="s">
        <v>175</v>
      </c>
      <c r="D203" s="50"/>
      <c r="E203" s="50"/>
      <c r="F203" s="50"/>
      <c r="G203" s="50"/>
      <c r="H203" s="31">
        <v>1</v>
      </c>
      <c r="I203" s="31">
        <v>2</v>
      </c>
      <c r="J203" s="31">
        <v>3</v>
      </c>
      <c r="K203" s="95"/>
      <c r="L203" s="27"/>
      <c r="M203" s="15"/>
    </row>
    <row r="204" spans="1:15">
      <c r="A204" s="50"/>
      <c r="B204" s="50" t="s">
        <v>135</v>
      </c>
      <c r="C204" s="50" t="s">
        <v>136</v>
      </c>
      <c r="D204" s="50"/>
      <c r="E204" s="50"/>
      <c r="F204" s="31"/>
      <c r="G204" s="31"/>
      <c r="H204" s="31">
        <f>H197</f>
        <v>21300.764097345178</v>
      </c>
      <c r="I204" s="31">
        <f>I197</f>
        <v>22181.95415000814</v>
      </c>
      <c r="J204" s="31">
        <f>J197</f>
        <v>23078.493073588477</v>
      </c>
      <c r="K204" s="95"/>
      <c r="L204" s="50"/>
      <c r="M204" s="15"/>
    </row>
    <row r="205" spans="1:15">
      <c r="A205" s="50"/>
      <c r="B205" s="50" t="s">
        <v>135</v>
      </c>
      <c r="C205" s="50" t="s">
        <v>137</v>
      </c>
      <c r="D205" s="50"/>
      <c r="E205" s="50"/>
      <c r="F205" s="31"/>
      <c r="G205" s="31"/>
      <c r="H205" s="31">
        <f>H204/(1+WACC)^H$203</f>
        <v>19583.307986894531</v>
      </c>
      <c r="I205" s="31">
        <f>I204/(1+WACC)^I$203</f>
        <v>18749.148385673725</v>
      </c>
      <c r="J205" s="31">
        <f>J204/(1+WACC)^J$203</f>
        <v>17934.119623523427</v>
      </c>
      <c r="K205" s="95"/>
      <c r="L205" s="50"/>
      <c r="M205" s="15"/>
    </row>
    <row r="206" spans="1:15">
      <c r="A206" s="50"/>
      <c r="B206" s="50" t="s">
        <v>135</v>
      </c>
      <c r="C206" s="50" t="s">
        <v>101</v>
      </c>
      <c r="D206" s="31">
        <f>SUM(H205:J205)</f>
        <v>56266.575996091677</v>
      </c>
      <c r="E206" s="50"/>
      <c r="F206" s="31"/>
      <c r="G206" s="31"/>
      <c r="H206" s="31"/>
      <c r="I206" s="31"/>
      <c r="J206" s="31"/>
      <c r="K206" s="95"/>
      <c r="L206" s="50"/>
      <c r="M206" s="15"/>
    </row>
    <row r="207" spans="1:15">
      <c r="A207" s="50"/>
      <c r="B207" s="50"/>
      <c r="C207" s="50"/>
      <c r="D207" s="50"/>
      <c r="E207" s="50"/>
      <c r="F207" s="123"/>
      <c r="G207" s="50"/>
      <c r="H207" s="50"/>
      <c r="I207" s="50"/>
      <c r="J207" s="50"/>
      <c r="K207" s="95"/>
      <c r="L207" s="50"/>
      <c r="M207" s="15"/>
    </row>
    <row r="208" spans="1:15" ht="21">
      <c r="A208" s="50"/>
      <c r="B208" s="50"/>
      <c r="C208" s="155" t="s">
        <v>104</v>
      </c>
      <c r="D208" s="50"/>
      <c r="E208" s="50"/>
      <c r="F208" s="123"/>
      <c r="G208" s="50"/>
      <c r="H208" s="50"/>
      <c r="I208" s="50"/>
      <c r="J208" s="50"/>
      <c r="K208" s="95"/>
      <c r="L208" s="50"/>
      <c r="M208" s="15"/>
    </row>
    <row r="209" spans="1:13" ht="15.75">
      <c r="A209" s="50"/>
      <c r="B209" s="50"/>
      <c r="C209" s="50"/>
      <c r="D209" s="50"/>
      <c r="E209" s="162" t="str">
        <f>Inputs!D$11</f>
        <v>2009/10</v>
      </c>
      <c r="F209" s="168" t="str">
        <f>Inputs!E$11</f>
        <v>2010/11</v>
      </c>
      <c r="G209" s="162" t="str">
        <f>Inputs!F$11</f>
        <v>2011/12</v>
      </c>
      <c r="H209" s="162" t="str">
        <f>Inputs!G$11</f>
        <v>2012/13</v>
      </c>
      <c r="I209" s="162" t="str">
        <f>Inputs!H$11</f>
        <v>2013/14</v>
      </c>
      <c r="J209" s="162" t="str">
        <f>Inputs!I$11</f>
        <v>2014/15</v>
      </c>
      <c r="K209" s="95"/>
      <c r="L209" s="50"/>
      <c r="M209" s="15"/>
    </row>
    <row r="210" spans="1:13">
      <c r="A210" s="50"/>
      <c r="B210" s="50"/>
      <c r="C210" s="50" t="s">
        <v>53</v>
      </c>
      <c r="D210" s="32">
        <f>D206</f>
        <v>56266.575996091677</v>
      </c>
      <c r="E210" s="50"/>
      <c r="F210" s="169"/>
      <c r="G210" s="32"/>
      <c r="H210" s="32"/>
      <c r="I210" s="32"/>
      <c r="J210" s="32"/>
      <c r="K210" s="95"/>
      <c r="L210" s="50"/>
      <c r="M210" s="15"/>
    </row>
    <row r="211" spans="1:13">
      <c r="A211" s="50"/>
      <c r="B211" s="50"/>
      <c r="C211" s="50" t="s">
        <v>143</v>
      </c>
      <c r="D211" s="50"/>
      <c r="E211" s="50"/>
      <c r="F211" s="113"/>
      <c r="G211" s="113"/>
      <c r="H211" s="170">
        <v>1</v>
      </c>
      <c r="I211" s="113">
        <f>H211*(1+I$35)*(1+I$30)*(1-X_industry_wide)</f>
        <v>1.0214568641906083</v>
      </c>
      <c r="J211" s="113">
        <f>I211*(1+J$35)*(1+J$30)*(1-X_industry_wide)</f>
        <v>1.0417481845681589</v>
      </c>
      <c r="K211" s="95"/>
      <c r="L211" s="50" t="s">
        <v>290</v>
      </c>
    </row>
    <row r="212" spans="1:13">
      <c r="A212" s="50"/>
      <c r="B212" s="50"/>
      <c r="C212" s="50" t="s">
        <v>102</v>
      </c>
      <c r="D212" s="50"/>
      <c r="E212" s="50"/>
      <c r="F212" s="171"/>
      <c r="G212" s="113"/>
      <c r="H212" s="113">
        <f>H211/(1+WACC)^H$203</f>
        <v>0.91937115013330895</v>
      </c>
      <c r="I212" s="113">
        <f>I211/(1+WACC)^I$203</f>
        <v>0.86337958264455539</v>
      </c>
      <c r="J212" s="113">
        <f>J211/(1+WACC)^J$203</f>
        <v>0.80953450903667379</v>
      </c>
      <c r="K212" s="95"/>
      <c r="L212" s="50" t="s">
        <v>165</v>
      </c>
    </row>
    <row r="213" spans="1:13">
      <c r="A213" s="50"/>
      <c r="B213" s="50"/>
      <c r="C213" s="50" t="s">
        <v>91</v>
      </c>
      <c r="D213" s="113">
        <f>SUM(H212:J212)</f>
        <v>2.5922852418145381</v>
      </c>
      <c r="E213" s="50"/>
      <c r="F213" s="171"/>
      <c r="G213" s="113"/>
      <c r="H213" s="113"/>
      <c r="I213" s="113"/>
      <c r="J213" s="113"/>
      <c r="K213" s="95"/>
      <c r="L213" s="50" t="s">
        <v>279</v>
      </c>
    </row>
    <row r="214" spans="1:13">
      <c r="A214" s="50"/>
      <c r="B214" s="50"/>
      <c r="C214" s="50" t="s">
        <v>142</v>
      </c>
      <c r="D214" s="32">
        <f>D210/D213</f>
        <v>21705.395335548186</v>
      </c>
      <c r="E214" s="50"/>
      <c r="F214" s="171"/>
      <c r="G214" s="113"/>
      <c r="H214" s="31"/>
      <c r="I214" s="31"/>
      <c r="J214" s="31"/>
      <c r="K214" s="95"/>
      <c r="L214" s="31"/>
    </row>
    <row r="215" spans="1:13">
      <c r="A215" s="50"/>
      <c r="B215" s="50"/>
      <c r="C215" s="50" t="s">
        <v>138</v>
      </c>
      <c r="D215" s="32"/>
      <c r="E215" s="50"/>
      <c r="F215" s="171"/>
      <c r="G215" s="113"/>
      <c r="H215" s="31">
        <f>$D214*H211</f>
        <v>21705.395335548186</v>
      </c>
      <c r="I215" s="31">
        <f>$D214*I211</f>
        <v>22171.125055466506</v>
      </c>
      <c r="J215" s="31">
        <f>$D214*J211</f>
        <v>22611.556186141508</v>
      </c>
      <c r="K215" s="95"/>
      <c r="L215" s="50" t="s">
        <v>131</v>
      </c>
    </row>
    <row r="216" spans="1:13">
      <c r="A216" s="50"/>
      <c r="B216" s="50"/>
      <c r="C216" s="50" t="s">
        <v>139</v>
      </c>
      <c r="D216" s="32"/>
      <c r="E216" s="50"/>
      <c r="F216" s="171"/>
      <c r="G216" s="113"/>
      <c r="H216" s="54">
        <f>H215/$D$50</f>
        <v>20977.996031760449</v>
      </c>
      <c r="I216" s="54">
        <f>I215/$D$50</f>
        <v>21428.118043605053</v>
      </c>
      <c r="J216" s="54">
        <f>J215/$D$50</f>
        <v>21853.789281964491</v>
      </c>
      <c r="K216" s="95"/>
      <c r="L216" s="50" t="s">
        <v>133</v>
      </c>
    </row>
    <row r="217" spans="1:13">
      <c r="A217" s="50"/>
      <c r="B217" s="50"/>
      <c r="C217" s="50" t="s">
        <v>140</v>
      </c>
      <c r="D217" s="50"/>
      <c r="E217" s="50"/>
      <c r="F217" s="171"/>
      <c r="G217" s="113"/>
      <c r="H217" s="31">
        <f>H215/(1+WACC)^H$203</f>
        <v>19955.314273741096</v>
      </c>
      <c r="I217" s="31">
        <f>I215/(1+WACC)^I$203</f>
        <v>18739.995165940669</v>
      </c>
      <c r="J217" s="31">
        <f>J215/(1+WACC)^J$203</f>
        <v>17571.266556409912</v>
      </c>
      <c r="K217" s="95"/>
      <c r="L217" s="50" t="s">
        <v>181</v>
      </c>
    </row>
    <row r="218" spans="1:13">
      <c r="A218" s="50"/>
      <c r="B218" s="50"/>
      <c r="C218" s="50" t="s">
        <v>141</v>
      </c>
      <c r="D218" s="32">
        <f>SUM(H217:J217)</f>
        <v>56266.575996091677</v>
      </c>
      <c r="E218" s="50"/>
      <c r="F218" s="171"/>
      <c r="G218" s="113"/>
      <c r="H218" s="31"/>
      <c r="I218" s="31"/>
      <c r="J218" s="31"/>
      <c r="K218" s="95"/>
      <c r="L218" s="50" t="s">
        <v>134</v>
      </c>
      <c r="M218" s="15"/>
    </row>
    <row r="219" spans="1:13">
      <c r="A219" s="50"/>
      <c r="B219" s="50"/>
      <c r="C219" s="50" t="s">
        <v>132</v>
      </c>
      <c r="D219" s="172">
        <f>D210-D218</f>
        <v>0</v>
      </c>
      <c r="E219" s="50"/>
      <c r="F219" s="171"/>
      <c r="G219" s="113"/>
      <c r="H219" s="31"/>
      <c r="I219" s="31"/>
      <c r="J219" s="31"/>
      <c r="K219" s="95"/>
      <c r="L219" s="50"/>
      <c r="M219" s="15"/>
    </row>
    <row r="220" spans="1:13">
      <c r="A220" s="50"/>
      <c r="B220" s="50"/>
      <c r="C220" s="50" t="s">
        <v>202</v>
      </c>
      <c r="D220" s="32">
        <f>SUM(I217:J217)</f>
        <v>36311.26172235058</v>
      </c>
      <c r="E220" s="50"/>
      <c r="F220" s="171"/>
      <c r="G220" s="113"/>
      <c r="H220" s="31"/>
      <c r="I220" s="31"/>
      <c r="J220" s="31"/>
      <c r="K220" s="95"/>
      <c r="L220" s="27"/>
      <c r="M220" s="15"/>
    </row>
    <row r="221" spans="1:13">
      <c r="A221" s="50"/>
      <c r="B221" s="50"/>
      <c r="C221" s="50"/>
      <c r="D221" s="31"/>
      <c r="E221" s="50"/>
      <c r="F221" s="123"/>
      <c r="G221" s="50"/>
      <c r="H221" s="50"/>
      <c r="I221" s="50"/>
      <c r="J221" s="50"/>
      <c r="K221" s="95"/>
      <c r="L221" s="50"/>
      <c r="M221" s="15"/>
    </row>
    <row r="222" spans="1:13" ht="21">
      <c r="A222" s="50"/>
      <c r="B222" s="50"/>
      <c r="C222" s="155" t="s">
        <v>113</v>
      </c>
      <c r="D222" s="155"/>
      <c r="E222" s="155"/>
      <c r="F222" s="155"/>
      <c r="G222" s="155"/>
      <c r="H222" s="50"/>
      <c r="I222" s="50"/>
      <c r="J222" s="50"/>
      <c r="K222" s="173"/>
      <c r="L222" s="174"/>
      <c r="M222" s="53"/>
    </row>
    <row r="223" spans="1:13" ht="15.75">
      <c r="A223" s="50"/>
      <c r="B223" s="50"/>
      <c r="C223" s="50"/>
      <c r="D223" s="50"/>
      <c r="E223" s="162" t="str">
        <f>Inputs!D$11</f>
        <v>2009/10</v>
      </c>
      <c r="F223" s="168" t="str">
        <f>Inputs!E$11</f>
        <v>2010/11</v>
      </c>
      <c r="G223" s="162" t="str">
        <f>Inputs!F$11</f>
        <v>2011/12</v>
      </c>
      <c r="H223" s="162" t="str">
        <f>Inputs!G$11</f>
        <v>2012/13</v>
      </c>
      <c r="I223" s="162" t="str">
        <f>Inputs!H$11</f>
        <v>2013/14</v>
      </c>
      <c r="J223" s="162" t="str">
        <f>Inputs!I$11</f>
        <v>2014/15</v>
      </c>
      <c r="K223" s="95"/>
      <c r="L223" s="50"/>
      <c r="M223" s="15"/>
    </row>
    <row r="224" spans="1:13" ht="15.75">
      <c r="A224" s="50"/>
      <c r="B224" s="50"/>
      <c r="C224" s="175" t="s">
        <v>318</v>
      </c>
      <c r="D224" s="50"/>
      <c r="E224" s="162"/>
      <c r="F224" s="95"/>
      <c r="G224" s="95"/>
      <c r="H224" s="95"/>
      <c r="I224" s="95"/>
      <c r="J224" s="95"/>
      <c r="K224" s="95"/>
      <c r="L224" s="50"/>
      <c r="M224" s="15"/>
    </row>
    <row r="225" spans="1:13" ht="15.75">
      <c r="A225" s="50"/>
      <c r="B225" s="50"/>
      <c r="C225" s="175" t="s">
        <v>204</v>
      </c>
      <c r="D225" s="50"/>
      <c r="E225" s="162"/>
      <c r="F225" s="95"/>
      <c r="G225" s="95"/>
      <c r="H225" s="95"/>
      <c r="I225" s="95"/>
      <c r="J225" s="95"/>
      <c r="K225" s="95"/>
      <c r="L225" s="50"/>
      <c r="M225" s="15"/>
    </row>
    <row r="226" spans="1:13">
      <c r="A226" s="50"/>
      <c r="B226" s="50" t="s">
        <v>150</v>
      </c>
      <c r="C226" s="50" t="s">
        <v>203</v>
      </c>
      <c r="D226" s="32">
        <f>D220</f>
        <v>36311.26172235058</v>
      </c>
      <c r="E226" s="50"/>
      <c r="F226" s="169"/>
      <c r="G226" s="32"/>
      <c r="H226" s="32"/>
      <c r="I226" s="32"/>
      <c r="J226" s="32"/>
      <c r="K226" s="95"/>
      <c r="L226" s="50"/>
      <c r="M226" s="15"/>
    </row>
    <row r="227" spans="1:13">
      <c r="A227" s="32"/>
      <c r="B227" s="50" t="s">
        <v>150</v>
      </c>
      <c r="C227" s="50" t="s">
        <v>319</v>
      </c>
      <c r="D227" s="49">
        <f>IF(E26="IWX",X_industry_wide,E26)</f>
        <v>0</v>
      </c>
      <c r="E227" s="32"/>
      <c r="F227" s="49"/>
      <c r="G227" s="49"/>
      <c r="H227" s="49"/>
      <c r="I227" s="49"/>
      <c r="J227" s="49"/>
      <c r="K227" s="95"/>
      <c r="L227" s="50"/>
      <c r="M227" s="15"/>
    </row>
    <row r="228" spans="1:13">
      <c r="A228" s="50"/>
      <c r="B228" s="50" t="s">
        <v>150</v>
      </c>
      <c r="C228" s="50" t="s">
        <v>143</v>
      </c>
      <c r="D228" s="50"/>
      <c r="E228" s="50"/>
      <c r="F228" s="171"/>
      <c r="G228" s="113"/>
      <c r="H228" s="113"/>
      <c r="I228" s="113">
        <v>1</v>
      </c>
      <c r="J228" s="113">
        <f>I228*(1+J$35)*(1+J$30)*(1-D227)</f>
        <v>1.019865078094736</v>
      </c>
      <c r="K228" s="95"/>
      <c r="L228" s="50" t="s">
        <v>278</v>
      </c>
    </row>
    <row r="229" spans="1:13">
      <c r="A229" s="50"/>
      <c r="B229" s="50" t="s">
        <v>150</v>
      </c>
      <c r="C229" s="50" t="s">
        <v>102</v>
      </c>
      <c r="D229" s="50"/>
      <c r="E229" s="50"/>
      <c r="F229" s="171"/>
      <c r="G229" s="113"/>
      <c r="H229" s="113"/>
      <c r="I229" s="113">
        <f>I228/(1+WACC)^I$203</f>
        <v>0.84524331169744327</v>
      </c>
      <c r="J229" s="113">
        <f>J228/(1+WACC)^J$203</f>
        <v>0.79252931515433156</v>
      </c>
      <c r="K229" s="95"/>
      <c r="L229" s="50" t="s">
        <v>165</v>
      </c>
    </row>
    <row r="230" spans="1:13">
      <c r="A230" s="50"/>
      <c r="B230" s="50" t="s">
        <v>150</v>
      </c>
      <c r="C230" s="50" t="s">
        <v>91</v>
      </c>
      <c r="D230" s="113">
        <f>SUM(I229:J229)</f>
        <v>1.6377726268517749</v>
      </c>
      <c r="E230" s="50"/>
      <c r="F230" s="171"/>
      <c r="G230" s="113"/>
      <c r="H230" s="113"/>
      <c r="I230" s="113"/>
      <c r="J230" s="113"/>
      <c r="K230" s="95"/>
      <c r="L230" s="50" t="s">
        <v>279</v>
      </c>
    </row>
    <row r="231" spans="1:13">
      <c r="A231" s="50"/>
      <c r="B231" s="50" t="s">
        <v>150</v>
      </c>
      <c r="C231" s="50" t="s">
        <v>142</v>
      </c>
      <c r="D231" s="32">
        <f>D226/D230</f>
        <v>22171.125055466502</v>
      </c>
      <c r="E231" s="50"/>
      <c r="F231" s="171"/>
      <c r="G231" s="113"/>
      <c r="H231" s="31"/>
      <c r="I231" s="31"/>
      <c r="J231" s="31"/>
      <c r="K231" s="95"/>
      <c r="L231" s="50"/>
    </row>
    <row r="232" spans="1:13">
      <c r="A232" s="50"/>
      <c r="B232" s="50" t="s">
        <v>150</v>
      </c>
      <c r="C232" s="50" t="s">
        <v>138</v>
      </c>
      <c r="D232" s="32"/>
      <c r="E232" s="50"/>
      <c r="F232" s="171"/>
      <c r="G232" s="113"/>
      <c r="H232" s="31">
        <f>H215</f>
        <v>21705.395335548186</v>
      </c>
      <c r="I232" s="31">
        <f>$D231*I228</f>
        <v>22171.125055466502</v>
      </c>
      <c r="J232" s="31">
        <f>$D231*J228</f>
        <v>22611.556186141504</v>
      </c>
      <c r="K232" s="95"/>
      <c r="L232" s="50" t="s">
        <v>131</v>
      </c>
    </row>
    <row r="233" spans="1:13">
      <c r="A233" s="50"/>
      <c r="B233" s="50" t="s">
        <v>150</v>
      </c>
      <c r="C233" s="50" t="s">
        <v>139</v>
      </c>
      <c r="D233" s="32"/>
      <c r="E233" s="50"/>
      <c r="F233" s="171"/>
      <c r="G233" s="113"/>
      <c r="H233" s="54">
        <f>H232/$D$50</f>
        <v>20977.996031760449</v>
      </c>
      <c r="I233" s="54">
        <f>I232/$D$50</f>
        <v>21428.118043605049</v>
      </c>
      <c r="J233" s="54">
        <f>J232/$D$50</f>
        <v>21853.789281964488</v>
      </c>
      <c r="K233" s="95"/>
      <c r="L233" s="50" t="s">
        <v>133</v>
      </c>
    </row>
    <row r="234" spans="1:13">
      <c r="A234" s="50"/>
      <c r="B234" s="50" t="s">
        <v>150</v>
      </c>
      <c r="C234" s="50" t="s">
        <v>209</v>
      </c>
      <c r="D234" s="50"/>
      <c r="E234" s="50"/>
      <c r="F234" s="171"/>
      <c r="G234" s="113"/>
      <c r="H234" s="31"/>
      <c r="I234" s="31">
        <f>I232/(1+WACC)^I$203</f>
        <v>18739.995165940669</v>
      </c>
      <c r="J234" s="31">
        <f>J232/(1+WACC)^J$203</f>
        <v>17571.266556409908</v>
      </c>
      <c r="K234" s="95"/>
      <c r="L234" s="50" t="s">
        <v>181</v>
      </c>
    </row>
    <row r="235" spans="1:13">
      <c r="A235" s="50"/>
      <c r="B235" s="50" t="s">
        <v>150</v>
      </c>
      <c r="C235" s="50" t="s">
        <v>390</v>
      </c>
      <c r="D235" s="32">
        <f>SUM(I234:J234)</f>
        <v>36311.26172235058</v>
      </c>
      <c r="E235" s="50"/>
      <c r="F235" s="50"/>
      <c r="G235" s="113"/>
      <c r="H235" s="31"/>
      <c r="I235" s="31"/>
      <c r="J235" s="31"/>
      <c r="K235" s="95"/>
      <c r="L235" s="50" t="s">
        <v>134</v>
      </c>
    </row>
    <row r="236" spans="1:13">
      <c r="A236" s="50"/>
      <c r="B236" s="50" t="s">
        <v>150</v>
      </c>
      <c r="C236" s="50" t="s">
        <v>132</v>
      </c>
      <c r="D236" s="172">
        <f>D226-D235</f>
        <v>0</v>
      </c>
      <c r="E236" s="50"/>
      <c r="F236" s="171"/>
      <c r="G236" s="113"/>
      <c r="H236" s="31"/>
      <c r="I236" s="31"/>
      <c r="J236" s="31"/>
      <c r="K236" s="95"/>
      <c r="L236" s="50"/>
      <c r="M236" s="15"/>
    </row>
    <row r="237" spans="1:13">
      <c r="A237" s="50"/>
      <c r="B237" s="119" t="s">
        <v>150</v>
      </c>
      <c r="C237" s="119" t="s">
        <v>190</v>
      </c>
      <c r="D237" s="119"/>
      <c r="E237" s="50"/>
      <c r="F237" s="176"/>
      <c r="G237" s="177"/>
      <c r="H237" s="178">
        <f>(H233+H187-H$189-H$183-H152+H$180)*H$53</f>
        <v>2184.1063451503223</v>
      </c>
      <c r="I237" s="178">
        <f>(I233+I187-I$189-I$183-I152+I$180)*I$53</f>
        <v>2208.9951747863502</v>
      </c>
      <c r="J237" s="178">
        <f>(J233+J187-J$189-J$183-J152+J$180)*J$53</f>
        <v>2224.8033769088324</v>
      </c>
      <c r="K237" s="54"/>
      <c r="L237" s="50"/>
      <c r="M237" s="15"/>
    </row>
    <row r="238" spans="1:13">
      <c r="A238" s="50"/>
      <c r="B238" s="119"/>
      <c r="C238" s="119"/>
      <c r="D238" s="119"/>
      <c r="E238" s="178"/>
      <c r="F238" s="176"/>
      <c r="G238" s="177"/>
      <c r="H238" s="178"/>
      <c r="I238" s="178"/>
      <c r="J238" s="178"/>
      <c r="K238" s="95"/>
      <c r="L238" s="50"/>
      <c r="M238" s="15"/>
    </row>
    <row r="239" spans="1:13" ht="21">
      <c r="A239" s="50"/>
      <c r="B239" s="50"/>
      <c r="C239" s="155" t="s">
        <v>199</v>
      </c>
      <c r="D239" s="155"/>
      <c r="E239" s="155"/>
      <c r="F239" s="155"/>
      <c r="G239" s="155"/>
      <c r="H239" s="155"/>
      <c r="I239" s="155"/>
      <c r="J239" s="50"/>
      <c r="K239" s="50"/>
      <c r="L239" s="50"/>
      <c r="M239" s="15"/>
    </row>
    <row r="240" spans="1:13">
      <c r="A240" s="50"/>
      <c r="B240" s="50"/>
      <c r="C240" s="50" t="s">
        <v>197</v>
      </c>
      <c r="D240" s="179"/>
      <c r="E240" s="50"/>
      <c r="F240" s="31">
        <f>G240/((1+G35)*(1+G30)*(1-X_industry_wide))</f>
        <v>20299.570702480865</v>
      </c>
      <c r="G240" s="31">
        <f>H240/((1+H35)*(1+H30)*(1-X_industry_wide))</f>
        <v>20598.057664391144</v>
      </c>
      <c r="H240" s="31">
        <f>H233</f>
        <v>20977.996031760449</v>
      </c>
      <c r="I240" s="50"/>
      <c r="J240" s="50"/>
      <c r="K240" s="50"/>
      <c r="L240" s="50"/>
      <c r="M240" s="15"/>
    </row>
    <row r="241" spans="1:13">
      <c r="A241" s="50"/>
      <c r="B241" s="50"/>
      <c r="C241" s="50"/>
      <c r="D241" s="179"/>
      <c r="E241" s="50"/>
      <c r="F241" s="31"/>
      <c r="G241" s="31"/>
      <c r="H241" s="31"/>
      <c r="I241" s="50"/>
      <c r="J241" s="50"/>
      <c r="K241" s="50"/>
      <c r="L241" s="50"/>
      <c r="M241" s="15"/>
    </row>
    <row r="242" spans="1:13" ht="21">
      <c r="A242" s="50"/>
      <c r="B242" s="50"/>
      <c r="C242" s="155" t="s">
        <v>198</v>
      </c>
      <c r="D242" s="179"/>
      <c r="E242" s="50"/>
      <c r="F242" s="123"/>
      <c r="G242" s="50"/>
      <c r="H242" s="50"/>
      <c r="I242" s="50"/>
      <c r="J242" s="50"/>
      <c r="K242" s="50"/>
      <c r="L242" s="27"/>
      <c r="M242" s="15"/>
    </row>
    <row r="243" spans="1:13">
      <c r="A243" s="50"/>
      <c r="B243" s="50"/>
      <c r="C243" s="180" t="s">
        <v>212</v>
      </c>
      <c r="D243" s="179"/>
      <c r="E243" s="181">
        <f>(1+H30)*(1+I30)</f>
        <v>0.99550604678278964</v>
      </c>
      <c r="F243" s="123"/>
      <c r="G243" s="50"/>
      <c r="H243" s="50"/>
      <c r="I243" s="50"/>
      <c r="J243" s="50"/>
      <c r="K243" s="50"/>
      <c r="L243" s="27"/>
      <c r="M243" s="15"/>
    </row>
    <row r="244" spans="1:13">
      <c r="A244" s="50"/>
      <c r="B244" s="50"/>
      <c r="C244" s="50"/>
      <c r="D244" s="127"/>
      <c r="E244" s="50"/>
      <c r="F244" s="123"/>
      <c r="G244" s="50"/>
      <c r="H244" s="50"/>
      <c r="I244" s="50"/>
      <c r="J244" s="50"/>
      <c r="K244" s="50"/>
      <c r="L244" s="27"/>
    </row>
    <row r="245" spans="1:13" ht="21">
      <c r="A245" s="50"/>
      <c r="B245" s="50"/>
      <c r="C245" s="155" t="s">
        <v>315</v>
      </c>
      <c r="D245" s="162" t="s">
        <v>342</v>
      </c>
      <c r="E245" s="50"/>
      <c r="F245" s="123"/>
      <c r="G245" s="50"/>
      <c r="H245" s="50"/>
      <c r="I245" s="50"/>
      <c r="J245" s="50"/>
      <c r="K245" s="50"/>
      <c r="L245" s="27"/>
    </row>
    <row r="246" spans="1:13">
      <c r="A246" s="50"/>
      <c r="B246" s="50"/>
      <c r="C246" s="50"/>
      <c r="D246" s="50"/>
      <c r="E246" s="99" t="str">
        <f>Inputs!D$11</f>
        <v>2009/10</v>
      </c>
      <c r="F246" s="99" t="str">
        <f>Inputs!E$11</f>
        <v>2010/11</v>
      </c>
      <c r="G246" s="99" t="str">
        <f>Inputs!F$11</f>
        <v>2011/12</v>
      </c>
      <c r="H246" s="99" t="str">
        <f>Inputs!G$11</f>
        <v>2012/13</v>
      </c>
      <c r="I246" s="99" t="str">
        <f>Inputs!H$11</f>
        <v>2013/14</v>
      </c>
      <c r="J246" s="99" t="str">
        <f>Inputs!I$11</f>
        <v>2014/15</v>
      </c>
      <c r="K246" s="50"/>
      <c r="L246" s="27"/>
    </row>
    <row r="247" spans="1:13">
      <c r="A247" s="50"/>
      <c r="B247" s="50"/>
      <c r="C247" s="122" t="str">
        <f>C35</f>
        <v>2009 ΔCPI, 8 index, lagged, no GST adjustment</v>
      </c>
      <c r="D247" s="50"/>
      <c r="E247" s="50"/>
      <c r="F247" s="50"/>
      <c r="G247" s="50"/>
      <c r="H247" s="50"/>
      <c r="I247" s="100">
        <f>I35</f>
        <v>2.3759818812291389E-2</v>
      </c>
      <c r="J247" s="100">
        <f>J35</f>
        <v>2.2164443909808984E-2</v>
      </c>
      <c r="K247" s="50"/>
      <c r="L247" s="27"/>
    </row>
    <row r="248" spans="1:13">
      <c r="A248" s="50"/>
      <c r="B248" s="50"/>
      <c r="C248" s="122" t="str">
        <f>C37</f>
        <v>2012 ΔCPI, 8 index, lagged, with GST adjustment</v>
      </c>
      <c r="D248" s="50"/>
      <c r="E248" s="99"/>
      <c r="F248" s="100"/>
      <c r="G248" s="100"/>
      <c r="H248" s="100"/>
      <c r="I248" s="100">
        <f>I$37</f>
        <v>1.2820512820512775E-2</v>
      </c>
      <c r="J248" s="101">
        <f>J$37</f>
        <v>1.9725095732576747E-2</v>
      </c>
      <c r="K248" s="50"/>
      <c r="L248" s="27"/>
    </row>
    <row r="249" spans="1:13">
      <c r="A249" s="50"/>
      <c r="B249" s="50"/>
      <c r="C249" s="50" t="s">
        <v>200</v>
      </c>
      <c r="D249" s="50"/>
      <c r="E249" s="99"/>
      <c r="F249" s="100"/>
      <c r="G249" s="100">
        <f>G$30</f>
        <v>-2.2495067489118406E-3</v>
      </c>
      <c r="H249" s="100">
        <f>H$30</f>
        <v>-2.2495067489118406E-3</v>
      </c>
      <c r="I249" s="100">
        <f>I$30</f>
        <v>-2.2495067489118406E-3</v>
      </c>
      <c r="J249" s="100">
        <f>J$30</f>
        <v>-2.2495067489118406E-3</v>
      </c>
      <c r="K249" s="50"/>
      <c r="L249" s="27"/>
    </row>
    <row r="250" spans="1:13">
      <c r="A250" s="50"/>
      <c r="B250" s="50"/>
      <c r="C250" s="50" t="s">
        <v>309</v>
      </c>
      <c r="D250" s="54">
        <f>E25</f>
        <v>9822.4689999999991</v>
      </c>
      <c r="E250" s="50"/>
      <c r="F250" s="123"/>
      <c r="G250" s="50"/>
      <c r="H250" s="50"/>
      <c r="I250" s="50"/>
      <c r="J250" s="50"/>
      <c r="K250" s="50"/>
      <c r="L250" s="27"/>
    </row>
    <row r="251" spans="1:13">
      <c r="A251" s="50"/>
      <c r="B251" s="50"/>
      <c r="C251" s="119" t="s">
        <v>335</v>
      </c>
      <c r="D251" s="32">
        <f>E24</f>
        <v>20920.68611090878</v>
      </c>
      <c r="E251" s="50"/>
      <c r="F251" s="123"/>
      <c r="G251" s="50"/>
      <c r="H251" s="50"/>
      <c r="I251" s="50"/>
      <c r="J251" s="50"/>
      <c r="K251" s="50"/>
      <c r="L251" s="27"/>
    </row>
    <row r="252" spans="1:13">
      <c r="A252" s="50"/>
      <c r="B252" s="50"/>
      <c r="C252" s="50" t="s">
        <v>383</v>
      </c>
      <c r="D252" s="50"/>
      <c r="E252" s="50"/>
      <c r="F252" s="123"/>
      <c r="G252" s="50"/>
      <c r="H252" s="124">
        <f>(D251+D250)*(1+G$249)*(1+H$249)-D250</f>
        <v>20782.52781009092</v>
      </c>
      <c r="I252" s="124">
        <f>H252*(1+I249)*(1+I248)</f>
        <v>21001.620673183221</v>
      </c>
      <c r="J252" s="124">
        <f>I252*(1+J249)*(1+J248)</f>
        <v>21367.704485691087</v>
      </c>
      <c r="K252" s="50"/>
      <c r="L252" s="27"/>
    </row>
    <row r="253" spans="1:13">
      <c r="A253" s="50"/>
      <c r="B253" s="50"/>
      <c r="C253" s="50" t="s">
        <v>314</v>
      </c>
      <c r="D253" s="50"/>
      <c r="E253" s="50"/>
      <c r="F253" s="123"/>
      <c r="G253" s="50"/>
      <c r="H253" s="124">
        <f>$D$250</f>
        <v>9822.4689999999991</v>
      </c>
      <c r="I253" s="124">
        <f>H253*(1+I34)</f>
        <v>9996.5380708860757</v>
      </c>
      <c r="J253" s="124"/>
      <c r="K253" s="50"/>
      <c r="L253" s="27"/>
    </row>
    <row r="254" spans="1:13">
      <c r="A254" s="50"/>
      <c r="B254" s="50"/>
      <c r="C254" s="119" t="s">
        <v>336</v>
      </c>
      <c r="D254" s="50"/>
      <c r="E254" s="50"/>
      <c r="F254" s="123"/>
      <c r="G254" s="50"/>
      <c r="H254" s="124">
        <f>D251</f>
        <v>20920.68611090878</v>
      </c>
      <c r="I254" s="124">
        <f>((H254+H253)*(1+G249)-H253)*(1+I248)*(1-X_industry_wide)</f>
        <v>21118.8564731322</v>
      </c>
      <c r="J254" s="97"/>
      <c r="K254" s="50"/>
      <c r="L254" s="27"/>
    </row>
    <row r="255" spans="1:13">
      <c r="A255" s="50"/>
      <c r="B255" s="50"/>
      <c r="C255" s="50" t="s">
        <v>337</v>
      </c>
      <c r="D255" s="50"/>
      <c r="E255" s="50"/>
      <c r="F255" s="123"/>
      <c r="G255" s="50"/>
      <c r="H255" s="124">
        <f>H216</f>
        <v>20977.996031760449</v>
      </c>
      <c r="I255" s="124">
        <f>I216</f>
        <v>21428.118043605053</v>
      </c>
      <c r="J255" s="124">
        <f>J216</f>
        <v>21853.789281964491</v>
      </c>
      <c r="K255" s="50"/>
      <c r="L255" s="27"/>
    </row>
    <row r="256" spans="1:13">
      <c r="A256" s="50"/>
      <c r="B256" s="50"/>
      <c r="C256" s="119" t="s">
        <v>371</v>
      </c>
      <c r="D256" s="50"/>
      <c r="E256" s="50"/>
      <c r="F256" s="123"/>
      <c r="G256" s="50"/>
      <c r="H256" s="124"/>
      <c r="I256" s="124">
        <f>(I255+I253)/((1+H249)*(1+I249))-I253</f>
        <v>21569.976483241691</v>
      </c>
      <c r="J256" s="124"/>
      <c r="K256" s="50"/>
      <c r="L256" s="27"/>
    </row>
    <row r="257" spans="1:12">
      <c r="A257" s="50"/>
      <c r="B257" s="50"/>
      <c r="C257" s="50" t="s">
        <v>344</v>
      </c>
      <c r="D257" s="50"/>
      <c r="E257" s="50"/>
      <c r="F257" s="123"/>
      <c r="G257" s="50"/>
      <c r="H257" s="124">
        <f>H255</f>
        <v>20977.996031760449</v>
      </c>
      <c r="I257" s="124">
        <f>I255*(1+I248)/(1+I247)</f>
        <v>21199.149553340514</v>
      </c>
      <c r="J257" s="124">
        <f>I257*(1+J$248)*(1+J$249)*(1-X_industry_wide)</f>
        <v>21568.676534671096</v>
      </c>
      <c r="K257" s="50"/>
      <c r="L257" s="27"/>
    </row>
    <row r="258" spans="1:12">
      <c r="A258" s="50"/>
      <c r="B258" s="50"/>
      <c r="C258" s="119" t="s">
        <v>346</v>
      </c>
      <c r="D258" s="50"/>
      <c r="E258" s="50"/>
      <c r="F258" s="123"/>
      <c r="G258" s="50"/>
      <c r="H258" s="124"/>
      <c r="I258" s="124">
        <f>(I257+I253)/((1+H249)*(1+I249))-I253</f>
        <v>21339.974374259527</v>
      </c>
      <c r="J258" s="97"/>
      <c r="K258" s="50"/>
      <c r="L258" s="27"/>
    </row>
    <row r="259" spans="1:12">
      <c r="A259" s="50"/>
      <c r="B259" s="50"/>
      <c r="C259" s="50" t="s">
        <v>338</v>
      </c>
      <c r="D259" s="50"/>
      <c r="E259" s="50"/>
      <c r="F259" s="123"/>
      <c r="G259" s="50"/>
      <c r="H259" s="124">
        <f>H233</f>
        <v>20977.996031760449</v>
      </c>
      <c r="I259" s="124">
        <f>I233</f>
        <v>21428.118043605049</v>
      </c>
      <c r="J259" s="124">
        <f>J233</f>
        <v>21853.789281964488</v>
      </c>
      <c r="K259" s="50"/>
      <c r="L259" s="27"/>
    </row>
    <row r="260" spans="1:12">
      <c r="A260" s="50"/>
      <c r="B260" s="50"/>
      <c r="C260" s="50" t="s">
        <v>345</v>
      </c>
      <c r="D260" s="50"/>
      <c r="E260" s="50"/>
      <c r="F260" s="123"/>
      <c r="G260" s="50"/>
      <c r="H260" s="124">
        <f>H259</f>
        <v>20977.996031760449</v>
      </c>
      <c r="I260" s="124">
        <f>I259*(1+I248)/(1+I247)</f>
        <v>21199.14955334051</v>
      </c>
      <c r="J260" s="124">
        <f>I260*(1+J$248)*(1+J$249)*(1-D227)</f>
        <v>21568.676534671093</v>
      </c>
      <c r="K260" s="50"/>
      <c r="L260" s="27"/>
    </row>
    <row r="261" spans="1:12">
      <c r="A261" s="50"/>
      <c r="B261" s="50"/>
      <c r="C261" s="119" t="s">
        <v>347</v>
      </c>
      <c r="D261" s="50"/>
      <c r="E261" s="50"/>
      <c r="F261" s="123"/>
      <c r="G261" s="50"/>
      <c r="H261" s="97"/>
      <c r="I261" s="124">
        <f>(I260+I253)/((1+H249)*(1+I249))-I253</f>
        <v>21339.974374259524</v>
      </c>
      <c r="J261" s="97"/>
      <c r="K261" s="50"/>
      <c r="L261" s="27"/>
    </row>
    <row r="262" spans="1:12">
      <c r="A262" s="50"/>
      <c r="B262" s="50"/>
      <c r="C262" s="50" t="s">
        <v>317</v>
      </c>
      <c r="D262" s="126">
        <f>E27</f>
        <v>0.2</v>
      </c>
      <c r="E262" s="50"/>
      <c r="F262" s="123"/>
      <c r="G262" s="50"/>
      <c r="H262" s="125"/>
      <c r="I262" s="125"/>
      <c r="J262" s="125"/>
      <c r="K262" s="50"/>
      <c r="L262" s="27"/>
    </row>
    <row r="263" spans="1:12" ht="18">
      <c r="A263" s="50"/>
      <c r="B263" s="50"/>
      <c r="C263" s="50" t="s">
        <v>339</v>
      </c>
      <c r="D263" s="127"/>
      <c r="E263" s="50"/>
      <c r="F263" s="123"/>
      <c r="G263" s="50"/>
      <c r="H263" s="124">
        <f>(D251+H253)*(1+G$249)*(1+H$249)-H253</f>
        <v>20782.52781009092</v>
      </c>
      <c r="I263" s="124">
        <f>H263*(1+$D262)*(1+I$247)*(1+I$249)</f>
        <v>25474.146824219497</v>
      </c>
      <c r="J263" s="124">
        <f>I264*(1+$D262)*(1+J247)*(1+J249)</f>
        <v>25944.326777711532</v>
      </c>
      <c r="K263" s="50"/>
      <c r="L263" s="27"/>
    </row>
    <row r="264" spans="1:12">
      <c r="A264" s="50"/>
      <c r="B264" s="50"/>
      <c r="C264" s="50" t="s">
        <v>367</v>
      </c>
      <c r="D264" s="127"/>
      <c r="E264" s="50"/>
      <c r="F264" s="123"/>
      <c r="G264" s="50"/>
      <c r="H264" s="124">
        <f>H260</f>
        <v>20977.996031760449</v>
      </c>
      <c r="I264" s="124">
        <f>MIN(I260,I263)</f>
        <v>21199.14955334051</v>
      </c>
      <c r="J264" s="124">
        <f>MIN(J260,J263)</f>
        <v>21568.676534671093</v>
      </c>
      <c r="K264" s="50"/>
      <c r="L264" s="27"/>
    </row>
    <row r="265" spans="1:12">
      <c r="A265" s="50"/>
      <c r="B265" s="50"/>
      <c r="C265" s="50" t="s">
        <v>373</v>
      </c>
      <c r="D265" s="31">
        <f>NPV(WACC,H255:J255)*D50</f>
        <v>56266.575996091677</v>
      </c>
      <c r="E265" s="50"/>
      <c r="F265" s="123"/>
      <c r="G265" s="50"/>
      <c r="H265" s="50"/>
      <c r="I265" s="50"/>
      <c r="J265" s="50"/>
      <c r="K265" s="50"/>
      <c r="L265" s="27"/>
    </row>
    <row r="266" spans="1:12">
      <c r="A266" s="50"/>
      <c r="B266" s="50"/>
      <c r="C266" s="50" t="s">
        <v>372</v>
      </c>
      <c r="D266" s="31">
        <f>NPV(WACC,H252:J252)*D50</f>
        <v>55316.812514573576</v>
      </c>
      <c r="E266" s="50"/>
      <c r="F266" s="123"/>
      <c r="G266" s="50"/>
      <c r="H266" s="50"/>
      <c r="I266" s="50"/>
      <c r="J266" s="50"/>
      <c r="K266" s="50"/>
      <c r="L266" s="27"/>
    </row>
    <row r="267" spans="1:12">
      <c r="A267" s="50"/>
      <c r="B267" s="50"/>
      <c r="C267" s="50" t="s">
        <v>340</v>
      </c>
      <c r="D267" s="31">
        <f>NPV(WACC,H259:J259)*D50</f>
        <v>56266.575996091677</v>
      </c>
      <c r="E267" s="50"/>
      <c r="F267" s="123"/>
      <c r="G267" s="50"/>
      <c r="H267" s="50"/>
      <c r="I267" s="50"/>
      <c r="J267" s="50"/>
      <c r="K267" s="50"/>
      <c r="L267" s="27"/>
    </row>
    <row r="268" spans="1:12">
      <c r="A268" s="50"/>
      <c r="B268" s="50"/>
      <c r="C268" s="50" t="s">
        <v>351</v>
      </c>
      <c r="D268" s="31">
        <f>NPV(WACC,H264:J264)*D50</f>
        <v>55837.089887444461</v>
      </c>
      <c r="E268" s="50"/>
      <c r="F268" s="123"/>
      <c r="G268" s="50"/>
      <c r="H268" s="50"/>
      <c r="I268" s="50"/>
      <c r="J268" s="50"/>
      <c r="K268" s="50"/>
      <c r="L268" s="27"/>
    </row>
    <row r="269" spans="1:12">
      <c r="A269" s="50"/>
      <c r="B269" s="50"/>
      <c r="C269" s="50" t="s">
        <v>348</v>
      </c>
      <c r="D269" s="31">
        <f>NPV(WACC,H257:J257)*D50</f>
        <v>55837.089887444461</v>
      </c>
      <c r="E269" s="50"/>
      <c r="F269" s="123"/>
      <c r="G269" s="50"/>
      <c r="H269" s="50"/>
      <c r="I269" s="50"/>
      <c r="J269" s="50"/>
      <c r="K269" s="50"/>
      <c r="L269" s="27"/>
    </row>
    <row r="270" spans="1:12">
      <c r="A270" s="50"/>
      <c r="B270" s="50"/>
      <c r="C270" s="50" t="s">
        <v>349</v>
      </c>
      <c r="D270" s="31">
        <f>NPV(WACC,H260:J260)*D50</f>
        <v>55837.089887444461</v>
      </c>
      <c r="E270" s="50"/>
      <c r="F270" s="123"/>
      <c r="G270" s="50"/>
      <c r="H270" s="50"/>
      <c r="I270" s="50"/>
      <c r="J270" s="50"/>
      <c r="K270" s="50"/>
      <c r="L270" s="27"/>
    </row>
    <row r="271" spans="1:12">
      <c r="A271" s="50"/>
      <c r="B271" s="50"/>
      <c r="C271" s="50" t="s">
        <v>368</v>
      </c>
      <c r="D271" s="31" t="b">
        <f>OR(I260&gt;I263,J260&gt;J263)</f>
        <v>0</v>
      </c>
      <c r="E271" s="50"/>
      <c r="F271" s="123"/>
      <c r="G271" s="50"/>
      <c r="H271" s="50"/>
      <c r="I271" s="50"/>
      <c r="J271" s="50"/>
      <c r="K271" s="50"/>
      <c r="L271" s="27"/>
    </row>
    <row r="272" spans="1:12">
      <c r="A272" s="50"/>
      <c r="B272" s="50"/>
      <c r="C272" s="50"/>
      <c r="D272" s="31"/>
      <c r="E272" s="50"/>
      <c r="F272" s="123"/>
      <c r="G272" s="50"/>
      <c r="H272" s="50"/>
      <c r="I272" s="50"/>
      <c r="J272" s="50"/>
      <c r="K272" s="50"/>
      <c r="L272" s="27"/>
    </row>
    <row r="273" spans="1:12" ht="21">
      <c r="A273" s="50"/>
      <c r="B273" s="50"/>
      <c r="C273" s="155" t="s">
        <v>343</v>
      </c>
      <c r="D273" s="127"/>
      <c r="E273" s="50"/>
      <c r="F273" s="123"/>
      <c r="G273" s="50"/>
      <c r="H273" s="50"/>
      <c r="I273" s="50"/>
      <c r="J273" s="50"/>
      <c r="K273" s="50"/>
      <c r="L273" s="27"/>
    </row>
    <row r="274" spans="1:12" ht="30">
      <c r="A274" s="50"/>
      <c r="B274" s="50"/>
      <c r="C274" s="123" t="s">
        <v>370</v>
      </c>
      <c r="D274" s="126">
        <f>I$261/(D$251*(1+I$249)*(1+I$248))-1</f>
        <v>9.4005344599141782E-3</v>
      </c>
      <c r="E274" s="50"/>
      <c r="F274" s="123"/>
      <c r="G274" s="50"/>
      <c r="H274" s="50"/>
      <c r="I274" s="50"/>
      <c r="J274" s="50"/>
      <c r="K274" s="50"/>
      <c r="L274" s="27"/>
    </row>
    <row r="275" spans="1:12" ht="30">
      <c r="A275" s="50"/>
      <c r="B275" s="50"/>
      <c r="C275" s="123" t="s">
        <v>350</v>
      </c>
      <c r="D275" s="31">
        <f>D265-D268</f>
        <v>429.48610864721559</v>
      </c>
      <c r="E275" s="50"/>
      <c r="F275" s="123"/>
      <c r="G275" s="50"/>
      <c r="H275" s="50"/>
      <c r="I275" s="50"/>
      <c r="J275" s="50"/>
      <c r="K275" s="50"/>
      <c r="L275" s="27"/>
    </row>
    <row r="276" spans="1:12">
      <c r="A276" s="50"/>
      <c r="B276" s="50"/>
      <c r="C276" s="123" t="s">
        <v>366</v>
      </c>
      <c r="D276" s="31">
        <f>ROUNDUP(I264,0)</f>
        <v>21200</v>
      </c>
      <c r="E276" s="50"/>
      <c r="F276" s="123"/>
      <c r="G276" s="50"/>
      <c r="H276" s="50"/>
      <c r="I276" s="50"/>
      <c r="J276" s="50"/>
      <c r="K276" s="50"/>
      <c r="L276" s="27"/>
    </row>
    <row r="277" spans="1:12">
      <c r="A277" s="50"/>
      <c r="B277" s="50"/>
      <c r="C277" s="123" t="s">
        <v>378</v>
      </c>
      <c r="D277" s="31">
        <f>ROUNDUP(H233,0)</f>
        <v>20978</v>
      </c>
      <c r="E277" s="50"/>
      <c r="F277" s="123"/>
      <c r="G277" s="50"/>
      <c r="H277" s="50"/>
      <c r="I277" s="50"/>
      <c r="J277" s="50"/>
      <c r="K277" s="50"/>
      <c r="L277" s="27"/>
    </row>
    <row r="278" spans="1:12">
      <c r="A278" s="50"/>
      <c r="B278" s="50"/>
      <c r="C278" s="114" t="s">
        <v>382</v>
      </c>
      <c r="D278" s="31">
        <f>D269-D266</f>
        <v>520.2773728708853</v>
      </c>
      <c r="E278" s="50"/>
      <c r="F278" s="123"/>
      <c r="G278" s="50"/>
      <c r="H278" s="50"/>
      <c r="I278" s="50"/>
      <c r="J278" s="50"/>
      <c r="K278" s="50"/>
      <c r="L278" s="27"/>
    </row>
    <row r="279" spans="1:12">
      <c r="A279" s="15"/>
      <c r="B279" s="15"/>
      <c r="C279" s="15"/>
      <c r="D279" s="15"/>
      <c r="E279" s="120"/>
      <c r="F279" s="15"/>
      <c r="G279" s="15"/>
      <c r="H279" s="15"/>
      <c r="I279" s="15"/>
      <c r="J279" s="15"/>
      <c r="K279" s="15"/>
    </row>
    <row r="280" spans="1:12">
      <c r="A280" s="15"/>
      <c r="B280" s="15"/>
      <c r="C280" s="15"/>
      <c r="D280" s="15"/>
      <c r="E280" s="120"/>
      <c r="F280" s="15"/>
      <c r="G280" s="15"/>
      <c r="H280" s="15"/>
      <c r="I280" s="15"/>
      <c r="J280" s="15"/>
      <c r="K280" s="15"/>
    </row>
    <row r="281" spans="1:12">
      <c r="A281" s="15"/>
      <c r="B281" s="15"/>
      <c r="C281" s="15"/>
      <c r="D281" s="15"/>
      <c r="E281" s="120"/>
      <c r="F281" s="15"/>
      <c r="G281" s="15"/>
      <c r="H281" s="15"/>
      <c r="I281" s="15"/>
      <c r="J281" s="15"/>
      <c r="K281" s="15"/>
    </row>
    <row r="282" spans="1:12">
      <c r="A282" s="15"/>
      <c r="B282" s="15"/>
      <c r="C282" s="15"/>
      <c r="D282" s="15"/>
      <c r="E282" s="120"/>
      <c r="F282" s="15"/>
      <c r="G282" s="15"/>
      <c r="H282" s="15"/>
      <c r="I282" s="15"/>
      <c r="J282" s="15"/>
      <c r="K282" s="15"/>
    </row>
    <row r="283" spans="1:12">
      <c r="A283" s="15"/>
      <c r="B283" s="15"/>
      <c r="C283" s="15"/>
      <c r="D283" s="15"/>
      <c r="E283" s="120"/>
      <c r="F283" s="15"/>
      <c r="G283" s="15"/>
      <c r="H283" s="15"/>
      <c r="I283" s="15"/>
      <c r="J283" s="15"/>
      <c r="K283" s="15"/>
    </row>
    <row r="284" spans="1:12">
      <c r="A284" s="15"/>
      <c r="B284" s="15"/>
      <c r="C284" s="15"/>
      <c r="D284" s="15"/>
      <c r="E284" s="120"/>
      <c r="F284" s="15"/>
      <c r="G284" s="15"/>
      <c r="H284" s="15"/>
      <c r="I284" s="15"/>
      <c r="J284" s="15"/>
      <c r="K284" s="15"/>
    </row>
    <row r="285" spans="1:12">
      <c r="A285" s="15"/>
      <c r="B285" s="15"/>
      <c r="C285" s="15"/>
      <c r="D285" s="15"/>
      <c r="E285" s="120"/>
      <c r="F285" s="15"/>
      <c r="G285" s="15"/>
      <c r="H285" s="15"/>
      <c r="I285" s="15"/>
      <c r="J285" s="15"/>
      <c r="K285" s="15"/>
    </row>
    <row r="286" spans="1:12">
      <c r="A286" s="15"/>
      <c r="B286" s="15"/>
      <c r="C286" s="15"/>
      <c r="D286" s="15"/>
      <c r="E286" s="120"/>
      <c r="F286" s="15"/>
      <c r="G286" s="15"/>
      <c r="H286" s="15"/>
      <c r="I286" s="15"/>
      <c r="J286" s="15"/>
      <c r="K286" s="15"/>
    </row>
    <row r="287" spans="1:12">
      <c r="A287" s="15"/>
      <c r="B287" s="15"/>
      <c r="C287" s="15"/>
      <c r="D287" s="15"/>
      <c r="E287" s="120"/>
      <c r="F287" s="15"/>
      <c r="G287" s="15"/>
      <c r="H287" s="15"/>
      <c r="I287" s="15"/>
      <c r="J287" s="15"/>
      <c r="K287" s="15"/>
    </row>
    <row r="288" spans="1:12">
      <c r="A288" s="15"/>
      <c r="B288" s="15"/>
      <c r="C288" s="15"/>
      <c r="D288" s="15"/>
      <c r="E288" s="120"/>
      <c r="F288" s="15"/>
      <c r="G288" s="15"/>
      <c r="H288" s="15"/>
      <c r="I288" s="15"/>
      <c r="J288" s="15"/>
      <c r="K288" s="15"/>
    </row>
    <row r="289" spans="1:11">
      <c r="A289" s="15"/>
      <c r="B289" s="15"/>
      <c r="C289" s="15"/>
      <c r="D289" s="15"/>
      <c r="E289" s="120"/>
      <c r="F289" s="15"/>
      <c r="G289" s="15"/>
      <c r="H289" s="15"/>
      <c r="I289" s="15"/>
      <c r="J289" s="15"/>
      <c r="K289" s="15"/>
    </row>
    <row r="290" spans="1:11">
      <c r="A290" s="15"/>
      <c r="B290" s="15"/>
      <c r="C290" s="15"/>
      <c r="D290" s="15"/>
      <c r="E290" s="120"/>
      <c r="F290" s="15"/>
      <c r="G290" s="15"/>
      <c r="H290" s="15"/>
      <c r="I290" s="15"/>
      <c r="J290" s="15"/>
      <c r="K290" s="15"/>
    </row>
    <row r="291" spans="1:11">
      <c r="A291" s="15"/>
      <c r="B291" s="15"/>
      <c r="C291" s="15"/>
      <c r="D291" s="15"/>
      <c r="E291" s="120"/>
      <c r="F291" s="15"/>
      <c r="G291" s="15"/>
      <c r="H291" s="15"/>
      <c r="I291" s="15"/>
      <c r="J291" s="15"/>
      <c r="K291" s="15"/>
    </row>
    <row r="292" spans="1:11">
      <c r="A292" s="15"/>
      <c r="B292" s="15"/>
      <c r="C292" s="15"/>
      <c r="D292" s="15"/>
      <c r="E292" s="120"/>
      <c r="F292" s="15"/>
      <c r="G292" s="15"/>
      <c r="H292" s="15"/>
      <c r="I292" s="15"/>
      <c r="J292" s="15"/>
      <c r="K292" s="15"/>
    </row>
    <row r="293" spans="1:11">
      <c r="A293" s="15"/>
      <c r="B293" s="15"/>
      <c r="C293" s="15"/>
      <c r="D293" s="15"/>
      <c r="E293" s="120"/>
      <c r="F293" s="15"/>
      <c r="G293" s="15"/>
      <c r="H293" s="15"/>
      <c r="I293" s="15"/>
      <c r="J293" s="15"/>
      <c r="K293" s="15"/>
    </row>
    <row r="294" spans="1:11">
      <c r="A294" s="15"/>
      <c r="B294" s="15"/>
      <c r="C294" s="15"/>
      <c r="D294" s="15"/>
      <c r="E294" s="120"/>
      <c r="F294" s="15"/>
      <c r="G294" s="15"/>
      <c r="H294" s="15"/>
      <c r="I294" s="15"/>
      <c r="J294" s="15"/>
      <c r="K294" s="15"/>
    </row>
    <row r="295" spans="1:11">
      <c r="A295" s="15"/>
      <c r="B295" s="15"/>
      <c r="C295" s="15"/>
      <c r="D295" s="15"/>
      <c r="E295" s="120"/>
      <c r="F295" s="15"/>
      <c r="G295" s="15"/>
      <c r="H295" s="15"/>
      <c r="I295" s="15"/>
      <c r="J295" s="15"/>
      <c r="K295" s="15"/>
    </row>
    <row r="296" spans="1:11">
      <c r="A296" s="15"/>
      <c r="B296" s="15"/>
      <c r="C296" s="15"/>
      <c r="D296" s="15"/>
      <c r="E296" s="120"/>
      <c r="F296" s="15"/>
      <c r="G296" s="15"/>
      <c r="H296" s="15"/>
      <c r="I296" s="15"/>
      <c r="J296" s="15"/>
      <c r="K296" s="15"/>
    </row>
    <row r="297" spans="1:11">
      <c r="A297" s="15"/>
      <c r="B297" s="15"/>
      <c r="C297" s="15"/>
      <c r="D297" s="15"/>
      <c r="E297" s="120"/>
      <c r="F297" s="15"/>
      <c r="G297" s="15"/>
      <c r="H297" s="15"/>
      <c r="I297" s="15"/>
      <c r="J297" s="15"/>
      <c r="K297" s="15"/>
    </row>
    <row r="298" spans="1:11">
      <c r="A298" s="15"/>
      <c r="B298" s="15"/>
      <c r="C298" s="15"/>
      <c r="D298" s="15"/>
      <c r="E298" s="120"/>
      <c r="F298" s="15"/>
      <c r="G298" s="15"/>
      <c r="H298" s="15"/>
      <c r="I298" s="15"/>
      <c r="J298" s="15"/>
      <c r="K298" s="15"/>
    </row>
    <row r="299" spans="1:11">
      <c r="A299" s="15"/>
      <c r="B299" s="15"/>
      <c r="C299" s="15"/>
      <c r="D299" s="15"/>
      <c r="E299" s="120"/>
      <c r="F299" s="15"/>
      <c r="G299" s="15"/>
      <c r="H299" s="15"/>
      <c r="I299" s="15"/>
      <c r="J299" s="15"/>
    </row>
    <row r="300" spans="1:11">
      <c r="A300" s="15"/>
      <c r="B300" s="15"/>
      <c r="C300" s="15"/>
      <c r="D300" s="15"/>
      <c r="E300" s="120"/>
      <c r="F300" s="15"/>
      <c r="G300" s="15"/>
      <c r="H300" s="15"/>
      <c r="I300" s="15"/>
      <c r="J300" s="15"/>
    </row>
    <row r="301" spans="1:11">
      <c r="A301" s="15"/>
      <c r="B301" s="15"/>
      <c r="C301" s="15"/>
      <c r="D301" s="15"/>
      <c r="E301" s="120"/>
      <c r="F301" s="15"/>
      <c r="G301" s="15"/>
      <c r="H301" s="15"/>
      <c r="I301" s="15"/>
      <c r="J301" s="15"/>
    </row>
    <row r="302" spans="1:11">
      <c r="A302" s="15"/>
      <c r="B302" s="15"/>
      <c r="C302" s="15"/>
      <c r="D302" s="15"/>
      <c r="E302" s="120"/>
      <c r="F302" s="15"/>
      <c r="G302" s="15"/>
      <c r="H302" s="15"/>
      <c r="I302" s="15"/>
      <c r="J302" s="15"/>
    </row>
    <row r="303" spans="1:11">
      <c r="A303" s="15"/>
      <c r="B303" s="15"/>
      <c r="C303" s="15"/>
      <c r="D303" s="15"/>
      <c r="E303" s="120"/>
      <c r="F303" s="15"/>
      <c r="G303" s="15"/>
      <c r="H303" s="15"/>
      <c r="I303" s="15"/>
      <c r="J303" s="15"/>
    </row>
    <row r="304" spans="1:11">
      <c r="A304" s="15"/>
      <c r="B304" s="15"/>
      <c r="C304" s="15"/>
      <c r="D304" s="15"/>
      <c r="E304" s="120"/>
      <c r="F304" s="15"/>
      <c r="G304" s="15"/>
      <c r="H304" s="15"/>
      <c r="I304" s="15"/>
      <c r="J304" s="15"/>
    </row>
    <row r="305" spans="1:10">
      <c r="A305" s="15"/>
      <c r="B305" s="15"/>
      <c r="C305" s="15"/>
      <c r="D305" s="15"/>
      <c r="E305" s="120"/>
      <c r="F305" s="15"/>
      <c r="G305" s="15"/>
      <c r="H305" s="15"/>
      <c r="I305" s="15"/>
      <c r="J305" s="15"/>
    </row>
    <row r="306" spans="1:10">
      <c r="A306" s="15"/>
      <c r="B306" s="15"/>
      <c r="C306" s="15"/>
      <c r="D306" s="15"/>
      <c r="E306" s="120"/>
      <c r="F306" s="15"/>
      <c r="G306" s="15"/>
      <c r="H306" s="15"/>
      <c r="I306" s="15"/>
      <c r="J306" s="15"/>
    </row>
    <row r="307" spans="1:10">
      <c r="A307" s="15"/>
      <c r="B307" s="15"/>
      <c r="C307" s="15"/>
      <c r="D307" s="15"/>
      <c r="E307" s="120"/>
      <c r="F307" s="15"/>
      <c r="G307" s="15"/>
      <c r="H307" s="15"/>
      <c r="I307" s="15"/>
      <c r="J307" s="15"/>
    </row>
    <row r="308" spans="1:10">
      <c r="A308" s="15"/>
      <c r="B308" s="15"/>
      <c r="C308" s="15"/>
      <c r="D308" s="15"/>
      <c r="E308" s="120"/>
      <c r="F308" s="15"/>
      <c r="G308" s="15"/>
      <c r="H308" s="15"/>
      <c r="I308" s="15"/>
      <c r="J308" s="15"/>
    </row>
    <row r="309" spans="1:10">
      <c r="A309" s="15"/>
      <c r="B309" s="15"/>
      <c r="C309" s="15"/>
      <c r="D309" s="15"/>
      <c r="E309" s="120"/>
      <c r="F309" s="15"/>
      <c r="G309" s="15"/>
      <c r="H309" s="15"/>
      <c r="I309" s="15"/>
      <c r="J309" s="15"/>
    </row>
    <row r="310" spans="1:10">
      <c r="A310" s="15"/>
      <c r="B310" s="15"/>
      <c r="C310" s="15"/>
      <c r="D310" s="15"/>
      <c r="E310" s="120"/>
      <c r="F310" s="15"/>
      <c r="G310" s="15"/>
      <c r="H310" s="15"/>
      <c r="I310" s="15"/>
      <c r="J310" s="15"/>
    </row>
    <row r="311" spans="1:10">
      <c r="A311" s="15"/>
      <c r="B311" s="15"/>
      <c r="C311" s="15"/>
      <c r="D311" s="15"/>
      <c r="E311" s="120"/>
      <c r="F311" s="15"/>
      <c r="G311" s="15"/>
      <c r="H311" s="15"/>
      <c r="I311" s="15"/>
      <c r="J311" s="15"/>
    </row>
    <row r="312" spans="1:10">
      <c r="A312" s="15"/>
      <c r="B312" s="15"/>
      <c r="C312" s="15"/>
      <c r="D312" s="15"/>
      <c r="E312" s="120"/>
      <c r="F312" s="15"/>
      <c r="G312" s="15"/>
      <c r="H312" s="15"/>
      <c r="I312" s="15"/>
      <c r="J312" s="15"/>
    </row>
    <row r="313" spans="1:10">
      <c r="E313" s="19"/>
    </row>
    <row r="314" spans="1:10">
      <c r="E314" s="19"/>
    </row>
    <row r="315" spans="1:10">
      <c r="E315" s="19"/>
    </row>
    <row r="316" spans="1:10">
      <c r="E316" s="19"/>
    </row>
    <row r="317" spans="1:10">
      <c r="E317" s="19"/>
    </row>
    <row r="318" spans="1:10">
      <c r="E318" s="19"/>
    </row>
    <row r="319" spans="1:10">
      <c r="E319" s="19"/>
    </row>
    <row r="320" spans="1:10">
      <c r="E320" s="19"/>
    </row>
    <row r="321" spans="5:5">
      <c r="E321" s="19"/>
    </row>
    <row r="322" spans="5:5">
      <c r="E322" s="19"/>
    </row>
    <row r="323" spans="5:5">
      <c r="E323" s="19"/>
    </row>
    <row r="324" spans="5:5">
      <c r="E324" s="19"/>
    </row>
    <row r="325" spans="5:5">
      <c r="E325" s="19"/>
    </row>
    <row r="326" spans="5:5">
      <c r="E326" s="19"/>
    </row>
    <row r="327" spans="5:5">
      <c r="E327" s="19"/>
    </row>
    <row r="328" spans="5:5">
      <c r="E328" s="19"/>
    </row>
    <row r="329" spans="5:5">
      <c r="E329" s="19"/>
    </row>
    <row r="330" spans="5:5">
      <c r="E330" s="19"/>
    </row>
    <row r="331" spans="5:5">
      <c r="E331" s="19"/>
    </row>
    <row r="332" spans="5:5">
      <c r="E332" s="19"/>
    </row>
    <row r="333" spans="5:5">
      <c r="E333" s="19"/>
    </row>
    <row r="334" spans="5:5">
      <c r="E334" s="19"/>
    </row>
    <row r="335" spans="5:5">
      <c r="E335" s="19"/>
    </row>
    <row r="336" spans="5:5">
      <c r="E336" s="19"/>
    </row>
    <row r="337" spans="5:5">
      <c r="E337" s="19"/>
    </row>
    <row r="338" spans="5:5">
      <c r="E338" s="19"/>
    </row>
    <row r="339" spans="5:5">
      <c r="E339" s="19"/>
    </row>
    <row r="340" spans="5:5">
      <c r="E340" s="19"/>
    </row>
    <row r="341" spans="5:5">
      <c r="E341" s="19"/>
    </row>
    <row r="342" spans="5:5">
      <c r="E342" s="19"/>
    </row>
    <row r="343" spans="5:5">
      <c r="E343" s="19"/>
    </row>
    <row r="344" spans="5:5">
      <c r="E344" s="19"/>
    </row>
    <row r="345" spans="5:5">
      <c r="E345" s="19"/>
    </row>
    <row r="346" spans="5:5">
      <c r="E346" s="19"/>
    </row>
    <row r="347" spans="5:5">
      <c r="E347" s="19"/>
    </row>
    <row r="348" spans="5:5">
      <c r="E348" s="19"/>
    </row>
    <row r="349" spans="5:5">
      <c r="E349" s="19"/>
    </row>
    <row r="350" spans="5:5">
      <c r="E350" s="19"/>
    </row>
    <row r="351" spans="5:5">
      <c r="E351" s="19"/>
    </row>
    <row r="352" spans="5:5">
      <c r="E352" s="19"/>
    </row>
    <row r="353" spans="5:5">
      <c r="E353" s="19"/>
    </row>
    <row r="354" spans="5:5">
      <c r="E354" s="19"/>
    </row>
    <row r="355" spans="5:5">
      <c r="E355" s="19"/>
    </row>
    <row r="356" spans="5:5">
      <c r="E356" s="19"/>
    </row>
    <row r="357" spans="5:5">
      <c r="E357" s="19"/>
    </row>
    <row r="358" spans="5:5">
      <c r="E358" s="19"/>
    </row>
    <row r="359" spans="5:5">
      <c r="E359" s="19"/>
    </row>
    <row r="360" spans="5:5">
      <c r="E360" s="19"/>
    </row>
    <row r="361" spans="5:5">
      <c r="E361" s="19"/>
    </row>
    <row r="362" spans="5:5">
      <c r="E362" s="19"/>
    </row>
    <row r="363" spans="5:5">
      <c r="E363" s="19"/>
    </row>
    <row r="364" spans="5:5">
      <c r="E364" s="19"/>
    </row>
    <row r="365" spans="5:5">
      <c r="E365" s="19"/>
    </row>
    <row r="366" spans="5:5">
      <c r="E366" s="19"/>
    </row>
    <row r="367" spans="5:5">
      <c r="E367" s="19"/>
    </row>
    <row r="368" spans="5:5">
      <c r="E368" s="19"/>
    </row>
    <row r="369" spans="5:5">
      <c r="E369" s="19"/>
    </row>
    <row r="370" spans="5:5">
      <c r="E370" s="19"/>
    </row>
    <row r="371" spans="5:5">
      <c r="E371" s="19"/>
    </row>
    <row r="372" spans="5:5">
      <c r="E372" s="19"/>
    </row>
    <row r="373" spans="5:5">
      <c r="E373" s="19"/>
    </row>
    <row r="374" spans="5:5">
      <c r="E374" s="19"/>
    </row>
    <row r="375" spans="5:5">
      <c r="E375" s="19"/>
    </row>
    <row r="376" spans="5:5">
      <c r="E376" s="19"/>
    </row>
    <row r="377" spans="5:5">
      <c r="E377" s="19"/>
    </row>
    <row r="378" spans="5:5">
      <c r="E378" s="19"/>
    </row>
    <row r="379" spans="5:5">
      <c r="E379" s="19"/>
    </row>
    <row r="380" spans="5:5">
      <c r="E380" s="19"/>
    </row>
    <row r="381" spans="5:5">
      <c r="E381" s="19"/>
    </row>
    <row r="382" spans="5:5">
      <c r="E382" s="19"/>
    </row>
    <row r="383" spans="5:5">
      <c r="E383" s="19"/>
    </row>
    <row r="384" spans="5:5">
      <c r="E384" s="19"/>
    </row>
    <row r="385" spans="5:5">
      <c r="E385" s="19"/>
    </row>
    <row r="386" spans="5:5">
      <c r="E386" s="19"/>
    </row>
    <row r="387" spans="5:5">
      <c r="E387" s="19"/>
    </row>
    <row r="388" spans="5:5">
      <c r="E388" s="19"/>
    </row>
    <row r="389" spans="5:5">
      <c r="E389" s="19"/>
    </row>
    <row r="390" spans="5:5">
      <c r="E390" s="19"/>
    </row>
    <row r="391" spans="5:5">
      <c r="E391" s="19"/>
    </row>
    <row r="392" spans="5:5">
      <c r="E392" s="19"/>
    </row>
    <row r="393" spans="5:5">
      <c r="E393" s="19"/>
    </row>
    <row r="394" spans="5:5">
      <c r="E394" s="19"/>
    </row>
    <row r="395" spans="5:5">
      <c r="E395" s="19"/>
    </row>
    <row r="396" spans="5:5">
      <c r="E396" s="19"/>
    </row>
    <row r="397" spans="5:5">
      <c r="E397" s="19"/>
    </row>
    <row r="398" spans="5:5">
      <c r="E398" s="19"/>
    </row>
    <row r="399" spans="5:5">
      <c r="E399" s="19"/>
    </row>
    <row r="400" spans="5:5">
      <c r="E400" s="19"/>
    </row>
    <row r="401" spans="5:5">
      <c r="E401" s="19"/>
    </row>
    <row r="402" spans="5:5">
      <c r="E402" s="19"/>
    </row>
    <row r="403" spans="5:5">
      <c r="E403" s="19"/>
    </row>
    <row r="404" spans="5:5">
      <c r="E404" s="19"/>
    </row>
    <row r="405" spans="5:5">
      <c r="E405" s="19"/>
    </row>
    <row r="406" spans="5:5">
      <c r="E406" s="19"/>
    </row>
    <row r="407" spans="5:5">
      <c r="E407" s="19"/>
    </row>
    <row r="408" spans="5:5">
      <c r="E408" s="19"/>
    </row>
    <row r="409" spans="5:5">
      <c r="E409" s="19"/>
    </row>
    <row r="410" spans="5:5">
      <c r="E410" s="19"/>
    </row>
    <row r="411" spans="5:5">
      <c r="E411" s="19"/>
    </row>
    <row r="412" spans="5:5">
      <c r="E412" s="19"/>
    </row>
    <row r="413" spans="5:5">
      <c r="E413" s="19"/>
    </row>
    <row r="414" spans="5:5">
      <c r="E414" s="19"/>
    </row>
    <row r="415" spans="5:5">
      <c r="E415" s="19"/>
    </row>
    <row r="416" spans="5:5">
      <c r="E416" s="19"/>
    </row>
    <row r="417" spans="5:5">
      <c r="E417" s="19"/>
    </row>
    <row r="418" spans="5:5">
      <c r="E418" s="19"/>
    </row>
    <row r="419" spans="5:5">
      <c r="E419" s="19"/>
    </row>
    <row r="420" spans="5:5">
      <c r="E420" s="19"/>
    </row>
    <row r="421" spans="5:5">
      <c r="E421" s="19"/>
    </row>
    <row r="422" spans="5:5">
      <c r="E422" s="19"/>
    </row>
    <row r="423" spans="5:5">
      <c r="E423" s="19"/>
    </row>
    <row r="424" spans="5:5">
      <c r="E424" s="19"/>
    </row>
    <row r="425" spans="5:5">
      <c r="E425" s="19"/>
    </row>
    <row r="426" spans="5:5">
      <c r="E426" s="19"/>
    </row>
    <row r="427" spans="5:5">
      <c r="E427" s="19"/>
    </row>
    <row r="428" spans="5:5">
      <c r="E428" s="19"/>
    </row>
    <row r="429" spans="5:5">
      <c r="E429" s="19"/>
    </row>
    <row r="430" spans="5:5">
      <c r="E430" s="19"/>
    </row>
    <row r="431" spans="5:5">
      <c r="E431" s="19"/>
    </row>
    <row r="432" spans="5:5">
      <c r="E432" s="19"/>
    </row>
    <row r="433" spans="5:5">
      <c r="E433" s="19"/>
    </row>
    <row r="434" spans="5:5">
      <c r="E434" s="19"/>
    </row>
    <row r="435" spans="5:5">
      <c r="E435" s="19"/>
    </row>
    <row r="436" spans="5:5">
      <c r="E436" s="19"/>
    </row>
    <row r="437" spans="5:5">
      <c r="E437" s="19"/>
    </row>
    <row r="438" spans="5:5">
      <c r="E438" s="19"/>
    </row>
    <row r="439" spans="5:5">
      <c r="E439" s="19"/>
    </row>
    <row r="440" spans="5:5">
      <c r="E440" s="19"/>
    </row>
    <row r="441" spans="5:5">
      <c r="E441" s="19"/>
    </row>
    <row r="442" spans="5:5">
      <c r="E442" s="19"/>
    </row>
    <row r="443" spans="5:5">
      <c r="E443" s="19"/>
    </row>
    <row r="444" spans="5:5">
      <c r="E444" s="19"/>
    </row>
    <row r="445" spans="5:5">
      <c r="E445" s="19"/>
    </row>
    <row r="446" spans="5:5">
      <c r="E446" s="19"/>
    </row>
    <row r="447" spans="5:5">
      <c r="E447" s="19"/>
    </row>
    <row r="448" spans="5:5">
      <c r="E448" s="19"/>
    </row>
    <row r="449" spans="5:5">
      <c r="E449" s="19"/>
    </row>
    <row r="450" spans="5:5">
      <c r="E450" s="19"/>
    </row>
    <row r="451" spans="5:5">
      <c r="E451" s="19"/>
    </row>
    <row r="452" spans="5:5">
      <c r="E452" s="19"/>
    </row>
    <row r="453" spans="5:5">
      <c r="E453" s="19"/>
    </row>
    <row r="454" spans="5:5">
      <c r="E454" s="19"/>
    </row>
    <row r="455" spans="5:5">
      <c r="E455" s="19"/>
    </row>
    <row r="456" spans="5:5">
      <c r="E456" s="19"/>
    </row>
    <row r="457" spans="5:5">
      <c r="E457" s="19"/>
    </row>
    <row r="458" spans="5:5">
      <c r="E458" s="19"/>
    </row>
    <row r="459" spans="5:5">
      <c r="E459" s="19"/>
    </row>
    <row r="460" spans="5:5">
      <c r="E460" s="19"/>
    </row>
    <row r="461" spans="5:5">
      <c r="E461" s="19"/>
    </row>
    <row r="462" spans="5:5">
      <c r="E462" s="19"/>
    </row>
    <row r="463" spans="5:5">
      <c r="E463" s="19"/>
    </row>
    <row r="464" spans="5:5">
      <c r="E464" s="19"/>
    </row>
    <row r="465" spans="5:5">
      <c r="E465" s="19"/>
    </row>
    <row r="466" spans="5:5">
      <c r="E466" s="19"/>
    </row>
    <row r="467" spans="5:5">
      <c r="E467" s="19"/>
    </row>
    <row r="468" spans="5:5">
      <c r="E468" s="19"/>
    </row>
    <row r="469" spans="5:5">
      <c r="E469" s="19"/>
    </row>
    <row r="470" spans="5:5">
      <c r="E470" s="19"/>
    </row>
    <row r="471" spans="5:5">
      <c r="E471" s="19"/>
    </row>
    <row r="472" spans="5:5">
      <c r="E472" s="19"/>
    </row>
    <row r="473" spans="5:5">
      <c r="E473" s="19"/>
    </row>
    <row r="474" spans="5:5">
      <c r="E474" s="19"/>
    </row>
    <row r="475" spans="5:5">
      <c r="E475" s="19"/>
    </row>
    <row r="476" spans="5:5">
      <c r="E476" s="19"/>
    </row>
    <row r="477" spans="5:5">
      <c r="E477" s="19"/>
    </row>
    <row r="478" spans="5:5">
      <c r="E478" s="19"/>
    </row>
    <row r="479" spans="5:5">
      <c r="E479" s="19"/>
    </row>
    <row r="480" spans="5:5">
      <c r="E480" s="19"/>
    </row>
    <row r="481" spans="5:5">
      <c r="E481" s="19"/>
    </row>
    <row r="482" spans="5:5">
      <c r="E482" s="19"/>
    </row>
    <row r="483" spans="5:5">
      <c r="E483" s="19"/>
    </row>
    <row r="484" spans="5:5">
      <c r="E484" s="19"/>
    </row>
    <row r="485" spans="5:5">
      <c r="E485" s="19"/>
    </row>
    <row r="486" spans="5:5">
      <c r="E486" s="19"/>
    </row>
    <row r="487" spans="5:5">
      <c r="E487" s="19"/>
    </row>
    <row r="488" spans="5:5">
      <c r="E488" s="19"/>
    </row>
    <row r="489" spans="5:5">
      <c r="E489" s="19"/>
    </row>
    <row r="490" spans="5:5">
      <c r="E490" s="19"/>
    </row>
    <row r="491" spans="5:5">
      <c r="E491" s="19"/>
    </row>
    <row r="492" spans="5:5">
      <c r="E492" s="19"/>
    </row>
    <row r="493" spans="5:5">
      <c r="E493" s="19"/>
    </row>
    <row r="494" spans="5:5">
      <c r="E494" s="19"/>
    </row>
    <row r="495" spans="5:5">
      <c r="E495" s="19"/>
    </row>
    <row r="496" spans="5:5">
      <c r="E496" s="19"/>
    </row>
    <row r="497" spans="5:5">
      <c r="E497" s="19"/>
    </row>
    <row r="498" spans="5:5">
      <c r="E498" s="19"/>
    </row>
    <row r="499" spans="5:5">
      <c r="E499" s="19"/>
    </row>
    <row r="500" spans="5:5">
      <c r="E500" s="19"/>
    </row>
    <row r="501" spans="5:5">
      <c r="E501" s="19"/>
    </row>
    <row r="502" spans="5:5">
      <c r="E502" s="19"/>
    </row>
    <row r="503" spans="5:5">
      <c r="E503" s="19"/>
    </row>
    <row r="504" spans="5:5">
      <c r="E504" s="19"/>
    </row>
    <row r="505" spans="5:5">
      <c r="E505" s="19"/>
    </row>
    <row r="506" spans="5:5">
      <c r="E506" s="19"/>
    </row>
    <row r="507" spans="5:5">
      <c r="E507" s="19"/>
    </row>
    <row r="508" spans="5:5">
      <c r="E508" s="19"/>
    </row>
    <row r="509" spans="5:5">
      <c r="E509" s="19"/>
    </row>
    <row r="510" spans="5:5">
      <c r="E510" s="19"/>
    </row>
    <row r="511" spans="5:5">
      <c r="E511" s="19"/>
    </row>
    <row r="512" spans="5:5">
      <c r="E512" s="19"/>
    </row>
    <row r="513" spans="5:5">
      <c r="E513" s="19"/>
    </row>
    <row r="514" spans="5:5">
      <c r="E514" s="19"/>
    </row>
    <row r="515" spans="5:5">
      <c r="E515" s="19"/>
    </row>
    <row r="516" spans="5:5">
      <c r="E516" s="19"/>
    </row>
    <row r="517" spans="5:5">
      <c r="E517" s="19"/>
    </row>
    <row r="518" spans="5:5">
      <c r="E518" s="19"/>
    </row>
    <row r="519" spans="5:5">
      <c r="E519" s="19"/>
    </row>
    <row r="520" spans="5:5">
      <c r="E520" s="19"/>
    </row>
    <row r="521" spans="5:5">
      <c r="E521" s="19"/>
    </row>
    <row r="522" spans="5:5">
      <c r="E522" s="19"/>
    </row>
    <row r="523" spans="5:5">
      <c r="E523" s="19"/>
    </row>
    <row r="524" spans="5:5">
      <c r="E524" s="19"/>
    </row>
    <row r="525" spans="5:5">
      <c r="E525" s="19"/>
    </row>
    <row r="526" spans="5:5">
      <c r="E526" s="19"/>
    </row>
    <row r="527" spans="5:5">
      <c r="E527" s="19"/>
    </row>
    <row r="528" spans="5:5">
      <c r="E528" s="19"/>
    </row>
    <row r="529" spans="5:5">
      <c r="E529" s="19"/>
    </row>
    <row r="530" spans="5:5">
      <c r="E530" s="19"/>
    </row>
    <row r="531" spans="5:5">
      <c r="E531" s="19"/>
    </row>
    <row r="532" spans="5:5">
      <c r="E532" s="19"/>
    </row>
    <row r="533" spans="5:5">
      <c r="E533" s="19"/>
    </row>
    <row r="534" spans="5:5">
      <c r="E534" s="19"/>
    </row>
    <row r="535" spans="5:5">
      <c r="E535" s="19"/>
    </row>
    <row r="536" spans="5:5">
      <c r="E536" s="19"/>
    </row>
    <row r="537" spans="5:5">
      <c r="E537" s="19"/>
    </row>
    <row r="538" spans="5:5">
      <c r="E538" s="19"/>
    </row>
    <row r="539" spans="5:5">
      <c r="E539" s="19"/>
    </row>
    <row r="540" spans="5:5">
      <c r="E540" s="19"/>
    </row>
    <row r="541" spans="5:5">
      <c r="E541" s="19"/>
    </row>
    <row r="542" spans="5:5">
      <c r="E542" s="19"/>
    </row>
    <row r="543" spans="5:5">
      <c r="E543" s="19"/>
    </row>
    <row r="544" spans="5:5">
      <c r="E544" s="19"/>
    </row>
    <row r="545" spans="5:5">
      <c r="E545" s="19"/>
    </row>
    <row r="546" spans="5:5">
      <c r="E546" s="19"/>
    </row>
    <row r="547" spans="5:5">
      <c r="E547" s="19"/>
    </row>
    <row r="548" spans="5:5">
      <c r="E548" s="19"/>
    </row>
    <row r="549" spans="5:5">
      <c r="E549" s="19"/>
    </row>
    <row r="550" spans="5:5">
      <c r="E550" s="19"/>
    </row>
    <row r="551" spans="5:5">
      <c r="E551" s="19"/>
    </row>
    <row r="552" spans="5:5">
      <c r="E552" s="19"/>
    </row>
    <row r="553" spans="5:5">
      <c r="E553" s="19"/>
    </row>
    <row r="554" spans="5:5">
      <c r="E554" s="19"/>
    </row>
    <row r="555" spans="5:5">
      <c r="E555" s="19"/>
    </row>
    <row r="556" spans="5:5">
      <c r="E556" s="19"/>
    </row>
    <row r="557" spans="5:5">
      <c r="E557" s="19"/>
    </row>
    <row r="558" spans="5:5">
      <c r="E558" s="19"/>
    </row>
    <row r="559" spans="5:5">
      <c r="E559" s="19"/>
    </row>
    <row r="560" spans="5:5">
      <c r="E560" s="19"/>
    </row>
    <row r="561" spans="5:5">
      <c r="E561" s="19"/>
    </row>
    <row r="562" spans="5:5">
      <c r="E562" s="19"/>
    </row>
    <row r="563" spans="5:5">
      <c r="E563" s="19"/>
    </row>
    <row r="564" spans="5:5">
      <c r="E564" s="19"/>
    </row>
    <row r="565" spans="5:5">
      <c r="E565" s="19"/>
    </row>
    <row r="566" spans="5:5">
      <c r="E566" s="19"/>
    </row>
    <row r="567" spans="5:5">
      <c r="E567" s="19"/>
    </row>
    <row r="568" spans="5:5">
      <c r="E568" s="19"/>
    </row>
    <row r="569" spans="5:5">
      <c r="E569" s="19"/>
    </row>
    <row r="570" spans="5:5">
      <c r="E570" s="19"/>
    </row>
    <row r="571" spans="5:5">
      <c r="E571" s="19"/>
    </row>
    <row r="572" spans="5:5">
      <c r="E572" s="19"/>
    </row>
    <row r="573" spans="5:5">
      <c r="E573" s="19"/>
    </row>
    <row r="574" spans="5:5">
      <c r="E574" s="19"/>
    </row>
    <row r="575" spans="5:5">
      <c r="E575" s="19"/>
    </row>
    <row r="576" spans="5:5">
      <c r="E576" s="19"/>
    </row>
    <row r="577" spans="5:5">
      <c r="E577" s="19"/>
    </row>
    <row r="578" spans="5:5">
      <c r="E578" s="19"/>
    </row>
    <row r="579" spans="5:5">
      <c r="E579" s="19"/>
    </row>
    <row r="580" spans="5:5">
      <c r="E580" s="19"/>
    </row>
    <row r="581" spans="5:5">
      <c r="E581" s="19"/>
    </row>
    <row r="582" spans="5:5">
      <c r="E582" s="19"/>
    </row>
    <row r="583" spans="5:5">
      <c r="E583" s="19"/>
    </row>
    <row r="584" spans="5:5">
      <c r="E584" s="19"/>
    </row>
    <row r="585" spans="5:5">
      <c r="E585" s="19"/>
    </row>
    <row r="586" spans="5:5">
      <c r="E586" s="19"/>
    </row>
    <row r="587" spans="5:5">
      <c r="E587" s="19"/>
    </row>
    <row r="588" spans="5:5">
      <c r="E588" s="19"/>
    </row>
    <row r="589" spans="5:5">
      <c r="E589" s="19"/>
    </row>
    <row r="590" spans="5:5">
      <c r="E590" s="19"/>
    </row>
    <row r="591" spans="5:5">
      <c r="E591" s="19"/>
    </row>
    <row r="592" spans="5:5">
      <c r="E592" s="19"/>
    </row>
    <row r="593" spans="5:5">
      <c r="E593" s="19"/>
    </row>
    <row r="594" spans="5:5">
      <c r="E594" s="19"/>
    </row>
    <row r="595" spans="5:5">
      <c r="E595" s="19"/>
    </row>
    <row r="596" spans="5:5">
      <c r="E596" s="19"/>
    </row>
    <row r="597" spans="5:5">
      <c r="E597" s="19"/>
    </row>
    <row r="598" spans="5:5">
      <c r="E598" s="19"/>
    </row>
    <row r="599" spans="5:5">
      <c r="E599" s="19"/>
    </row>
    <row r="600" spans="5:5">
      <c r="E600" s="19"/>
    </row>
    <row r="601" spans="5:5">
      <c r="E601" s="19"/>
    </row>
    <row r="602" spans="5:5">
      <c r="E602" s="19"/>
    </row>
    <row r="603" spans="5:5">
      <c r="E603" s="19"/>
    </row>
    <row r="604" spans="5:5">
      <c r="E604" s="19"/>
    </row>
    <row r="605" spans="5:5">
      <c r="E605" s="19"/>
    </row>
    <row r="606" spans="5:5">
      <c r="E606" s="19"/>
    </row>
    <row r="607" spans="5:5">
      <c r="E607" s="19"/>
    </row>
    <row r="608" spans="5:5">
      <c r="E608" s="19"/>
    </row>
    <row r="609" spans="5:5">
      <c r="E609" s="19"/>
    </row>
    <row r="610" spans="5:5">
      <c r="E610" s="19"/>
    </row>
    <row r="611" spans="5:5">
      <c r="E611" s="19"/>
    </row>
    <row r="612" spans="5:5">
      <c r="E612" s="19"/>
    </row>
    <row r="613" spans="5:5">
      <c r="E613" s="19"/>
    </row>
    <row r="614" spans="5:5">
      <c r="E614" s="19"/>
    </row>
    <row r="615" spans="5:5">
      <c r="E615" s="19"/>
    </row>
    <row r="616" spans="5:5">
      <c r="E616" s="19"/>
    </row>
    <row r="617" spans="5:5">
      <c r="E617" s="19"/>
    </row>
    <row r="618" spans="5:5">
      <c r="E618" s="19"/>
    </row>
    <row r="619" spans="5:5">
      <c r="E619" s="19"/>
    </row>
    <row r="620" spans="5:5">
      <c r="E620" s="19"/>
    </row>
    <row r="621" spans="5:5">
      <c r="E621" s="19"/>
    </row>
    <row r="622" spans="5:5">
      <c r="E622" s="19"/>
    </row>
    <row r="623" spans="5:5">
      <c r="E623" s="19"/>
    </row>
    <row r="624" spans="5:5">
      <c r="E624" s="19"/>
    </row>
    <row r="625" spans="5:5">
      <c r="E625" s="19"/>
    </row>
    <row r="626" spans="5:5">
      <c r="E626" s="19"/>
    </row>
    <row r="627" spans="5:5">
      <c r="E627" s="19"/>
    </row>
    <row r="628" spans="5:5">
      <c r="E628" s="19"/>
    </row>
    <row r="629" spans="5:5">
      <c r="E629" s="19"/>
    </row>
    <row r="630" spans="5:5">
      <c r="E630" s="19"/>
    </row>
    <row r="631" spans="5:5">
      <c r="E631" s="19"/>
    </row>
    <row r="632" spans="5:5">
      <c r="E632" s="19"/>
    </row>
    <row r="633" spans="5:5">
      <c r="E633" s="19"/>
    </row>
    <row r="634" spans="5:5">
      <c r="E634" s="19"/>
    </row>
    <row r="635" spans="5:5">
      <c r="E635" s="19"/>
    </row>
    <row r="636" spans="5:5">
      <c r="E636" s="19"/>
    </row>
    <row r="637" spans="5:5">
      <c r="E637" s="19"/>
    </row>
    <row r="638" spans="5:5">
      <c r="E638" s="19"/>
    </row>
    <row r="639" spans="5:5">
      <c r="E639" s="19"/>
    </row>
    <row r="640" spans="5:5">
      <c r="E640" s="19"/>
    </row>
    <row r="641" spans="5:5">
      <c r="E641" s="19"/>
    </row>
    <row r="642" spans="5:5">
      <c r="E642" s="19"/>
    </row>
    <row r="643" spans="5:5">
      <c r="E643" s="19"/>
    </row>
    <row r="644" spans="5:5">
      <c r="E644" s="19"/>
    </row>
    <row r="645" spans="5:5">
      <c r="E645" s="19"/>
    </row>
    <row r="646" spans="5:5">
      <c r="E646" s="19"/>
    </row>
    <row r="647" spans="5:5">
      <c r="E647" s="19"/>
    </row>
    <row r="648" spans="5:5">
      <c r="E648" s="19"/>
    </row>
    <row r="649" spans="5:5">
      <c r="E649" s="19"/>
    </row>
    <row r="650" spans="5:5">
      <c r="E650" s="19"/>
    </row>
    <row r="651" spans="5:5">
      <c r="E651" s="19"/>
    </row>
    <row r="652" spans="5:5">
      <c r="E652" s="19"/>
    </row>
    <row r="653" spans="5:5">
      <c r="E653" s="19"/>
    </row>
    <row r="654" spans="5:5">
      <c r="E654" s="19"/>
    </row>
    <row r="655" spans="5:5">
      <c r="E655" s="19"/>
    </row>
    <row r="656" spans="5:5">
      <c r="E656" s="19"/>
    </row>
    <row r="657" spans="5:5">
      <c r="E657" s="19"/>
    </row>
    <row r="658" spans="5:5">
      <c r="E658" s="19"/>
    </row>
    <row r="659" spans="5:5">
      <c r="E659" s="19"/>
    </row>
    <row r="660" spans="5:5">
      <c r="E660" s="19"/>
    </row>
    <row r="661" spans="5:5">
      <c r="E661" s="19"/>
    </row>
    <row r="662" spans="5:5">
      <c r="E662" s="19"/>
    </row>
    <row r="663" spans="5:5">
      <c r="E663" s="19"/>
    </row>
    <row r="664" spans="5:5">
      <c r="E664" s="19"/>
    </row>
    <row r="665" spans="5:5">
      <c r="E665" s="19"/>
    </row>
    <row r="666" spans="5:5">
      <c r="E666" s="19"/>
    </row>
    <row r="667" spans="5:5">
      <c r="E667" s="19"/>
    </row>
    <row r="668" spans="5:5">
      <c r="E668" s="19"/>
    </row>
    <row r="669" spans="5:5">
      <c r="E669" s="19"/>
    </row>
    <row r="670" spans="5:5">
      <c r="E670" s="19"/>
    </row>
    <row r="671" spans="5:5">
      <c r="E671" s="19"/>
    </row>
    <row r="672" spans="5:5">
      <c r="E672" s="19"/>
    </row>
    <row r="673" spans="5:5">
      <c r="E673" s="19"/>
    </row>
    <row r="674" spans="5:5">
      <c r="E674" s="19"/>
    </row>
    <row r="675" spans="5:5">
      <c r="E675" s="19"/>
    </row>
    <row r="676" spans="5:5">
      <c r="E676" s="19"/>
    </row>
    <row r="677" spans="5:5">
      <c r="E677" s="19"/>
    </row>
    <row r="678" spans="5:5">
      <c r="E678" s="19"/>
    </row>
    <row r="679" spans="5:5">
      <c r="E679" s="19"/>
    </row>
    <row r="680" spans="5:5">
      <c r="E680" s="19"/>
    </row>
    <row r="681" spans="5:5">
      <c r="E681" s="19"/>
    </row>
    <row r="682" spans="5:5">
      <c r="E682" s="19"/>
    </row>
    <row r="683" spans="5:5">
      <c r="E683" s="19"/>
    </row>
    <row r="684" spans="5:5">
      <c r="E684" s="19"/>
    </row>
    <row r="685" spans="5:5">
      <c r="E685" s="19"/>
    </row>
    <row r="686" spans="5:5">
      <c r="E686" s="19"/>
    </row>
    <row r="687" spans="5:5">
      <c r="E687" s="19"/>
    </row>
    <row r="688" spans="5:5">
      <c r="E688" s="19"/>
    </row>
    <row r="689" spans="5:5">
      <c r="E689" s="19"/>
    </row>
    <row r="690" spans="5:5">
      <c r="E690" s="19"/>
    </row>
    <row r="691" spans="5:5">
      <c r="E691" s="19"/>
    </row>
    <row r="692" spans="5:5">
      <c r="E692" s="19"/>
    </row>
    <row r="693" spans="5:5">
      <c r="E693" s="19"/>
    </row>
    <row r="694" spans="5:5">
      <c r="E694" s="19"/>
    </row>
    <row r="695" spans="5:5">
      <c r="E695" s="19"/>
    </row>
    <row r="696" spans="5:5">
      <c r="E696" s="19"/>
    </row>
    <row r="697" spans="5:5">
      <c r="E697" s="19"/>
    </row>
    <row r="698" spans="5:5">
      <c r="E698" s="19"/>
    </row>
    <row r="699" spans="5:5">
      <c r="E699" s="19"/>
    </row>
    <row r="700" spans="5:5">
      <c r="E700" s="19"/>
    </row>
    <row r="701" spans="5:5">
      <c r="E701" s="19"/>
    </row>
    <row r="702" spans="5:5">
      <c r="E702" s="19"/>
    </row>
    <row r="703" spans="5:5">
      <c r="E703" s="19"/>
    </row>
    <row r="704" spans="5:5">
      <c r="E704" s="19"/>
    </row>
    <row r="705" spans="5:5">
      <c r="E705" s="19"/>
    </row>
    <row r="706" spans="5:5">
      <c r="E706" s="19"/>
    </row>
    <row r="707" spans="5:5">
      <c r="E707" s="19"/>
    </row>
    <row r="708" spans="5:5">
      <c r="E708" s="19"/>
    </row>
    <row r="709" spans="5:5">
      <c r="E709" s="19"/>
    </row>
    <row r="710" spans="5:5">
      <c r="E710" s="19"/>
    </row>
    <row r="711" spans="5:5">
      <c r="E711" s="19"/>
    </row>
    <row r="712" spans="5:5">
      <c r="E712" s="19"/>
    </row>
    <row r="713" spans="5:5">
      <c r="E713" s="19"/>
    </row>
    <row r="714" spans="5:5">
      <c r="E714" s="19"/>
    </row>
    <row r="715" spans="5:5">
      <c r="E715" s="19"/>
    </row>
    <row r="716" spans="5:5">
      <c r="E716" s="19"/>
    </row>
    <row r="717" spans="5:5">
      <c r="E717" s="19"/>
    </row>
    <row r="718" spans="5:5">
      <c r="E718" s="19"/>
    </row>
    <row r="719" spans="5:5">
      <c r="E719" s="19"/>
    </row>
    <row r="720" spans="5:5">
      <c r="E720" s="19"/>
    </row>
    <row r="721" spans="5:5">
      <c r="E721" s="19"/>
    </row>
    <row r="722" spans="5:5">
      <c r="E722" s="19"/>
    </row>
    <row r="723" spans="5:5">
      <c r="E723" s="19"/>
    </row>
    <row r="724" spans="5:5">
      <c r="E724" s="19"/>
    </row>
    <row r="725" spans="5:5">
      <c r="E725" s="19"/>
    </row>
    <row r="726" spans="5:5">
      <c r="E726" s="19"/>
    </row>
    <row r="727" spans="5:5">
      <c r="E727" s="19"/>
    </row>
    <row r="728" spans="5:5">
      <c r="E728" s="19"/>
    </row>
    <row r="729" spans="5:5">
      <c r="E729" s="19"/>
    </row>
    <row r="730" spans="5:5">
      <c r="E730" s="19"/>
    </row>
    <row r="731" spans="5:5">
      <c r="E731" s="19"/>
    </row>
    <row r="732" spans="5:5">
      <c r="E732" s="19"/>
    </row>
    <row r="733" spans="5:5">
      <c r="E733" s="19"/>
    </row>
    <row r="734" spans="5:5">
      <c r="E734" s="19"/>
    </row>
    <row r="735" spans="5:5">
      <c r="E735" s="19"/>
    </row>
    <row r="736" spans="5:5">
      <c r="E736" s="19"/>
    </row>
    <row r="737" spans="5:5">
      <c r="E737" s="19"/>
    </row>
    <row r="738" spans="5:5">
      <c r="E738" s="19"/>
    </row>
    <row r="739" spans="5:5">
      <c r="E739" s="19"/>
    </row>
    <row r="740" spans="5:5">
      <c r="E740" s="19"/>
    </row>
    <row r="741" spans="5:5">
      <c r="E741" s="19"/>
    </row>
    <row r="742" spans="5:5">
      <c r="E742" s="19"/>
    </row>
    <row r="743" spans="5:5">
      <c r="E743" s="19"/>
    </row>
    <row r="744" spans="5:5">
      <c r="E744" s="19"/>
    </row>
    <row r="745" spans="5:5">
      <c r="E745" s="19"/>
    </row>
    <row r="746" spans="5:5">
      <c r="E746" s="19"/>
    </row>
    <row r="747" spans="5:5">
      <c r="E747" s="19"/>
    </row>
    <row r="748" spans="5:5">
      <c r="E748" s="19"/>
    </row>
    <row r="749" spans="5:5">
      <c r="E749" s="19"/>
    </row>
    <row r="750" spans="5:5">
      <c r="E750" s="19"/>
    </row>
    <row r="751" spans="5:5">
      <c r="E751" s="19"/>
    </row>
    <row r="752" spans="5:5">
      <c r="E752" s="19"/>
    </row>
    <row r="753" spans="5:5">
      <c r="E753" s="19"/>
    </row>
    <row r="754" spans="5:5">
      <c r="E754" s="19"/>
    </row>
    <row r="755" spans="5:5">
      <c r="E755" s="19"/>
    </row>
    <row r="756" spans="5:5">
      <c r="E756" s="19"/>
    </row>
    <row r="757" spans="5:5">
      <c r="E757" s="19"/>
    </row>
    <row r="758" spans="5:5">
      <c r="E758" s="19"/>
    </row>
    <row r="759" spans="5:5">
      <c r="E759" s="19"/>
    </row>
    <row r="760" spans="5:5">
      <c r="E760" s="19"/>
    </row>
    <row r="761" spans="5:5">
      <c r="E761" s="19"/>
    </row>
    <row r="762" spans="5:5">
      <c r="E762" s="19"/>
    </row>
    <row r="763" spans="5:5">
      <c r="E763" s="19"/>
    </row>
    <row r="764" spans="5:5">
      <c r="E764" s="19"/>
    </row>
    <row r="765" spans="5:5">
      <c r="E765" s="19"/>
    </row>
    <row r="766" spans="5:5">
      <c r="E766" s="19"/>
    </row>
    <row r="767" spans="5:5">
      <c r="E767" s="19"/>
    </row>
    <row r="768" spans="5:5">
      <c r="E768" s="19"/>
    </row>
    <row r="769" spans="5:5">
      <c r="E769" s="19"/>
    </row>
    <row r="770" spans="5:5">
      <c r="E770" s="19"/>
    </row>
    <row r="771" spans="5:5">
      <c r="E771" s="19"/>
    </row>
    <row r="772" spans="5:5">
      <c r="E772" s="19"/>
    </row>
    <row r="773" spans="5:5">
      <c r="E773" s="19"/>
    </row>
    <row r="774" spans="5:5">
      <c r="E774" s="19"/>
    </row>
    <row r="775" spans="5:5">
      <c r="E775" s="19"/>
    </row>
    <row r="776" spans="5:5">
      <c r="E776" s="19"/>
    </row>
    <row r="777" spans="5:5">
      <c r="E777" s="19"/>
    </row>
    <row r="778" spans="5:5">
      <c r="E778" s="19"/>
    </row>
    <row r="779" spans="5:5">
      <c r="E779" s="19"/>
    </row>
    <row r="780" spans="5:5">
      <c r="E780" s="19"/>
    </row>
    <row r="781" spans="5:5">
      <c r="E781" s="19"/>
    </row>
    <row r="782" spans="5:5">
      <c r="E782" s="19"/>
    </row>
    <row r="783" spans="5:5">
      <c r="E783" s="19"/>
    </row>
    <row r="784" spans="5:5">
      <c r="E784" s="19"/>
    </row>
    <row r="785" spans="5:5">
      <c r="E785" s="19"/>
    </row>
    <row r="786" spans="5:5">
      <c r="E786" s="19"/>
    </row>
    <row r="787" spans="5:5">
      <c r="E787" s="19"/>
    </row>
    <row r="788" spans="5:5">
      <c r="E788" s="19"/>
    </row>
    <row r="789" spans="5:5">
      <c r="E789" s="19"/>
    </row>
    <row r="790" spans="5:5">
      <c r="E790" s="19"/>
    </row>
    <row r="791" spans="5:5">
      <c r="E791" s="19"/>
    </row>
    <row r="792" spans="5:5">
      <c r="E792" s="19"/>
    </row>
    <row r="793" spans="5:5">
      <c r="E793" s="19"/>
    </row>
    <row r="794" spans="5:5">
      <c r="E794" s="19"/>
    </row>
    <row r="795" spans="5:5">
      <c r="E795" s="19"/>
    </row>
    <row r="796" spans="5:5">
      <c r="E796" s="19"/>
    </row>
    <row r="797" spans="5:5">
      <c r="E797" s="19"/>
    </row>
    <row r="798" spans="5:5">
      <c r="E798" s="19"/>
    </row>
    <row r="799" spans="5:5">
      <c r="E799" s="19"/>
    </row>
    <row r="800" spans="5:5">
      <c r="E800" s="19"/>
    </row>
    <row r="801" spans="5:5">
      <c r="E801" s="19"/>
    </row>
    <row r="802" spans="5:5">
      <c r="E802" s="19"/>
    </row>
    <row r="803" spans="5:5">
      <c r="E803" s="19"/>
    </row>
    <row r="804" spans="5:5">
      <c r="E804" s="19"/>
    </row>
    <row r="805" spans="5:5">
      <c r="E805" s="19"/>
    </row>
    <row r="806" spans="5:5">
      <c r="E806" s="19"/>
    </row>
    <row r="807" spans="5:5">
      <c r="E807" s="19"/>
    </row>
    <row r="808" spans="5:5">
      <c r="E808" s="19"/>
    </row>
    <row r="809" spans="5:5">
      <c r="E809" s="19"/>
    </row>
    <row r="810" spans="5:5">
      <c r="E810" s="19"/>
    </row>
    <row r="811" spans="5:5">
      <c r="E811" s="19"/>
    </row>
    <row r="812" spans="5:5">
      <c r="E812" s="19"/>
    </row>
    <row r="813" spans="5:5">
      <c r="E813" s="19"/>
    </row>
    <row r="814" spans="5:5">
      <c r="E814" s="19"/>
    </row>
    <row r="815" spans="5:5">
      <c r="E815" s="19"/>
    </row>
    <row r="816" spans="5:5">
      <c r="E816" s="19"/>
    </row>
    <row r="817" spans="5:5">
      <c r="E817" s="19"/>
    </row>
    <row r="818" spans="5:5">
      <c r="E818" s="19"/>
    </row>
    <row r="819" spans="5:5">
      <c r="E819" s="19"/>
    </row>
    <row r="820" spans="5:5">
      <c r="E820" s="19"/>
    </row>
    <row r="821" spans="5:5">
      <c r="E821" s="19"/>
    </row>
    <row r="822" spans="5:5">
      <c r="E822" s="19"/>
    </row>
    <row r="823" spans="5:5">
      <c r="E823" s="19"/>
    </row>
    <row r="824" spans="5:5">
      <c r="E824" s="19"/>
    </row>
    <row r="825" spans="5:5">
      <c r="E825" s="19"/>
    </row>
    <row r="826" spans="5:5">
      <c r="E826" s="19"/>
    </row>
    <row r="827" spans="5:5">
      <c r="E827" s="19"/>
    </row>
    <row r="828" spans="5:5">
      <c r="E828" s="19"/>
    </row>
    <row r="829" spans="5:5">
      <c r="E829" s="19"/>
    </row>
    <row r="830" spans="5:5">
      <c r="E830" s="19"/>
    </row>
    <row r="831" spans="5:5">
      <c r="E831" s="19"/>
    </row>
    <row r="832" spans="5:5">
      <c r="E832" s="19"/>
    </row>
    <row r="833" spans="5:5">
      <c r="E833" s="19"/>
    </row>
    <row r="834" spans="5:5">
      <c r="E834" s="19"/>
    </row>
    <row r="835" spans="5:5">
      <c r="E835" s="19"/>
    </row>
    <row r="836" spans="5:5">
      <c r="E836" s="19"/>
    </row>
    <row r="837" spans="5:5">
      <c r="E837" s="19"/>
    </row>
    <row r="838" spans="5:5">
      <c r="E838" s="19"/>
    </row>
    <row r="839" spans="5:5">
      <c r="E839" s="19"/>
    </row>
    <row r="840" spans="5:5">
      <c r="E840" s="19"/>
    </row>
    <row r="841" spans="5:5">
      <c r="E841" s="19"/>
    </row>
    <row r="842" spans="5:5">
      <c r="E842" s="19"/>
    </row>
    <row r="843" spans="5:5">
      <c r="E843" s="19"/>
    </row>
    <row r="844" spans="5:5">
      <c r="E844" s="19"/>
    </row>
    <row r="845" spans="5:5">
      <c r="E845" s="19"/>
    </row>
    <row r="846" spans="5:5">
      <c r="E846" s="19"/>
    </row>
    <row r="847" spans="5:5">
      <c r="E847" s="19"/>
    </row>
    <row r="848" spans="5:5">
      <c r="E848" s="19"/>
    </row>
    <row r="849" spans="5:5">
      <c r="E849" s="19"/>
    </row>
    <row r="850" spans="5:5">
      <c r="E850" s="19"/>
    </row>
    <row r="851" spans="5:5">
      <c r="E851" s="19"/>
    </row>
    <row r="852" spans="5:5">
      <c r="E852" s="19"/>
    </row>
    <row r="853" spans="5:5">
      <c r="E853" s="19"/>
    </row>
    <row r="854" spans="5:5">
      <c r="E854" s="19"/>
    </row>
    <row r="855" spans="5:5">
      <c r="E855" s="19"/>
    </row>
    <row r="856" spans="5:5">
      <c r="E856" s="19"/>
    </row>
    <row r="857" spans="5:5">
      <c r="E857" s="19"/>
    </row>
    <row r="858" spans="5:5">
      <c r="E858" s="19"/>
    </row>
  </sheetData>
  <conditionalFormatting sqref="G229:G237 F229:F234 F236:F237 F227:J227 H237:K237 H229:H231 E238:J238 H233:H236 I229:J236 F212:J220">
    <cfRule type="expression" dxfId="12" priority="1">
      <formula>#REF!=0</formula>
    </cfRule>
  </conditionalFormatting>
  <printOptions headings="1"/>
  <pageMargins left="0.23622047244094491" right="0.27559055118110237" top="0.74803149606299213" bottom="0.74803149606299213" header="0.31496062992125984" footer="0.31496062992125984"/>
  <pageSetup paperSize="8" scale="53" fitToHeight="0" orientation="portrait" r:id="rId1"/>
  <drawing r:id="rId2"/>
  <legacyDrawing r:id="rId3"/>
</worksheet>
</file>

<file path=xl/worksheets/sheet9.xml><?xml version="1.0" encoding="utf-8"?>
<worksheet xmlns="http://schemas.openxmlformats.org/spreadsheetml/2006/main" xmlns:r="http://schemas.openxmlformats.org/officeDocument/2006/relationships">
  <sheetPr codeName="Sheet42">
    <tabColor theme="9" tint="0.79998168889431442"/>
    <pageSetUpPr fitToPage="1"/>
  </sheetPr>
  <dimension ref="A1:Z858"/>
  <sheetViews>
    <sheetView zoomScaleNormal="100" workbookViewId="0"/>
  </sheetViews>
  <sheetFormatPr defaultRowHeight="15"/>
  <cols>
    <col min="1" max="2" width="4.140625" style="22" customWidth="1"/>
    <col min="3" max="3" width="47.5703125" style="22" customWidth="1"/>
    <col min="4" max="4" width="13.5703125" style="22" customWidth="1"/>
    <col min="5" max="5" width="10.5703125" style="22" customWidth="1"/>
    <col min="6" max="6" width="13.42578125" style="22" customWidth="1"/>
    <col min="7" max="7" width="10.42578125" style="22" customWidth="1"/>
    <col min="8" max="8" width="11.5703125" style="22" customWidth="1"/>
    <col min="9" max="9" width="10.28515625" style="22" customWidth="1"/>
    <col min="10" max="10" width="13.7109375" style="22" customWidth="1"/>
    <col min="11" max="11" width="11.28515625" style="22" customWidth="1"/>
    <col min="12" max="12" width="19.5703125" style="22" bestFit="1" customWidth="1"/>
    <col min="13" max="13" width="11.5703125" style="22" bestFit="1" customWidth="1"/>
    <col min="14" max="16384" width="9.140625" style="22"/>
  </cols>
  <sheetData>
    <row r="1" spans="1:16" ht="23.25">
      <c r="A1" s="27"/>
      <c r="C1" s="1" t="str">
        <f ca="1">OFFSET(Inputs_Anchor,0,G1+1)</f>
        <v>Electricity Ashburton</v>
      </c>
      <c r="D1" s="1"/>
      <c r="E1" s="1"/>
      <c r="F1" s="4" t="s">
        <v>109</v>
      </c>
      <c r="G1" s="5">
        <v>5</v>
      </c>
      <c r="H1" s="1"/>
      <c r="I1" s="1"/>
      <c r="J1" s="1"/>
      <c r="K1" s="1"/>
      <c r="L1" s="1"/>
      <c r="M1" s="1"/>
      <c r="N1" s="1"/>
      <c r="O1" s="1"/>
      <c r="P1" s="1"/>
    </row>
    <row r="2" spans="1:16">
      <c r="A2" s="27"/>
      <c r="L2" s="26"/>
    </row>
    <row r="3" spans="1:16" ht="23.25">
      <c r="C3" s="1" t="s">
        <v>3</v>
      </c>
      <c r="D3" s="1"/>
      <c r="E3" s="1"/>
      <c r="F3" s="1"/>
      <c r="G3" s="1"/>
      <c r="H3" s="1"/>
      <c r="I3" s="1"/>
      <c r="J3" s="1"/>
      <c r="K3" s="1"/>
      <c r="L3" s="1"/>
      <c r="M3" s="1"/>
      <c r="N3" s="1"/>
      <c r="O3" s="1"/>
      <c r="P3" s="1"/>
    </row>
    <row r="4" spans="1:16">
      <c r="A4" s="27"/>
      <c r="B4" s="27"/>
      <c r="C4" s="27"/>
      <c r="D4" s="147" t="s">
        <v>57</v>
      </c>
      <c r="E4" s="147" t="s">
        <v>58</v>
      </c>
      <c r="F4" s="27"/>
      <c r="G4" s="27"/>
      <c r="H4" s="148" t="s">
        <v>5</v>
      </c>
      <c r="I4" s="27"/>
      <c r="J4" s="27"/>
      <c r="K4" s="27"/>
      <c r="L4" s="27"/>
    </row>
    <row r="5" spans="1:16">
      <c r="A5" s="30"/>
      <c r="B5" s="27"/>
      <c r="C5" s="27"/>
      <c r="D5" s="147" t="s">
        <v>56</v>
      </c>
      <c r="E5" s="147"/>
      <c r="F5" s="27"/>
      <c r="G5" s="27"/>
      <c r="H5" s="27"/>
      <c r="I5" s="27"/>
      <c r="J5" s="27"/>
      <c r="K5" s="27"/>
      <c r="L5" s="27"/>
    </row>
    <row r="6" spans="1:16">
      <c r="A6" s="119"/>
      <c r="B6" s="50"/>
      <c r="C6" s="99" t="s">
        <v>1</v>
      </c>
      <c r="D6" s="50"/>
      <c r="E6" s="99" t="str">
        <f>Inputs!D11</f>
        <v>2009/10</v>
      </c>
      <c r="F6" s="99" t="str">
        <f>Inputs!E11</f>
        <v>2010/11</v>
      </c>
      <c r="G6" s="99" t="str">
        <f>Inputs!F11</f>
        <v>2011/12</v>
      </c>
      <c r="H6" s="99" t="str">
        <f>Inputs!G11</f>
        <v>2012/13</v>
      </c>
      <c r="I6" s="99" t="str">
        <f>Inputs!H11</f>
        <v>2013/14</v>
      </c>
      <c r="J6" s="99" t="str">
        <f>Inputs!I11</f>
        <v>2014/15</v>
      </c>
      <c r="K6" s="99"/>
      <c r="L6" s="67"/>
    </row>
    <row r="7" spans="1:16">
      <c r="A7" s="119"/>
      <c r="B7" s="50"/>
      <c r="C7" s="50" t="s">
        <v>59</v>
      </c>
      <c r="D7" s="50"/>
      <c r="E7" s="125">
        <v>1</v>
      </c>
      <c r="F7" s="125">
        <v>2</v>
      </c>
      <c r="G7" s="125">
        <v>3</v>
      </c>
      <c r="H7" s="125">
        <v>4</v>
      </c>
      <c r="I7" s="125">
        <v>5</v>
      </c>
      <c r="J7" s="125">
        <v>6</v>
      </c>
      <c r="K7" s="125"/>
      <c r="L7" s="67"/>
    </row>
    <row r="8" spans="1:16">
      <c r="A8" s="119">
        <v>1</v>
      </c>
      <c r="B8" s="149"/>
      <c r="C8" s="50" t="str">
        <f>Inputs!B20</f>
        <v>Line Revenue through Prices</v>
      </c>
      <c r="D8" s="50"/>
      <c r="E8" s="47">
        <f t="shared" ref="E8:E27" si="0">INDEX(InputsBlock,A8+1,$G$1+2)</f>
        <v>27831</v>
      </c>
      <c r="F8" s="50"/>
      <c r="G8" s="50"/>
      <c r="H8" s="50"/>
      <c r="I8" s="50"/>
      <c r="J8" s="50"/>
      <c r="K8" s="50"/>
      <c r="L8" s="27"/>
    </row>
    <row r="9" spans="1:16">
      <c r="A9" s="119">
        <f t="shared" ref="A9:A27" si="1">A8+1</f>
        <v>2</v>
      </c>
      <c r="B9" s="149"/>
      <c r="C9" s="50" t="str">
        <f>Inputs!B21</f>
        <v>Pass-through costs</v>
      </c>
      <c r="D9" s="50"/>
      <c r="E9" s="47">
        <f t="shared" si="0"/>
        <v>308</v>
      </c>
      <c r="F9" s="50"/>
      <c r="G9" s="50"/>
      <c r="H9" s="50"/>
      <c r="I9" s="50"/>
      <c r="J9" s="50"/>
      <c r="K9" s="50"/>
      <c r="L9" s="27"/>
    </row>
    <row r="10" spans="1:16">
      <c r="A10" s="119">
        <f t="shared" si="1"/>
        <v>3</v>
      </c>
      <c r="B10" s="149"/>
      <c r="C10" s="50" t="str">
        <f>Inputs!B22</f>
        <v>Recoverable costs</v>
      </c>
      <c r="D10" s="50"/>
      <c r="E10" s="47">
        <f t="shared" si="0"/>
        <v>4818</v>
      </c>
      <c r="F10" s="50"/>
      <c r="G10" s="50"/>
      <c r="H10" s="50"/>
      <c r="I10" s="50"/>
      <c r="J10" s="50"/>
      <c r="K10" s="50"/>
      <c r="L10" s="27"/>
    </row>
    <row r="11" spans="1:16">
      <c r="A11" s="119">
        <f t="shared" si="1"/>
        <v>4</v>
      </c>
      <c r="B11" s="149"/>
      <c r="C11" s="50" t="str">
        <f>Inputs!B23</f>
        <v>Opening RAB</v>
      </c>
      <c r="D11" s="50"/>
      <c r="E11" s="47">
        <f t="shared" si="0"/>
        <v>158433</v>
      </c>
      <c r="F11" s="50"/>
      <c r="G11" s="50"/>
      <c r="H11" s="50"/>
      <c r="I11" s="50"/>
      <c r="J11" s="50"/>
      <c r="K11" s="50"/>
      <c r="L11" s="150"/>
    </row>
    <row r="12" spans="1:16">
      <c r="A12" s="119">
        <f t="shared" si="1"/>
        <v>5</v>
      </c>
      <c r="B12" s="149"/>
      <c r="C12" s="50" t="str">
        <f>Inputs!B24</f>
        <v>Lost assets</v>
      </c>
      <c r="D12" s="50"/>
      <c r="E12" s="47">
        <f t="shared" si="0"/>
        <v>0</v>
      </c>
      <c r="F12" s="50"/>
      <c r="G12" s="50"/>
      <c r="H12" s="50"/>
      <c r="I12" s="50"/>
      <c r="J12" s="50"/>
      <c r="K12" s="50"/>
      <c r="L12" s="150"/>
    </row>
    <row r="13" spans="1:16">
      <c r="A13" s="119">
        <f t="shared" si="1"/>
        <v>6</v>
      </c>
      <c r="B13" s="149"/>
      <c r="C13" s="50" t="str">
        <f>Inputs!B25</f>
        <v>Found Assets</v>
      </c>
      <c r="D13" s="50"/>
      <c r="E13" s="47">
        <f t="shared" si="0"/>
        <v>0</v>
      </c>
      <c r="F13" s="50"/>
      <c r="G13" s="50"/>
      <c r="H13" s="50"/>
      <c r="I13" s="50"/>
      <c r="J13" s="50"/>
      <c r="K13" s="50"/>
      <c r="L13" s="150"/>
    </row>
    <row r="14" spans="1:16">
      <c r="A14" s="119">
        <f t="shared" si="1"/>
        <v>7</v>
      </c>
      <c r="B14" s="149"/>
      <c r="C14" s="50" t="str">
        <f>Inputs!B26</f>
        <v>Total Depreciation</v>
      </c>
      <c r="D14" s="50"/>
      <c r="E14" s="47">
        <f t="shared" si="0"/>
        <v>5894</v>
      </c>
      <c r="F14" s="47"/>
      <c r="G14" s="191" t="s">
        <v>280</v>
      </c>
      <c r="H14" s="50"/>
      <c r="I14" s="50"/>
      <c r="J14" s="50"/>
      <c r="K14" s="50"/>
      <c r="L14" s="27"/>
    </row>
    <row r="15" spans="1:16">
      <c r="A15" s="119">
        <f t="shared" si="1"/>
        <v>8</v>
      </c>
      <c r="B15" s="149"/>
      <c r="C15" s="50" t="str">
        <f>Inputs!B27</f>
        <v>RAB of disposed assets</v>
      </c>
      <c r="D15" s="50"/>
      <c r="E15" s="47">
        <f t="shared" si="0"/>
        <v>0</v>
      </c>
      <c r="F15" s="50"/>
      <c r="G15" s="175" t="s">
        <v>281</v>
      </c>
      <c r="H15" s="50"/>
      <c r="I15" s="50"/>
      <c r="J15" s="50"/>
      <c r="K15" s="50"/>
      <c r="L15" s="27"/>
    </row>
    <row r="16" spans="1:16">
      <c r="A16" s="119">
        <f t="shared" si="1"/>
        <v>9</v>
      </c>
      <c r="B16" s="149"/>
      <c r="C16" s="50" t="str">
        <f>Inputs!B28</f>
        <v>Discretionary discounts &amp;  rebates</v>
      </c>
      <c r="D16" s="50"/>
      <c r="E16" s="47">
        <f t="shared" si="0"/>
        <v>3021</v>
      </c>
      <c r="F16" s="50"/>
      <c r="G16" s="175" t="s">
        <v>282</v>
      </c>
      <c r="H16" s="50"/>
      <c r="I16" s="50"/>
      <c r="J16" s="50"/>
      <c r="K16" s="50"/>
      <c r="L16" s="27"/>
    </row>
    <row r="17" spans="1:22">
      <c r="A17" s="119">
        <f t="shared" si="1"/>
        <v>10</v>
      </c>
      <c r="B17" s="149"/>
      <c r="C17" s="50" t="str">
        <f>Inputs!B29</f>
        <v>Tax Depreciation</v>
      </c>
      <c r="D17" s="50"/>
      <c r="E17" s="47">
        <f t="shared" si="0"/>
        <v>7099</v>
      </c>
      <c r="F17" s="50"/>
      <c r="G17" s="175" t="s">
        <v>283</v>
      </c>
      <c r="H17" s="50"/>
      <c r="I17" s="50"/>
      <c r="J17" s="50"/>
      <c r="K17" s="50"/>
      <c r="L17" s="27"/>
    </row>
    <row r="18" spans="1:22">
      <c r="A18" s="119">
        <f t="shared" si="1"/>
        <v>11</v>
      </c>
      <c r="B18" s="149"/>
      <c r="C18" s="50" t="str">
        <f>Inputs!B30</f>
        <v>Opening regulatory tax asset value</v>
      </c>
      <c r="D18" s="50"/>
      <c r="E18" s="47">
        <f t="shared" si="0"/>
        <v>72983</v>
      </c>
      <c r="F18" s="50"/>
      <c r="G18" s="50"/>
      <c r="H18" s="50"/>
      <c r="I18" s="50"/>
      <c r="J18" s="50"/>
      <c r="K18" s="50"/>
      <c r="L18" s="27"/>
    </row>
    <row r="19" spans="1:22">
      <c r="A19" s="119">
        <f t="shared" si="1"/>
        <v>12</v>
      </c>
      <c r="B19" s="149"/>
      <c r="C19" s="50" t="str">
        <f>Inputs!B31</f>
        <v>Weighted Average Remaining Life at year-end</v>
      </c>
      <c r="D19" s="50"/>
      <c r="E19" s="47">
        <f t="shared" si="0"/>
        <v>34.266512471402784</v>
      </c>
      <c r="F19" s="50"/>
      <c r="G19" s="50"/>
      <c r="H19" s="50"/>
      <c r="I19" s="50"/>
      <c r="J19" s="50"/>
      <c r="K19" s="50"/>
      <c r="L19" s="27"/>
    </row>
    <row r="20" spans="1:22">
      <c r="A20" s="119">
        <f t="shared" si="1"/>
        <v>13</v>
      </c>
      <c r="B20" s="149"/>
      <c r="C20" s="50" t="str">
        <f>Inputs!B32</f>
        <v>Term Credit Spread Differential Allowance</v>
      </c>
      <c r="D20" s="50"/>
      <c r="E20" s="47">
        <f t="shared" si="0"/>
        <v>0</v>
      </c>
      <c r="F20" s="50"/>
      <c r="G20" s="50"/>
      <c r="H20" s="50"/>
      <c r="I20" s="50"/>
      <c r="J20" s="50"/>
      <c r="K20" s="50"/>
      <c r="L20" s="27"/>
    </row>
    <row r="21" spans="1:22">
      <c r="A21" s="119">
        <f t="shared" si="1"/>
        <v>14</v>
      </c>
      <c r="B21" s="149"/>
      <c r="C21" s="50" t="s">
        <v>98</v>
      </c>
      <c r="D21" s="50"/>
      <c r="E21" s="47">
        <f t="shared" si="0"/>
        <v>14297</v>
      </c>
      <c r="F21" s="50"/>
      <c r="G21" s="50"/>
      <c r="H21" s="50"/>
      <c r="I21" s="50"/>
      <c r="J21" s="50"/>
      <c r="K21" s="50"/>
      <c r="L21" s="27"/>
    </row>
    <row r="22" spans="1:22">
      <c r="A22" s="119">
        <f t="shared" si="1"/>
        <v>15</v>
      </c>
      <c r="B22" s="149"/>
      <c r="C22" s="50" t="str">
        <f>Inputs!B34</f>
        <v>Operating expenditure 2009/10</v>
      </c>
      <c r="D22" s="50"/>
      <c r="E22" s="47">
        <f t="shared" si="0"/>
        <v>6009</v>
      </c>
      <c r="F22" s="50"/>
      <c r="G22" s="50"/>
      <c r="H22" s="50"/>
      <c r="I22" s="50"/>
      <c r="J22" s="50"/>
      <c r="K22" s="50"/>
      <c r="L22" s="27"/>
    </row>
    <row r="23" spans="1:22">
      <c r="A23" s="119">
        <f t="shared" si="1"/>
        <v>16</v>
      </c>
      <c r="B23" s="149"/>
      <c r="C23" s="50" t="str">
        <f>Inputs!B35</f>
        <v>Other reg income (avg of 2008 to 11, in 2009/10 $)</v>
      </c>
      <c r="D23" s="50"/>
      <c r="E23" s="47">
        <f t="shared" si="0"/>
        <v>446.21476147772501</v>
      </c>
      <c r="F23" s="50"/>
      <c r="G23" s="50"/>
      <c r="H23" s="50"/>
      <c r="I23" s="50"/>
      <c r="J23" s="50"/>
      <c r="K23" s="49"/>
      <c r="L23" s="27"/>
    </row>
    <row r="24" spans="1:22">
      <c r="A24" s="119">
        <f t="shared" si="1"/>
        <v>17</v>
      </c>
      <c r="B24" s="149"/>
      <c r="C24" s="119" t="str">
        <f>Inputs!B36</f>
        <v>Allowable notional revenue 2012/13</v>
      </c>
      <c r="D24" s="50"/>
      <c r="E24" s="47">
        <f t="shared" si="0"/>
        <v>26061.367083671332</v>
      </c>
      <c r="F24" s="50"/>
      <c r="G24" s="50"/>
      <c r="H24" s="50"/>
      <c r="I24" s="50"/>
      <c r="J24" s="50"/>
      <c r="K24" s="49"/>
      <c r="L24" s="27"/>
    </row>
    <row r="25" spans="1:22">
      <c r="A25" s="119">
        <f t="shared" si="1"/>
        <v>18</v>
      </c>
      <c r="B25" s="149"/>
      <c r="C25" s="119" t="str">
        <f>Inputs!B37</f>
        <v>Pass-through costs 2012/13</v>
      </c>
      <c r="D25" s="50"/>
      <c r="E25" s="47">
        <f t="shared" si="0"/>
        <v>6587.8002393913048</v>
      </c>
      <c r="F25" s="50"/>
      <c r="G25" s="50"/>
      <c r="H25" s="50"/>
      <c r="I25" s="50"/>
      <c r="J25" s="50"/>
      <c r="K25" s="49"/>
      <c r="L25" s="27"/>
    </row>
    <row r="26" spans="1:22">
      <c r="A26" s="119">
        <f t="shared" si="1"/>
        <v>19</v>
      </c>
      <c r="B26" s="50"/>
      <c r="C26" s="50" t="str">
        <f>Inputs!B38</f>
        <v>Alternate X value to 2014/15</v>
      </c>
      <c r="D26" s="49"/>
      <c r="E26" s="151" t="str">
        <f t="shared" si="0"/>
        <v>IWX</v>
      </c>
      <c r="F26" s="50"/>
      <c r="G26" s="50"/>
      <c r="H26" s="50"/>
      <c r="I26" s="50"/>
      <c r="J26" s="50"/>
      <c r="K26" s="49"/>
      <c r="L26" s="27"/>
    </row>
    <row r="27" spans="1:22">
      <c r="A27" s="119">
        <f t="shared" si="1"/>
        <v>20</v>
      </c>
      <c r="B27" s="50"/>
      <c r="C27" s="50" t="str">
        <f>Inputs!B39</f>
        <v>Cap on growth of maximum allowable revenue</v>
      </c>
      <c r="D27" s="50"/>
      <c r="E27" s="151">
        <f t="shared" si="0"/>
        <v>0.2</v>
      </c>
      <c r="F27" s="50"/>
      <c r="G27" s="50"/>
      <c r="H27" s="50"/>
      <c r="I27" s="50"/>
      <c r="J27" s="50"/>
      <c r="K27" s="49"/>
      <c r="L27" s="27"/>
    </row>
    <row r="28" spans="1:22">
      <c r="A28" s="119"/>
      <c r="B28" s="149"/>
      <c r="C28" s="50" t="s">
        <v>30</v>
      </c>
      <c r="D28" s="50"/>
      <c r="E28" s="130">
        <f>E22</f>
        <v>6009</v>
      </c>
      <c r="F28" s="47">
        <f>INDEX(OpexBlock,F7-1,$G$1)</f>
        <v>6204.691236062904</v>
      </c>
      <c r="G28" s="47">
        <f>INDEX(OpexBlock,G7-1,$G$1)</f>
        <v>6419.5383028401675</v>
      </c>
      <c r="H28" s="47">
        <f>INDEX(OpexBlock,H7-1,$G$1)</f>
        <v>6612.0240843577267</v>
      </c>
      <c r="I28" s="47">
        <f>INDEX(OpexBlock,I7-1,$G$1)</f>
        <v>6799.3751078096811</v>
      </c>
      <c r="J28" s="47">
        <f>INDEX(OpexBlock,J7-1,$G$1)</f>
        <v>7017.2557638432563</v>
      </c>
      <c r="K28" s="49"/>
      <c r="L28" s="50"/>
      <c r="M28" s="15"/>
    </row>
    <row r="29" spans="1:22">
      <c r="A29" s="119"/>
      <c r="B29" s="149"/>
      <c r="C29" s="50" t="s">
        <v>158</v>
      </c>
      <c r="D29" s="47"/>
      <c r="E29" s="130">
        <f>E21</f>
        <v>14297</v>
      </c>
      <c r="F29" s="47">
        <f>INDEX(CommAssetsBlock,F7-1,$G$1)</f>
        <v>12717.914741623148</v>
      </c>
      <c r="G29" s="47">
        <f>INDEX(CommAssetsBlock,G7-1,$G$1)</f>
        <v>16295.628119961755</v>
      </c>
      <c r="H29" s="47">
        <f>INDEX(CommAssetsBlock,H7-1,$G$1)</f>
        <v>9830.6562620451514</v>
      </c>
      <c r="I29" s="47">
        <f>INDEX(CommAssetsBlock,I7-1,$G$1)</f>
        <v>11357.769713785836</v>
      </c>
      <c r="J29" s="47">
        <f>INDEX(CommAssetsBlock,J7-1,$G$1)</f>
        <v>12849.677016437978</v>
      </c>
      <c r="K29" s="49"/>
      <c r="L29" s="50"/>
      <c r="M29" s="15"/>
    </row>
    <row r="30" spans="1:22">
      <c r="A30" s="119"/>
      <c r="B30" s="149"/>
      <c r="C30" s="50" t="s">
        <v>200</v>
      </c>
      <c r="D30" s="47"/>
      <c r="E30" s="49"/>
      <c r="F30" s="110">
        <f>INDEX(ConstPriceRevGrwth,F$7-1,$G$1)</f>
        <v>1.598939416406641E-2</v>
      </c>
      <c r="G30" s="110">
        <f>INDEX(ConstPriceRevGrwth,G$7-1,$G$1)</f>
        <v>1.598939416406641E-2</v>
      </c>
      <c r="H30" s="110">
        <f>INDEX(ConstPriceRevGrwth,H$7-1,$G$1)</f>
        <v>1.598939416406641E-2</v>
      </c>
      <c r="I30" s="110">
        <f>INDEX(ConstPriceRevGrwth,I$7-1,$G$1)</f>
        <v>1.598939416406641E-2</v>
      </c>
      <c r="J30" s="110">
        <f>INDEX(ConstPriceRevGrwth,J$7-1,$G$1)</f>
        <v>1.598939416406641E-2</v>
      </c>
      <c r="K30" s="49"/>
      <c r="L30" s="50"/>
      <c r="M30" s="15"/>
      <c r="U30" s="15"/>
      <c r="V30" s="15"/>
    </row>
    <row r="31" spans="1:22" ht="15.75" thickBot="1">
      <c r="A31" s="119"/>
      <c r="B31" s="149"/>
      <c r="C31" s="50"/>
      <c r="D31" s="47"/>
      <c r="E31" s="49"/>
      <c r="F31" s="50"/>
      <c r="G31" s="49"/>
      <c r="H31" s="49"/>
      <c r="I31" s="49"/>
      <c r="J31" s="49"/>
      <c r="K31" s="49"/>
      <c r="L31" s="27"/>
      <c r="M31" s="15"/>
      <c r="U31" s="15"/>
      <c r="V31" s="15"/>
    </row>
    <row r="32" spans="1:22" ht="16.5" thickBot="1">
      <c r="A32" s="119"/>
      <c r="B32" s="149"/>
      <c r="C32" s="121" t="s">
        <v>182</v>
      </c>
      <c r="D32" s="47"/>
      <c r="E32" s="49"/>
      <c r="F32" s="50"/>
      <c r="G32" s="49"/>
      <c r="H32" s="49"/>
      <c r="I32" s="49"/>
      <c r="J32" s="49"/>
      <c r="K32" s="49"/>
      <c r="L32" s="195" t="s">
        <v>322</v>
      </c>
      <c r="M32" s="111"/>
      <c r="N32" s="34"/>
      <c r="O32" s="34"/>
      <c r="P32" s="34"/>
      <c r="Q32" s="34"/>
      <c r="R32" s="34"/>
      <c r="S32" s="34"/>
      <c r="T32" s="34"/>
      <c r="U32" s="34"/>
      <c r="V32" s="35"/>
    </row>
    <row r="33" spans="1:26">
      <c r="A33" s="119"/>
      <c r="B33" s="149"/>
      <c r="C33" s="122" t="str">
        <f>Inputs!B13</f>
        <v>2009 ΔCPI, 2 index, no lag, no GST adjustment</v>
      </c>
      <c r="D33" s="47"/>
      <c r="E33" s="49">
        <f>Inputs!D13</f>
        <v>1.7233850022212005E-2</v>
      </c>
      <c r="F33" s="49">
        <f>Inputs!E13</f>
        <v>1.9812209526758329E-2</v>
      </c>
      <c r="G33" s="49">
        <f>Inputs!F13</f>
        <v>2.4339880629970168E-2</v>
      </c>
      <c r="H33" s="49">
        <f>Inputs!G13</f>
        <v>2.2893253753313525E-2</v>
      </c>
      <c r="I33" s="49">
        <f>Inputs!H13</f>
        <v>2.144662687665666E-2</v>
      </c>
      <c r="J33" s="49">
        <f>Inputs!I13</f>
        <v>2.0000000000000018E-2</v>
      </c>
      <c r="K33" s="50"/>
      <c r="L33" s="196" t="s">
        <v>194</v>
      </c>
      <c r="M33" s="50"/>
      <c r="N33" s="15"/>
      <c r="O33" s="15"/>
      <c r="P33" s="15"/>
      <c r="Q33" s="15"/>
      <c r="R33" s="15"/>
      <c r="S33" s="15"/>
      <c r="T33" s="15"/>
      <c r="U33" s="15"/>
      <c r="V33" s="29"/>
    </row>
    <row r="34" spans="1:26">
      <c r="A34" s="119"/>
      <c r="B34" s="149"/>
      <c r="C34" s="122" t="str">
        <f>Inputs!B14</f>
        <v>2012 ΔCPI, 2 index, no lag, no GST adjustment</v>
      </c>
      <c r="D34" s="47"/>
      <c r="E34" s="49"/>
      <c r="F34" s="49">
        <f>Inputs!E14</f>
        <v>4.4667274384685429E-2</v>
      </c>
      <c r="G34" s="49">
        <f>Inputs!F14</f>
        <v>1.5706806282722585E-2</v>
      </c>
      <c r="H34" s="49">
        <f>Inputs!G14</f>
        <v>1.8041237113401998E-2</v>
      </c>
      <c r="I34" s="49">
        <f>Inputs!H14</f>
        <v>1.7721518987341867E-2</v>
      </c>
      <c r="J34" s="49">
        <f>Inputs!I14</f>
        <v>2.3217247097844007E-2</v>
      </c>
      <c r="K34" s="50"/>
      <c r="L34" s="196" t="s">
        <v>320</v>
      </c>
      <c r="M34" s="50"/>
      <c r="N34" s="15"/>
      <c r="O34" s="15"/>
      <c r="P34" s="15"/>
      <c r="Q34" s="15"/>
      <c r="R34" s="15"/>
      <c r="S34" s="15"/>
      <c r="T34" s="15"/>
      <c r="U34" s="15"/>
      <c r="V34" s="29"/>
    </row>
    <row r="35" spans="1:26">
      <c r="A35" s="119"/>
      <c r="B35" s="149"/>
      <c r="C35" s="122" t="str">
        <f>Inputs!B15</f>
        <v>2009 ΔCPI, 8 index, lagged, no GST adjustment</v>
      </c>
      <c r="D35" s="47"/>
      <c r="E35" s="49"/>
      <c r="F35" s="49"/>
      <c r="G35" s="49">
        <f>Inputs!F15</f>
        <v>1.6991832174541255E-2</v>
      </c>
      <c r="H35" s="49">
        <f>Inputs!G15</f>
        <v>2.0741514169093644E-2</v>
      </c>
      <c r="I35" s="49">
        <f>Inputs!H15</f>
        <v>2.3759818812291389E-2</v>
      </c>
      <c r="J35" s="49">
        <f>Inputs!I15</f>
        <v>2.2164443909808984E-2</v>
      </c>
      <c r="K35" s="50"/>
      <c r="L35" s="196" t="s">
        <v>321</v>
      </c>
      <c r="M35" s="50"/>
      <c r="N35" s="15"/>
      <c r="O35" s="15"/>
      <c r="P35" s="15"/>
      <c r="Q35" s="15"/>
      <c r="R35" s="15"/>
      <c r="S35" s="15"/>
      <c r="T35" s="15"/>
      <c r="U35" s="15"/>
      <c r="V35" s="29"/>
    </row>
    <row r="36" spans="1:26">
      <c r="A36" s="149"/>
      <c r="B36" s="149"/>
      <c r="C36" s="122" t="str">
        <f>Inputs!B16</f>
        <v>2012 ΔCPI, 8 index, lagged, no GST adjustment</v>
      </c>
      <c r="D36" s="50"/>
      <c r="E36" s="49"/>
      <c r="F36" s="49">
        <f>Inputs!E16</f>
        <v>2.465039108793543E-2</v>
      </c>
      <c r="G36" s="49">
        <f>Inputs!F16</f>
        <v>1.7811704834605591E-2</v>
      </c>
      <c r="H36" s="49">
        <f>Inputs!G16</f>
        <v>4.5909090909090899E-2</v>
      </c>
      <c r="I36" s="49">
        <f>Inputs!H16</f>
        <v>1.2820512820512775E-2</v>
      </c>
      <c r="J36" s="49">
        <f>Inputs!I16</f>
        <v>1.9725095732576747E-2</v>
      </c>
      <c r="K36" s="50"/>
      <c r="L36" s="196" t="s">
        <v>365</v>
      </c>
      <c r="M36" s="50"/>
      <c r="N36" s="15"/>
      <c r="O36" s="15"/>
      <c r="P36" s="15"/>
      <c r="Q36" s="15"/>
      <c r="R36" s="15"/>
      <c r="S36" s="15"/>
      <c r="T36" s="15"/>
      <c r="U36" s="15"/>
      <c r="V36" s="29"/>
    </row>
    <row r="37" spans="1:26" ht="15.75" thickBot="1">
      <c r="A37" s="149"/>
      <c r="B37" s="149"/>
      <c r="C37" s="122" t="str">
        <f>Inputs!B17</f>
        <v>2012 ΔCPI, 8 index, lagged, with GST adjustment</v>
      </c>
      <c r="D37" s="50"/>
      <c r="E37" s="49"/>
      <c r="F37" s="112">
        <f>Inputs!E17</f>
        <v>2.4650391087935652E-2</v>
      </c>
      <c r="G37" s="112">
        <f>Inputs!F17</f>
        <v>1.7811704834605369E-2</v>
      </c>
      <c r="H37" s="112">
        <f>Inputs!G17</f>
        <v>2.5401069518716568E-2</v>
      </c>
      <c r="I37" s="49">
        <f>Inputs!H17</f>
        <v>1.2820512820512775E-2</v>
      </c>
      <c r="J37" s="49">
        <f>Inputs!I17</f>
        <v>1.9725095732576747E-2</v>
      </c>
      <c r="K37" s="50"/>
      <c r="L37" s="219" t="s">
        <v>409</v>
      </c>
      <c r="M37" s="220"/>
      <c r="N37" s="220"/>
      <c r="O37" s="220"/>
      <c r="P37" s="220"/>
      <c r="Q37" s="220"/>
      <c r="R37" s="220"/>
      <c r="S37" s="220"/>
      <c r="T37" s="220"/>
      <c r="U37" s="220"/>
      <c r="V37" s="221"/>
    </row>
    <row r="38" spans="1:26">
      <c r="A38" s="149"/>
      <c r="B38" s="149"/>
      <c r="C38" s="122"/>
      <c r="D38" s="50"/>
      <c r="E38" s="49"/>
      <c r="F38" s="112"/>
      <c r="G38" s="112"/>
      <c r="H38" s="112"/>
      <c r="I38" s="49"/>
      <c r="J38" s="49"/>
      <c r="K38" s="49"/>
      <c r="L38" s="49"/>
      <c r="M38" s="49"/>
      <c r="N38" s="49"/>
      <c r="O38" s="49"/>
      <c r="P38" s="49"/>
      <c r="Q38" s="49"/>
      <c r="R38" s="49"/>
      <c r="S38" s="49"/>
      <c r="T38" s="49"/>
      <c r="U38" s="49"/>
      <c r="V38" s="49"/>
      <c r="W38" s="49"/>
      <c r="X38" s="49"/>
      <c r="Y38" s="49"/>
      <c r="Z38" s="49"/>
    </row>
    <row r="39" spans="1:26" ht="23.25">
      <c r="A39" s="50"/>
      <c r="B39" s="50"/>
      <c r="C39" s="1" t="s">
        <v>4</v>
      </c>
      <c r="D39" s="153" t="s">
        <v>36</v>
      </c>
      <c r="E39" s="153" t="s">
        <v>35</v>
      </c>
      <c r="F39" s="152"/>
      <c r="G39" s="152"/>
      <c r="H39" s="152"/>
      <c r="I39" s="152"/>
      <c r="J39" s="152"/>
      <c r="K39" s="152"/>
      <c r="L39" s="152"/>
      <c r="M39" s="152"/>
      <c r="N39" s="194"/>
      <c r="O39" s="194"/>
      <c r="P39" s="194"/>
    </row>
    <row r="40" spans="1:26">
      <c r="A40" s="50"/>
      <c r="B40" s="50"/>
      <c r="C40" s="50"/>
      <c r="D40" s="50"/>
      <c r="E40" s="154" t="s">
        <v>183</v>
      </c>
      <c r="F40" s="154" t="s">
        <v>184</v>
      </c>
      <c r="G40" s="154" t="s">
        <v>185</v>
      </c>
      <c r="H40" s="154" t="s">
        <v>186</v>
      </c>
      <c r="I40" s="154" t="s">
        <v>187</v>
      </c>
      <c r="J40" s="154" t="s">
        <v>188</v>
      </c>
      <c r="K40" s="154"/>
      <c r="L40" s="154"/>
      <c r="M40" s="48"/>
    </row>
    <row r="41" spans="1:26">
      <c r="A41" s="50"/>
      <c r="B41" s="50"/>
      <c r="C41" s="50" t="s">
        <v>129</v>
      </c>
      <c r="D41" s="50"/>
      <c r="E41" s="49">
        <f t="shared" ref="E41:J41" si="2">E33</f>
        <v>1.7233850022212005E-2</v>
      </c>
      <c r="F41" s="49">
        <f t="shared" si="2"/>
        <v>1.9812209526758329E-2</v>
      </c>
      <c r="G41" s="49">
        <f t="shared" si="2"/>
        <v>2.4339880629970168E-2</v>
      </c>
      <c r="H41" s="49">
        <f t="shared" si="2"/>
        <v>2.2893253753313525E-2</v>
      </c>
      <c r="I41" s="49">
        <f t="shared" si="2"/>
        <v>2.144662687665666E-2</v>
      </c>
      <c r="J41" s="49">
        <f t="shared" si="2"/>
        <v>2.0000000000000018E-2</v>
      </c>
      <c r="K41" s="51"/>
      <c r="L41" s="47"/>
      <c r="M41" s="15"/>
    </row>
    <row r="42" spans="1:26">
      <c r="A42" s="50"/>
      <c r="B42" s="50"/>
      <c r="C42" s="50" t="s">
        <v>163</v>
      </c>
      <c r="D42" s="50"/>
      <c r="E42" s="49"/>
      <c r="F42" s="49">
        <f>F34</f>
        <v>4.4667274384685429E-2</v>
      </c>
      <c r="G42" s="49">
        <f>G34</f>
        <v>1.5706806282722585E-2</v>
      </c>
      <c r="H42" s="49">
        <f>H34</f>
        <v>1.8041237113401998E-2</v>
      </c>
      <c r="I42" s="49">
        <f>I34</f>
        <v>1.7721518987341867E-2</v>
      </c>
      <c r="J42" s="49">
        <f>J34</f>
        <v>2.3217247097844007E-2</v>
      </c>
      <c r="K42" s="51"/>
      <c r="L42" s="47"/>
      <c r="M42" s="15"/>
    </row>
    <row r="43" spans="1:26">
      <c r="A43" s="50"/>
      <c r="B43" s="50"/>
      <c r="C43" s="50" t="s">
        <v>122</v>
      </c>
      <c r="D43" s="50"/>
      <c r="E43" s="130">
        <f>E23</f>
        <v>446.21476147772501</v>
      </c>
      <c r="F43" s="47">
        <f>E43*(1+F42)</f>
        <v>466.1459586631475</v>
      </c>
      <c r="G43" s="47">
        <f>F43*(1+G42)</f>
        <v>473.46762293534357</v>
      </c>
      <c r="H43" s="47">
        <f>G43*(1+H42)</f>
        <v>482.00956458623892</v>
      </c>
      <c r="I43" s="47">
        <f>H43*(1+I42)</f>
        <v>490.55150623713433</v>
      </c>
      <c r="J43" s="47">
        <f>I43*(1+J42)</f>
        <v>501.94076177166147</v>
      </c>
      <c r="K43" s="50"/>
      <c r="L43" s="47"/>
      <c r="M43" s="15"/>
    </row>
    <row r="44" spans="1:26">
      <c r="A44" s="50"/>
      <c r="B44" s="50"/>
      <c r="C44" s="50"/>
      <c r="D44" s="50"/>
      <c r="E44" s="51"/>
      <c r="F44" s="51"/>
      <c r="G44" s="51"/>
      <c r="H44" s="51"/>
      <c r="I44" s="51"/>
      <c r="J44" s="51"/>
      <c r="K44" s="51"/>
      <c r="L44" s="27"/>
      <c r="M44" s="15"/>
    </row>
    <row r="45" spans="1:26" ht="21">
      <c r="A45" s="50"/>
      <c r="B45" s="50"/>
      <c r="C45" s="155" t="s">
        <v>69</v>
      </c>
      <c r="D45" s="50"/>
      <c r="E45" s="50"/>
      <c r="F45" s="51"/>
      <c r="G45" s="51"/>
      <c r="H45" s="51"/>
      <c r="I45" s="51"/>
      <c r="J45" s="51"/>
      <c r="K45" s="51"/>
      <c r="L45" s="27"/>
      <c r="M45" s="15"/>
    </row>
    <row r="46" spans="1:26" ht="18">
      <c r="A46" s="50"/>
      <c r="B46" s="50"/>
      <c r="C46" s="50" t="s">
        <v>70</v>
      </c>
      <c r="D46" s="156">
        <f>'Timing Assumptions'!C23</f>
        <v>1.0428084742793051</v>
      </c>
      <c r="E46" s="50"/>
      <c r="F46" s="51"/>
      <c r="G46" s="51"/>
      <c r="H46" s="51"/>
      <c r="I46" s="51"/>
      <c r="J46" s="51"/>
      <c r="K46" s="51"/>
      <c r="L46" s="51"/>
      <c r="M46" s="15"/>
    </row>
    <row r="47" spans="1:26" ht="18">
      <c r="A47" s="50"/>
      <c r="B47" s="50"/>
      <c r="C47" s="50" t="s">
        <v>71</v>
      </c>
      <c r="D47" s="156">
        <f>'Timing Assumptions'!C24</f>
        <v>1.0428084742793051</v>
      </c>
      <c r="E47" s="50"/>
      <c r="F47" s="51"/>
      <c r="G47" s="51"/>
      <c r="H47" s="51"/>
      <c r="I47" s="51"/>
      <c r="J47" s="51"/>
      <c r="K47" s="51"/>
      <c r="L47" s="51"/>
      <c r="M47" s="15"/>
    </row>
    <row r="48" spans="1:26" ht="18">
      <c r="A48" s="50"/>
      <c r="B48" s="50"/>
      <c r="C48" s="50" t="s">
        <v>125</v>
      </c>
      <c r="D48" s="156">
        <f>'Timing Assumptions'!C25</f>
        <v>1.0428084742793051</v>
      </c>
      <c r="E48" s="50"/>
      <c r="F48" s="50"/>
      <c r="G48" s="51"/>
      <c r="H48" s="51"/>
      <c r="I48" s="51"/>
      <c r="J48" s="51"/>
      <c r="K48" s="95"/>
      <c r="L48" s="51"/>
      <c r="M48" s="15"/>
    </row>
    <row r="49" spans="1:16" ht="18">
      <c r="A49" s="50"/>
      <c r="B49" s="50"/>
      <c r="C49" s="50" t="s">
        <v>123</v>
      </c>
      <c r="D49" s="156">
        <f>'Timing Assumptions'!C26</f>
        <v>1.0428084742793051</v>
      </c>
      <c r="E49" s="50"/>
      <c r="F49" s="50"/>
      <c r="G49" s="51"/>
      <c r="H49" s="51"/>
      <c r="I49" s="51"/>
      <c r="J49" s="51"/>
      <c r="K49" s="95"/>
      <c r="L49" s="51"/>
      <c r="M49" s="15"/>
    </row>
    <row r="50" spans="1:16" ht="18">
      <c r="A50" s="50"/>
      <c r="B50" s="50"/>
      <c r="C50" s="50" t="s">
        <v>72</v>
      </c>
      <c r="D50" s="156">
        <f>'Timing Assumptions'!C27</f>
        <v>1.0346743941931567</v>
      </c>
      <c r="E50" s="51"/>
      <c r="F50" s="51"/>
      <c r="G50" s="51"/>
      <c r="H50" s="51"/>
      <c r="I50" s="50"/>
      <c r="J50" s="50"/>
      <c r="K50" s="95"/>
      <c r="L50" s="51"/>
      <c r="M50" s="15"/>
    </row>
    <row r="51" spans="1:16">
      <c r="A51" s="50"/>
      <c r="B51" s="50"/>
      <c r="C51" s="50"/>
      <c r="D51" s="50"/>
      <c r="E51" s="50"/>
      <c r="F51" s="50"/>
      <c r="G51" s="50"/>
      <c r="H51" s="50"/>
      <c r="I51" s="50"/>
      <c r="J51" s="50"/>
      <c r="K51" s="95"/>
      <c r="L51" s="27"/>
      <c r="M51" s="15"/>
    </row>
    <row r="52" spans="1:16" ht="21">
      <c r="A52" s="50"/>
      <c r="B52" s="50"/>
      <c r="C52" s="155" t="s">
        <v>105</v>
      </c>
      <c r="D52" s="155"/>
      <c r="E52" s="155"/>
      <c r="F52" s="155"/>
      <c r="G52" s="155"/>
      <c r="H52" s="155"/>
      <c r="I52" s="155"/>
      <c r="J52" s="155"/>
      <c r="K52" s="155"/>
      <c r="L52" s="157"/>
      <c r="M52" s="52"/>
      <c r="N52" s="2"/>
      <c r="O52" s="2"/>
      <c r="P52" s="2"/>
    </row>
    <row r="53" spans="1:16" ht="15.75">
      <c r="A53" s="50"/>
      <c r="B53" s="50"/>
      <c r="C53" s="158" t="s">
        <v>37</v>
      </c>
      <c r="D53" s="50"/>
      <c r="E53" s="159">
        <f>Inputs!D12</f>
        <v>0.3</v>
      </c>
      <c r="F53" s="159">
        <f>Inputs!E12</f>
        <v>0.3</v>
      </c>
      <c r="G53" s="159">
        <f>Inputs!F12</f>
        <v>0.28000000000000003</v>
      </c>
      <c r="H53" s="159">
        <f>Inputs!G12</f>
        <v>0.28000000000000003</v>
      </c>
      <c r="I53" s="159">
        <f>Inputs!H12</f>
        <v>0.28000000000000003</v>
      </c>
      <c r="J53" s="159">
        <f>Inputs!I12</f>
        <v>0.28000000000000003</v>
      </c>
      <c r="K53" s="95"/>
      <c r="L53" s="50"/>
      <c r="M53" s="15"/>
    </row>
    <row r="54" spans="1:16">
      <c r="A54" s="50"/>
      <c r="B54" s="50"/>
      <c r="C54" s="50" t="s">
        <v>38</v>
      </c>
      <c r="D54" s="50"/>
      <c r="E54" s="160">
        <f>E11/E14</f>
        <v>26.880386834068545</v>
      </c>
      <c r="F54" s="161">
        <f>E54-1</f>
        <v>25.880386834068545</v>
      </c>
      <c r="G54" s="161">
        <f>F54-1</f>
        <v>24.880386834068545</v>
      </c>
      <c r="H54" s="161">
        <f>G54-1</f>
        <v>23.880386834068545</v>
      </c>
      <c r="I54" s="161">
        <f>H54-1</f>
        <v>22.880386834068545</v>
      </c>
      <c r="J54" s="161">
        <f>I54-1</f>
        <v>21.880386834068545</v>
      </c>
      <c r="K54" s="95"/>
      <c r="L54" s="50"/>
      <c r="M54" s="15"/>
    </row>
    <row r="55" spans="1:16">
      <c r="A55" s="50"/>
      <c r="B55" s="50"/>
      <c r="C55" s="50" t="s">
        <v>159</v>
      </c>
      <c r="D55" s="50"/>
      <c r="E55" s="156"/>
      <c r="F55" s="49">
        <f>F34</f>
        <v>4.4667274384685429E-2</v>
      </c>
      <c r="G55" s="49">
        <f>G34</f>
        <v>1.5706806282722585E-2</v>
      </c>
      <c r="H55" s="49">
        <f>H34</f>
        <v>1.8041237113401998E-2</v>
      </c>
      <c r="I55" s="49">
        <f>I34</f>
        <v>1.7721518987341867E-2</v>
      </c>
      <c r="J55" s="49">
        <f>J34</f>
        <v>2.3217247097844007E-2</v>
      </c>
      <c r="K55" s="95"/>
      <c r="L55" s="50"/>
      <c r="M55" s="15"/>
    </row>
    <row r="56" spans="1:16">
      <c r="A56" s="50"/>
      <c r="B56" s="50"/>
      <c r="C56" s="50" t="s">
        <v>40</v>
      </c>
      <c r="D56" s="50"/>
      <c r="E56" s="129">
        <f>E15</f>
        <v>0</v>
      </c>
      <c r="F56" s="32">
        <f>E56*(1+F55)</f>
        <v>0</v>
      </c>
      <c r="G56" s="32">
        <f>F56*(1+G55)</f>
        <v>0</v>
      </c>
      <c r="H56" s="32">
        <f>G56*(1+H55)</f>
        <v>0</v>
      </c>
      <c r="I56" s="32">
        <f>H56*(1+I55)</f>
        <v>0</v>
      </c>
      <c r="J56" s="32">
        <f>I56*(1+J55)</f>
        <v>0</v>
      </c>
      <c r="K56" s="95"/>
      <c r="L56" s="50"/>
      <c r="M56" s="15"/>
    </row>
    <row r="57" spans="1:16">
      <c r="A57" s="50"/>
      <c r="B57" s="50"/>
      <c r="C57" s="50"/>
      <c r="D57" s="122"/>
      <c r="E57" s="50"/>
      <c r="F57" s="50"/>
      <c r="G57" s="50"/>
      <c r="H57" s="50"/>
      <c r="I57" s="50"/>
      <c r="J57" s="50"/>
      <c r="K57" s="95"/>
      <c r="L57" s="27"/>
      <c r="M57" s="15"/>
    </row>
    <row r="58" spans="1:16" ht="15.75">
      <c r="A58" s="50"/>
      <c r="B58" s="50"/>
      <c r="C58" s="162" t="s">
        <v>89</v>
      </c>
      <c r="D58" s="32"/>
      <c r="E58" s="163" t="str">
        <f>Inputs!D11</f>
        <v>2009/10</v>
      </c>
      <c r="F58" s="163" t="str">
        <f>Inputs!E11</f>
        <v>2010/11</v>
      </c>
      <c r="G58" s="163" t="str">
        <f>Inputs!F11</f>
        <v>2011/12</v>
      </c>
      <c r="H58" s="163" t="str">
        <f>Inputs!G11</f>
        <v>2012/13</v>
      </c>
      <c r="I58" s="163" t="str">
        <f>Inputs!H11</f>
        <v>2013/14</v>
      </c>
      <c r="J58" s="163" t="str">
        <f>Inputs!I11</f>
        <v>2014/15</v>
      </c>
      <c r="K58" s="95"/>
      <c r="L58" s="27"/>
      <c r="M58" s="15"/>
    </row>
    <row r="59" spans="1:16">
      <c r="A59" s="50"/>
      <c r="B59" s="50"/>
      <c r="C59" s="50" t="s">
        <v>110</v>
      </c>
      <c r="D59" s="50"/>
      <c r="E59" s="129">
        <f>E11</f>
        <v>158433</v>
      </c>
      <c r="F59" s="32">
        <f>E65</f>
        <v>155266.68015000856</v>
      </c>
      <c r="G59" s="32">
        <f>F65</f>
        <v>152340.38432531184</v>
      </c>
      <c r="H59" s="32">
        <f>G65</f>
        <v>149921.71254625937</v>
      </c>
      <c r="I59" s="32">
        <f>H65</f>
        <v>147072.44919108364</v>
      </c>
      <c r="J59" s="32">
        <f>I65</f>
        <v>143795.61994108357</v>
      </c>
      <c r="K59" s="95"/>
      <c r="L59" s="50"/>
      <c r="M59" s="15"/>
    </row>
    <row r="60" spans="1:16">
      <c r="A60" s="50"/>
      <c r="B60" s="50"/>
      <c r="C60" s="50" t="s">
        <v>40</v>
      </c>
      <c r="D60" s="32"/>
      <c r="E60" s="32">
        <f t="shared" ref="E60:J60" si="3">E56</f>
        <v>0</v>
      </c>
      <c r="F60" s="32">
        <f t="shared" si="3"/>
        <v>0</v>
      </c>
      <c r="G60" s="32">
        <f t="shared" si="3"/>
        <v>0</v>
      </c>
      <c r="H60" s="32">
        <f t="shared" si="3"/>
        <v>0</v>
      </c>
      <c r="I60" s="32">
        <f t="shared" si="3"/>
        <v>0</v>
      </c>
      <c r="J60" s="32">
        <f t="shared" si="3"/>
        <v>0</v>
      </c>
      <c r="K60" s="95"/>
      <c r="L60" s="50"/>
      <c r="M60" s="15"/>
    </row>
    <row r="61" spans="1:16">
      <c r="A61" s="50"/>
      <c r="B61" s="50"/>
      <c r="C61" s="50" t="s">
        <v>312</v>
      </c>
      <c r="D61" s="32"/>
      <c r="E61" s="32">
        <f>Ash!E12</f>
        <v>0</v>
      </c>
      <c r="F61" s="95"/>
      <c r="G61" s="95"/>
      <c r="H61" s="95"/>
      <c r="I61" s="95"/>
      <c r="J61" s="95"/>
      <c r="K61" s="95"/>
      <c r="L61" s="50"/>
      <c r="M61" s="15"/>
    </row>
    <row r="62" spans="1:16">
      <c r="A62" s="50"/>
      <c r="B62" s="50"/>
      <c r="C62" s="50" t="s">
        <v>313</v>
      </c>
      <c r="D62" s="32"/>
      <c r="E62" s="32">
        <f>Ash!E13</f>
        <v>0</v>
      </c>
      <c r="F62" s="95"/>
      <c r="G62" s="95"/>
      <c r="H62" s="95"/>
      <c r="I62" s="95"/>
      <c r="J62" s="95"/>
      <c r="K62" s="95"/>
      <c r="L62" s="50"/>
      <c r="M62" s="15"/>
    </row>
    <row r="63" spans="1:16">
      <c r="A63" s="50"/>
      <c r="B63" s="50"/>
      <c r="C63" s="50" t="s">
        <v>41</v>
      </c>
      <c r="D63" s="50"/>
      <c r="E63" s="32">
        <f t="shared" ref="E63:J63" si="4">(E59*0.999-E60)*E41</f>
        <v>2727.6801500085458</v>
      </c>
      <c r="F63" s="32">
        <f t="shared" si="4"/>
        <v>3073.0998236564819</v>
      </c>
      <c r="G63" s="32">
        <f t="shared" si="4"/>
        <v>3704.238822832267</v>
      </c>
      <c r="H63" s="32">
        <f t="shared" si="4"/>
        <v>3428.7636126443908</v>
      </c>
      <c r="I63" s="32">
        <f t="shared" si="4"/>
        <v>3151.0537336955781</v>
      </c>
      <c r="J63" s="32">
        <f t="shared" si="4"/>
        <v>2873.0364864228522</v>
      </c>
      <c r="K63" s="95"/>
      <c r="L63" s="50"/>
      <c r="M63" s="15"/>
    </row>
    <row r="64" spans="1:16">
      <c r="A64" s="50"/>
      <c r="B64" s="50"/>
      <c r="C64" s="50" t="s">
        <v>42</v>
      </c>
      <c r="D64" s="50"/>
      <c r="E64" s="129">
        <f>E14</f>
        <v>5894</v>
      </c>
      <c r="F64" s="32">
        <f>F59/F54</f>
        <v>5999.3956483532102</v>
      </c>
      <c r="G64" s="32">
        <f>G59/G54</f>
        <v>6122.9106018847415</v>
      </c>
      <c r="H64" s="32">
        <f>H59/H54</f>
        <v>6278.0269678201412</v>
      </c>
      <c r="I64" s="32">
        <f>I59/I54</f>
        <v>6427.8829836956693</v>
      </c>
      <c r="J64" s="32">
        <f>J59/J54</f>
        <v>6571.8956904906563</v>
      </c>
      <c r="K64" s="95"/>
      <c r="L64" s="50"/>
      <c r="M64" s="15"/>
    </row>
    <row r="65" spans="1:13">
      <c r="A65" s="50"/>
      <c r="B65" s="50"/>
      <c r="C65" s="50" t="s">
        <v>43</v>
      </c>
      <c r="D65" s="50"/>
      <c r="E65" s="129">
        <f>E59-E60-E61+E62+E63-E64</f>
        <v>155266.68015000856</v>
      </c>
      <c r="F65" s="32">
        <f>F59-F60+F63-F64</f>
        <v>152340.38432531184</v>
      </c>
      <c r="G65" s="32">
        <f>G59-G60+G63-G64</f>
        <v>149921.71254625937</v>
      </c>
      <c r="H65" s="32">
        <f>H59-H60+H63-H64</f>
        <v>147072.44919108364</v>
      </c>
      <c r="I65" s="32">
        <f>I59-I60+I63-I64</f>
        <v>143795.61994108357</v>
      </c>
      <c r="J65" s="32">
        <f>J59-J60+J63-J64</f>
        <v>140096.76073701575</v>
      </c>
      <c r="K65" s="95"/>
      <c r="L65" s="50"/>
      <c r="M65" s="15"/>
    </row>
    <row r="66" spans="1:13">
      <c r="A66" s="50"/>
      <c r="B66" s="50"/>
      <c r="C66" s="50"/>
      <c r="D66" s="50"/>
      <c r="E66" s="50"/>
      <c r="F66" s="50"/>
      <c r="G66" s="50"/>
      <c r="H66" s="50"/>
      <c r="I66" s="50"/>
      <c r="J66" s="50"/>
      <c r="K66" s="95"/>
      <c r="L66" s="27"/>
      <c r="M66" s="15"/>
    </row>
    <row r="67" spans="1:13" ht="15.75">
      <c r="A67" s="50"/>
      <c r="B67" s="50"/>
      <c r="C67" s="162" t="s">
        <v>67</v>
      </c>
      <c r="D67" s="50"/>
      <c r="E67" s="162" t="str">
        <f>Inputs!D$11</f>
        <v>2009/10</v>
      </c>
      <c r="F67" s="162" t="str">
        <f>Inputs!E$11</f>
        <v>2010/11</v>
      </c>
      <c r="G67" s="162" t="str">
        <f>Inputs!F$11</f>
        <v>2011/12</v>
      </c>
      <c r="H67" s="162" t="str">
        <f>Inputs!G$11</f>
        <v>2012/13</v>
      </c>
      <c r="I67" s="162" t="str">
        <f>Inputs!H$11</f>
        <v>2013/14</v>
      </c>
      <c r="J67" s="162" t="str">
        <f>Inputs!I$11</f>
        <v>2014/15</v>
      </c>
      <c r="K67" s="95"/>
      <c r="L67" s="27"/>
      <c r="M67" s="15"/>
    </row>
    <row r="68" spans="1:13">
      <c r="A68" s="50"/>
      <c r="B68" s="50"/>
      <c r="C68" s="164" t="s">
        <v>60</v>
      </c>
      <c r="D68" s="50"/>
      <c r="E68" s="192">
        <v>1</v>
      </c>
      <c r="F68" s="164">
        <f>E68+1</f>
        <v>2</v>
      </c>
      <c r="G68" s="164">
        <f>F68+1</f>
        <v>3</v>
      </c>
      <c r="H68" s="164">
        <f>G68+1</f>
        <v>4</v>
      </c>
      <c r="I68" s="164">
        <f>H68+1</f>
        <v>5</v>
      </c>
      <c r="J68" s="164">
        <f>I68+1</f>
        <v>6</v>
      </c>
      <c r="K68" s="95"/>
      <c r="L68" s="27"/>
      <c r="M68" s="15"/>
    </row>
    <row r="69" spans="1:13">
      <c r="A69" s="50"/>
      <c r="B69" s="50"/>
      <c r="C69" s="50" t="s">
        <v>39</v>
      </c>
      <c r="D69" s="32"/>
      <c r="E69" s="32">
        <f t="shared" ref="E69:J69" si="5">E$29</f>
        <v>14297</v>
      </c>
      <c r="F69" s="32">
        <f t="shared" si="5"/>
        <v>12717.914741623148</v>
      </c>
      <c r="G69" s="32">
        <f t="shared" si="5"/>
        <v>16295.628119961755</v>
      </c>
      <c r="H69" s="32">
        <f t="shared" si="5"/>
        <v>9830.6562620451514</v>
      </c>
      <c r="I69" s="32">
        <f t="shared" si="5"/>
        <v>11357.769713785836</v>
      </c>
      <c r="J69" s="32">
        <f t="shared" si="5"/>
        <v>12849.677016437978</v>
      </c>
      <c r="K69" s="95"/>
      <c r="L69" s="50"/>
      <c r="M69" s="15"/>
    </row>
    <row r="70" spans="1:13">
      <c r="A70" s="50">
        <v>1</v>
      </c>
      <c r="B70" s="50"/>
      <c r="C70" s="50" t="s">
        <v>254</v>
      </c>
      <c r="D70" s="50"/>
      <c r="E70" s="129">
        <v>0</v>
      </c>
      <c r="F70" s="32">
        <f t="shared" ref="F70:J75" si="6">E94</f>
        <v>14297</v>
      </c>
      <c r="G70" s="32">
        <f t="shared" si="6"/>
        <v>14262.544048492951</v>
      </c>
      <c r="H70" s="32">
        <f t="shared" si="6"/>
        <v>14285.543939738121</v>
      </c>
      <c r="I70" s="32">
        <f t="shared" si="6"/>
        <v>14280.364570067724</v>
      </c>
      <c r="J70" s="32">
        <f t="shared" si="6"/>
        <v>14246.621540424887</v>
      </c>
      <c r="K70" s="95"/>
      <c r="L70" s="50"/>
      <c r="M70" s="15"/>
    </row>
    <row r="71" spans="1:13">
      <c r="A71" s="50">
        <v>2</v>
      </c>
      <c r="B71" s="50"/>
      <c r="C71" s="50" t="s">
        <v>255</v>
      </c>
      <c r="D71" s="50"/>
      <c r="E71" s="129">
        <v>0</v>
      </c>
      <c r="F71" s="32">
        <f t="shared" si="6"/>
        <v>0</v>
      </c>
      <c r="G71" s="32">
        <f t="shared" si="6"/>
        <v>12717.914741623148</v>
      </c>
      <c r="H71" s="32">
        <f t="shared" si="6"/>
        <v>12744.846940704769</v>
      </c>
      <c r="I71" s="32">
        <f t="shared" si="6"/>
        <v>12746.96234347672</v>
      </c>
      <c r="J71" s="32">
        <f t="shared" si="6"/>
        <v>12723.900703936042</v>
      </c>
      <c r="K71" s="95"/>
      <c r="L71" s="50"/>
      <c r="M71" s="15"/>
    </row>
    <row r="72" spans="1:13">
      <c r="A72" s="50">
        <v>3</v>
      </c>
      <c r="B72" s="50"/>
      <c r="C72" s="50" t="s">
        <v>256</v>
      </c>
      <c r="D72" s="50"/>
      <c r="E72" s="129">
        <v>0</v>
      </c>
      <c r="F72" s="32">
        <f t="shared" si="6"/>
        <v>0</v>
      </c>
      <c r="G72" s="32">
        <f t="shared" si="6"/>
        <v>0</v>
      </c>
      <c r="H72" s="32">
        <f t="shared" si="6"/>
        <v>16295.628119961755</v>
      </c>
      <c r="I72" s="32">
        <f t="shared" si="6"/>
        <v>16306.563000249189</v>
      </c>
      <c r="J72" s="32">
        <f t="shared" si="6"/>
        <v>16285.680068005109</v>
      </c>
      <c r="K72" s="95"/>
      <c r="L72" s="50"/>
      <c r="M72" s="15"/>
    </row>
    <row r="73" spans="1:13">
      <c r="A73" s="50">
        <v>4</v>
      </c>
      <c r="B73" s="50"/>
      <c r="C73" s="50" t="s">
        <v>257</v>
      </c>
      <c r="D73" s="50"/>
      <c r="E73" s="129">
        <v>0</v>
      </c>
      <c r="F73" s="32">
        <f t="shared" si="6"/>
        <v>0</v>
      </c>
      <c r="G73" s="32">
        <f t="shared" si="6"/>
        <v>0</v>
      </c>
      <c r="H73" s="32">
        <f t="shared" si="6"/>
        <v>0</v>
      </c>
      <c r="I73" s="32">
        <f t="shared" si="6"/>
        <v>9830.6562620451514</v>
      </c>
      <c r="J73" s="32">
        <f t="shared" si="6"/>
        <v>9823.0316508044543</v>
      </c>
      <c r="K73" s="95"/>
      <c r="L73" s="50"/>
      <c r="M73" s="15"/>
    </row>
    <row r="74" spans="1:13">
      <c r="A74" s="50">
        <v>5</v>
      </c>
      <c r="B74" s="50"/>
      <c r="C74" s="50" t="s">
        <v>258</v>
      </c>
      <c r="D74" s="50"/>
      <c r="E74" s="129">
        <v>0</v>
      </c>
      <c r="F74" s="32">
        <f t="shared" si="6"/>
        <v>0</v>
      </c>
      <c r="G74" s="32">
        <f t="shared" si="6"/>
        <v>0</v>
      </c>
      <c r="H74" s="32">
        <f t="shared" si="6"/>
        <v>0</v>
      </c>
      <c r="I74" s="32">
        <f t="shared" si="6"/>
        <v>0</v>
      </c>
      <c r="J74" s="32">
        <f t="shared" si="6"/>
        <v>11357.769713785836</v>
      </c>
      <c r="K74" s="95"/>
      <c r="L74" s="50"/>
      <c r="M74" s="15"/>
    </row>
    <row r="75" spans="1:13">
      <c r="A75" s="50">
        <v>6</v>
      </c>
      <c r="B75" s="50"/>
      <c r="C75" s="50" t="s">
        <v>259</v>
      </c>
      <c r="D75" s="50"/>
      <c r="E75" s="129">
        <v>0</v>
      </c>
      <c r="F75" s="32">
        <f t="shared" si="6"/>
        <v>0</v>
      </c>
      <c r="G75" s="32">
        <f t="shared" si="6"/>
        <v>0</v>
      </c>
      <c r="H75" s="32">
        <f t="shared" si="6"/>
        <v>0</v>
      </c>
      <c r="I75" s="32">
        <f t="shared" si="6"/>
        <v>0</v>
      </c>
      <c r="J75" s="32">
        <f t="shared" si="6"/>
        <v>0</v>
      </c>
      <c r="K75" s="95"/>
      <c r="L75" s="50"/>
      <c r="M75" s="15"/>
    </row>
    <row r="76" spans="1:13">
      <c r="A76" s="50">
        <v>1</v>
      </c>
      <c r="B76" s="50"/>
      <c r="C76" s="50" t="s">
        <v>236</v>
      </c>
      <c r="D76" s="50"/>
      <c r="E76" s="129">
        <f>Inputs!$C$7+$A76</f>
        <v>46</v>
      </c>
      <c r="F76" s="32">
        <f t="shared" ref="F76:J81" si="7">E76-1</f>
        <v>45</v>
      </c>
      <c r="G76" s="32">
        <f t="shared" si="7"/>
        <v>44</v>
      </c>
      <c r="H76" s="32">
        <f t="shared" si="7"/>
        <v>43</v>
      </c>
      <c r="I76" s="32">
        <f t="shared" si="7"/>
        <v>42</v>
      </c>
      <c r="J76" s="32">
        <f t="shared" si="7"/>
        <v>41</v>
      </c>
      <c r="K76" s="95"/>
      <c r="L76" s="50"/>
      <c r="M76" s="15"/>
    </row>
    <row r="77" spans="1:13">
      <c r="A77" s="50">
        <v>2</v>
      </c>
      <c r="B77" s="50"/>
      <c r="C77" s="50" t="s">
        <v>237</v>
      </c>
      <c r="D77" s="50"/>
      <c r="E77" s="129">
        <f>Inputs!$C$7+$A77</f>
        <v>47</v>
      </c>
      <c r="F77" s="32">
        <f t="shared" si="7"/>
        <v>46</v>
      </c>
      <c r="G77" s="32">
        <f t="shared" si="7"/>
        <v>45</v>
      </c>
      <c r="H77" s="32">
        <f t="shared" si="7"/>
        <v>44</v>
      </c>
      <c r="I77" s="32">
        <f t="shared" si="7"/>
        <v>43</v>
      </c>
      <c r="J77" s="32">
        <f t="shared" si="7"/>
        <v>42</v>
      </c>
      <c r="K77" s="95"/>
      <c r="L77" s="50"/>
      <c r="M77" s="15"/>
    </row>
    <row r="78" spans="1:13">
      <c r="A78" s="50">
        <v>3</v>
      </c>
      <c r="B78" s="50"/>
      <c r="C78" s="50" t="s">
        <v>238</v>
      </c>
      <c r="D78" s="50"/>
      <c r="E78" s="129">
        <f>Inputs!$C$7+$A78</f>
        <v>48</v>
      </c>
      <c r="F78" s="32">
        <f t="shared" si="7"/>
        <v>47</v>
      </c>
      <c r="G78" s="32">
        <f t="shared" si="7"/>
        <v>46</v>
      </c>
      <c r="H78" s="32">
        <f t="shared" si="7"/>
        <v>45</v>
      </c>
      <c r="I78" s="32">
        <f t="shared" si="7"/>
        <v>44</v>
      </c>
      <c r="J78" s="32">
        <f t="shared" si="7"/>
        <v>43</v>
      </c>
      <c r="K78" s="95"/>
      <c r="L78" s="50"/>
      <c r="M78" s="15"/>
    </row>
    <row r="79" spans="1:13">
      <c r="A79" s="50">
        <v>4</v>
      </c>
      <c r="B79" s="50"/>
      <c r="C79" s="50" t="s">
        <v>239</v>
      </c>
      <c r="D79" s="50"/>
      <c r="E79" s="129">
        <f>Inputs!$C$7+$A79</f>
        <v>49</v>
      </c>
      <c r="F79" s="32">
        <f t="shared" si="7"/>
        <v>48</v>
      </c>
      <c r="G79" s="32">
        <f t="shared" si="7"/>
        <v>47</v>
      </c>
      <c r="H79" s="32">
        <f t="shared" si="7"/>
        <v>46</v>
      </c>
      <c r="I79" s="32">
        <f t="shared" si="7"/>
        <v>45</v>
      </c>
      <c r="J79" s="32">
        <f t="shared" si="7"/>
        <v>44</v>
      </c>
      <c r="K79" s="95"/>
      <c r="L79" s="50"/>
      <c r="M79" s="15"/>
    </row>
    <row r="80" spans="1:13">
      <c r="A80" s="50">
        <v>5</v>
      </c>
      <c r="B80" s="50"/>
      <c r="C80" s="50" t="s">
        <v>240</v>
      </c>
      <c r="D80" s="50"/>
      <c r="E80" s="129">
        <f>Inputs!$C$7+$A80</f>
        <v>50</v>
      </c>
      <c r="F80" s="32">
        <f t="shared" si="7"/>
        <v>49</v>
      </c>
      <c r="G80" s="32">
        <f t="shared" si="7"/>
        <v>48</v>
      </c>
      <c r="H80" s="32">
        <f t="shared" si="7"/>
        <v>47</v>
      </c>
      <c r="I80" s="32">
        <f t="shared" si="7"/>
        <v>46</v>
      </c>
      <c r="J80" s="32">
        <f t="shared" si="7"/>
        <v>45</v>
      </c>
      <c r="K80" s="95"/>
      <c r="L80" s="50"/>
      <c r="M80" s="15"/>
    </row>
    <row r="81" spans="1:13">
      <c r="A81" s="50">
        <v>6</v>
      </c>
      <c r="B81" s="50"/>
      <c r="C81" s="50" t="s">
        <v>241</v>
      </c>
      <c r="D81" s="50"/>
      <c r="E81" s="129">
        <f>Inputs!$C$7+$A81</f>
        <v>51</v>
      </c>
      <c r="F81" s="32">
        <f t="shared" si="7"/>
        <v>50</v>
      </c>
      <c r="G81" s="32">
        <f t="shared" si="7"/>
        <v>49</v>
      </c>
      <c r="H81" s="32">
        <f t="shared" si="7"/>
        <v>48</v>
      </c>
      <c r="I81" s="32">
        <f t="shared" si="7"/>
        <v>47</v>
      </c>
      <c r="J81" s="32">
        <f t="shared" si="7"/>
        <v>46</v>
      </c>
      <c r="K81" s="95"/>
      <c r="L81" s="50"/>
      <c r="M81" s="15"/>
    </row>
    <row r="82" spans="1:13">
      <c r="A82" s="50">
        <v>1</v>
      </c>
      <c r="B82" s="50"/>
      <c r="C82" s="50" t="s">
        <v>260</v>
      </c>
      <c r="D82" s="50"/>
      <c r="E82" s="32">
        <f t="shared" ref="E82:J87" si="8">E70*E$41</f>
        <v>0</v>
      </c>
      <c r="F82" s="32">
        <f t="shared" si="8"/>
        <v>283.25515960406381</v>
      </c>
      <c r="G82" s="32">
        <f t="shared" si="8"/>
        <v>347.14861962000987</v>
      </c>
      <c r="H82" s="32">
        <f t="shared" si="8"/>
        <v>327.04258241653503</v>
      </c>
      <c r="I82" s="32">
        <f t="shared" si="8"/>
        <v>306.26565059686999</v>
      </c>
      <c r="J82" s="32">
        <f t="shared" si="8"/>
        <v>284.932430808498</v>
      </c>
      <c r="K82" s="95"/>
      <c r="L82" s="50"/>
      <c r="M82" s="15"/>
    </row>
    <row r="83" spans="1:13">
      <c r="A83" s="50">
        <v>2</v>
      </c>
      <c r="B83" s="50"/>
      <c r="C83" s="50" t="s">
        <v>261</v>
      </c>
      <c r="D83" s="50"/>
      <c r="E83" s="32">
        <f t="shared" si="8"/>
        <v>0</v>
      </c>
      <c r="F83" s="32">
        <f t="shared" si="8"/>
        <v>0</v>
      </c>
      <c r="G83" s="32">
        <f t="shared" si="8"/>
        <v>309.55252667324532</v>
      </c>
      <c r="H83" s="32">
        <f t="shared" si="8"/>
        <v>291.77101506069585</v>
      </c>
      <c r="I83" s="32">
        <f t="shared" si="8"/>
        <v>273.37934519133819</v>
      </c>
      <c r="J83" s="32">
        <f t="shared" si="8"/>
        <v>254.47801407872106</v>
      </c>
      <c r="K83" s="95"/>
      <c r="L83" s="50"/>
      <c r="M83" s="15"/>
    </row>
    <row r="84" spans="1:13">
      <c r="A84" s="50">
        <v>3</v>
      </c>
      <c r="B84" s="50"/>
      <c r="C84" s="50" t="s">
        <v>262</v>
      </c>
      <c r="D84" s="50"/>
      <c r="E84" s="32">
        <f t="shared" si="8"/>
        <v>0</v>
      </c>
      <c r="F84" s="32">
        <f t="shared" si="8"/>
        <v>0</v>
      </c>
      <c r="G84" s="32">
        <f t="shared" si="8"/>
        <v>0</v>
      </c>
      <c r="H84" s="32">
        <f t="shared" si="8"/>
        <v>373.05994961991587</v>
      </c>
      <c r="I84" s="32">
        <f t="shared" si="8"/>
        <v>349.72077230703934</v>
      </c>
      <c r="J84" s="32">
        <f t="shared" si="8"/>
        <v>325.71360136010247</v>
      </c>
      <c r="K84" s="95"/>
      <c r="L84" s="50"/>
      <c r="M84" s="15"/>
    </row>
    <row r="85" spans="1:13">
      <c r="A85" s="50">
        <v>4</v>
      </c>
      <c r="B85" s="50"/>
      <c r="C85" s="50" t="s">
        <v>263</v>
      </c>
      <c r="D85" s="50"/>
      <c r="E85" s="32">
        <f t="shared" si="8"/>
        <v>0</v>
      </c>
      <c r="F85" s="32">
        <f t="shared" si="8"/>
        <v>0</v>
      </c>
      <c r="G85" s="32">
        <f t="shared" si="8"/>
        <v>0</v>
      </c>
      <c r="H85" s="32">
        <f t="shared" si="8"/>
        <v>0</v>
      </c>
      <c r="I85" s="32">
        <f t="shared" si="8"/>
        <v>210.83441680475065</v>
      </c>
      <c r="J85" s="32">
        <f t="shared" si="8"/>
        <v>196.46063301608925</v>
      </c>
      <c r="K85" s="95"/>
      <c r="L85" s="50"/>
      <c r="M85" s="15"/>
    </row>
    <row r="86" spans="1:13">
      <c r="A86" s="50">
        <v>5</v>
      </c>
      <c r="B86" s="50"/>
      <c r="C86" s="50" t="s">
        <v>264</v>
      </c>
      <c r="D86" s="50"/>
      <c r="E86" s="32">
        <f t="shared" si="8"/>
        <v>0</v>
      </c>
      <c r="F86" s="32">
        <f t="shared" si="8"/>
        <v>0</v>
      </c>
      <c r="G86" s="32">
        <f t="shared" si="8"/>
        <v>0</v>
      </c>
      <c r="H86" s="32">
        <f t="shared" si="8"/>
        <v>0</v>
      </c>
      <c r="I86" s="32">
        <f t="shared" si="8"/>
        <v>0</v>
      </c>
      <c r="J86" s="32">
        <f t="shared" si="8"/>
        <v>227.15539427571693</v>
      </c>
      <c r="K86" s="95"/>
      <c r="L86" s="50"/>
      <c r="M86" s="15"/>
    </row>
    <row r="87" spans="1:13">
      <c r="A87" s="50">
        <v>6</v>
      </c>
      <c r="B87" s="50"/>
      <c r="C87" s="50" t="s">
        <v>265</v>
      </c>
      <c r="D87" s="50"/>
      <c r="E87" s="32">
        <f t="shared" si="8"/>
        <v>0</v>
      </c>
      <c r="F87" s="32">
        <f t="shared" si="8"/>
        <v>0</v>
      </c>
      <c r="G87" s="32">
        <f t="shared" si="8"/>
        <v>0</v>
      </c>
      <c r="H87" s="32">
        <f t="shared" si="8"/>
        <v>0</v>
      </c>
      <c r="I87" s="32">
        <f t="shared" si="8"/>
        <v>0</v>
      </c>
      <c r="J87" s="32">
        <f t="shared" si="8"/>
        <v>0</v>
      </c>
      <c r="K87" s="95"/>
      <c r="L87" s="50"/>
      <c r="M87" s="15"/>
    </row>
    <row r="88" spans="1:13">
      <c r="A88" s="50">
        <v>1</v>
      </c>
      <c r="B88" s="50"/>
      <c r="C88" s="50" t="s">
        <v>266</v>
      </c>
      <c r="D88" s="50"/>
      <c r="E88" s="32">
        <f t="shared" ref="E88:J93" si="9">E70/E76</f>
        <v>0</v>
      </c>
      <c r="F88" s="32">
        <f t="shared" si="9"/>
        <v>317.71111111111111</v>
      </c>
      <c r="G88" s="32">
        <f t="shared" si="9"/>
        <v>324.14872837483978</v>
      </c>
      <c r="H88" s="32">
        <f t="shared" si="9"/>
        <v>332.22195208693307</v>
      </c>
      <c r="I88" s="32">
        <f t="shared" si="9"/>
        <v>340.0086802397077</v>
      </c>
      <c r="J88" s="32">
        <f t="shared" si="9"/>
        <v>347.47857415670455</v>
      </c>
      <c r="K88" s="95"/>
      <c r="L88" s="50"/>
      <c r="M88" s="15"/>
    </row>
    <row r="89" spans="1:13">
      <c r="A89" s="50">
        <v>2</v>
      </c>
      <c r="B89" s="50"/>
      <c r="C89" s="50" t="s">
        <v>267</v>
      </c>
      <c r="D89" s="50"/>
      <c r="E89" s="32">
        <f t="shared" si="9"/>
        <v>0</v>
      </c>
      <c r="F89" s="32">
        <f t="shared" si="9"/>
        <v>0</v>
      </c>
      <c r="G89" s="32">
        <f t="shared" si="9"/>
        <v>282.62032759162554</v>
      </c>
      <c r="H89" s="32">
        <f t="shared" si="9"/>
        <v>289.65561228874475</v>
      </c>
      <c r="I89" s="32">
        <f t="shared" si="9"/>
        <v>296.44098473201672</v>
      </c>
      <c r="J89" s="32">
        <f t="shared" si="9"/>
        <v>302.95001676038197</v>
      </c>
      <c r="K89" s="95"/>
      <c r="L89" s="50"/>
      <c r="M89" s="15"/>
    </row>
    <row r="90" spans="1:13">
      <c r="A90" s="50">
        <v>3</v>
      </c>
      <c r="B90" s="50"/>
      <c r="C90" s="50" t="s">
        <v>268</v>
      </c>
      <c r="D90" s="50"/>
      <c r="E90" s="32">
        <f t="shared" si="9"/>
        <v>0</v>
      </c>
      <c r="F90" s="32">
        <f t="shared" si="9"/>
        <v>0</v>
      </c>
      <c r="G90" s="32">
        <f t="shared" si="9"/>
        <v>0</v>
      </c>
      <c r="H90" s="32">
        <f t="shared" si="9"/>
        <v>362.12506933248346</v>
      </c>
      <c r="I90" s="32">
        <f t="shared" si="9"/>
        <v>370.60370455111791</v>
      </c>
      <c r="J90" s="32">
        <f t="shared" si="9"/>
        <v>378.73674576756071</v>
      </c>
      <c r="K90" s="95"/>
      <c r="L90" s="50"/>
      <c r="M90" s="15"/>
    </row>
    <row r="91" spans="1:13">
      <c r="A91" s="50">
        <v>4</v>
      </c>
      <c r="B91" s="50"/>
      <c r="C91" s="50" t="s">
        <v>269</v>
      </c>
      <c r="D91" s="50"/>
      <c r="E91" s="32">
        <f t="shared" si="9"/>
        <v>0</v>
      </c>
      <c r="F91" s="32">
        <f t="shared" si="9"/>
        <v>0</v>
      </c>
      <c r="G91" s="32">
        <f t="shared" si="9"/>
        <v>0</v>
      </c>
      <c r="H91" s="32">
        <f t="shared" si="9"/>
        <v>0</v>
      </c>
      <c r="I91" s="32">
        <f t="shared" si="9"/>
        <v>218.45902804544781</v>
      </c>
      <c r="J91" s="32">
        <f t="shared" si="9"/>
        <v>223.25071933646487</v>
      </c>
      <c r="K91" s="95"/>
      <c r="L91" s="50"/>
      <c r="M91" s="15"/>
    </row>
    <row r="92" spans="1:13">
      <c r="A92" s="50">
        <v>5</v>
      </c>
      <c r="B92" s="50"/>
      <c r="C92" s="50" t="s">
        <v>270</v>
      </c>
      <c r="D92" s="50"/>
      <c r="E92" s="32">
        <f t="shared" si="9"/>
        <v>0</v>
      </c>
      <c r="F92" s="32">
        <f t="shared" si="9"/>
        <v>0</v>
      </c>
      <c r="G92" s="32">
        <f t="shared" si="9"/>
        <v>0</v>
      </c>
      <c r="H92" s="32">
        <f t="shared" si="9"/>
        <v>0</v>
      </c>
      <c r="I92" s="32">
        <f t="shared" si="9"/>
        <v>0</v>
      </c>
      <c r="J92" s="32">
        <f t="shared" si="9"/>
        <v>252.39488252857413</v>
      </c>
      <c r="K92" s="95"/>
      <c r="L92" s="50"/>
      <c r="M92" s="15"/>
    </row>
    <row r="93" spans="1:13">
      <c r="A93" s="50">
        <v>6</v>
      </c>
      <c r="B93" s="50"/>
      <c r="C93" s="50" t="s">
        <v>271</v>
      </c>
      <c r="D93" s="50"/>
      <c r="E93" s="32">
        <f t="shared" si="9"/>
        <v>0</v>
      </c>
      <c r="F93" s="32">
        <f t="shared" si="9"/>
        <v>0</v>
      </c>
      <c r="G93" s="32">
        <f t="shared" si="9"/>
        <v>0</v>
      </c>
      <c r="H93" s="32">
        <f t="shared" si="9"/>
        <v>0</v>
      </c>
      <c r="I93" s="32">
        <f t="shared" si="9"/>
        <v>0</v>
      </c>
      <c r="J93" s="32">
        <f t="shared" si="9"/>
        <v>0</v>
      </c>
      <c r="K93" s="95"/>
      <c r="L93" s="50"/>
      <c r="M93" s="15"/>
    </row>
    <row r="94" spans="1:13">
      <c r="A94" s="50">
        <v>1</v>
      </c>
      <c r="B94" s="50"/>
      <c r="C94" s="50" t="s">
        <v>272</v>
      </c>
      <c r="D94" s="50"/>
      <c r="E94" s="32">
        <f t="shared" ref="E94:J99" si="10">E70+E82-E88+IF($A94=E$68,E$69,0)</f>
        <v>14297</v>
      </c>
      <c r="F94" s="32">
        <f t="shared" si="10"/>
        <v>14262.544048492951</v>
      </c>
      <c r="G94" s="32">
        <f t="shared" si="10"/>
        <v>14285.543939738121</v>
      </c>
      <c r="H94" s="32">
        <f t="shared" si="10"/>
        <v>14280.364570067724</v>
      </c>
      <c r="I94" s="32">
        <f t="shared" si="10"/>
        <v>14246.621540424887</v>
      </c>
      <c r="J94" s="32">
        <f t="shared" si="10"/>
        <v>14184.07539707668</v>
      </c>
      <c r="K94" s="95"/>
      <c r="L94" s="50"/>
      <c r="M94" s="15"/>
    </row>
    <row r="95" spans="1:13">
      <c r="A95" s="50">
        <v>2</v>
      </c>
      <c r="B95" s="50"/>
      <c r="C95" s="50" t="s">
        <v>273</v>
      </c>
      <c r="D95" s="50"/>
      <c r="E95" s="32">
        <f t="shared" si="10"/>
        <v>0</v>
      </c>
      <c r="F95" s="32">
        <f t="shared" si="10"/>
        <v>12717.914741623148</v>
      </c>
      <c r="G95" s="32">
        <f t="shared" si="10"/>
        <v>12744.846940704769</v>
      </c>
      <c r="H95" s="32">
        <f t="shared" si="10"/>
        <v>12746.96234347672</v>
      </c>
      <c r="I95" s="32">
        <f t="shared" si="10"/>
        <v>12723.900703936042</v>
      </c>
      <c r="J95" s="32">
        <f t="shared" si="10"/>
        <v>12675.428701254381</v>
      </c>
      <c r="K95" s="95"/>
      <c r="L95" s="50"/>
      <c r="M95" s="15"/>
    </row>
    <row r="96" spans="1:13">
      <c r="A96" s="50">
        <v>3</v>
      </c>
      <c r="B96" s="50"/>
      <c r="C96" s="50" t="s">
        <v>274</v>
      </c>
      <c r="D96" s="50"/>
      <c r="E96" s="32">
        <f t="shared" si="10"/>
        <v>0</v>
      </c>
      <c r="F96" s="32">
        <f t="shared" si="10"/>
        <v>0</v>
      </c>
      <c r="G96" s="32">
        <f t="shared" si="10"/>
        <v>16295.628119961755</v>
      </c>
      <c r="H96" s="32">
        <f t="shared" si="10"/>
        <v>16306.563000249189</v>
      </c>
      <c r="I96" s="32">
        <f t="shared" si="10"/>
        <v>16285.680068005109</v>
      </c>
      <c r="J96" s="32">
        <f t="shared" si="10"/>
        <v>16232.656923597649</v>
      </c>
      <c r="K96" s="95"/>
      <c r="L96" s="50"/>
      <c r="M96" s="15"/>
    </row>
    <row r="97" spans="1:13">
      <c r="A97" s="50">
        <v>4</v>
      </c>
      <c r="B97" s="50"/>
      <c r="C97" s="50" t="s">
        <v>275</v>
      </c>
      <c r="D97" s="50"/>
      <c r="E97" s="32">
        <f t="shared" si="10"/>
        <v>0</v>
      </c>
      <c r="F97" s="32">
        <f t="shared" si="10"/>
        <v>0</v>
      </c>
      <c r="G97" s="32">
        <f t="shared" si="10"/>
        <v>0</v>
      </c>
      <c r="H97" s="32">
        <f t="shared" si="10"/>
        <v>9830.6562620451514</v>
      </c>
      <c r="I97" s="32">
        <f t="shared" si="10"/>
        <v>9823.0316508044543</v>
      </c>
      <c r="J97" s="32">
        <f t="shared" si="10"/>
        <v>9796.2415644840785</v>
      </c>
      <c r="K97" s="95"/>
      <c r="L97" s="50"/>
      <c r="M97" s="15"/>
    </row>
    <row r="98" spans="1:13">
      <c r="A98" s="50">
        <v>5</v>
      </c>
      <c r="B98" s="50"/>
      <c r="C98" s="50" t="s">
        <v>276</v>
      </c>
      <c r="D98" s="50"/>
      <c r="E98" s="32">
        <f t="shared" si="10"/>
        <v>0</v>
      </c>
      <c r="F98" s="32">
        <f t="shared" si="10"/>
        <v>0</v>
      </c>
      <c r="G98" s="32">
        <f t="shared" si="10"/>
        <v>0</v>
      </c>
      <c r="H98" s="32">
        <f t="shared" si="10"/>
        <v>0</v>
      </c>
      <c r="I98" s="32">
        <f t="shared" si="10"/>
        <v>11357.769713785836</v>
      </c>
      <c r="J98" s="32">
        <f t="shared" si="10"/>
        <v>11332.530225532979</v>
      </c>
      <c r="K98" s="95"/>
      <c r="L98" s="50"/>
      <c r="M98" s="15"/>
    </row>
    <row r="99" spans="1:13">
      <c r="A99" s="50">
        <v>6</v>
      </c>
      <c r="B99" s="50"/>
      <c r="C99" s="50" t="s">
        <v>277</v>
      </c>
      <c r="D99" s="50"/>
      <c r="E99" s="32">
        <f t="shared" si="10"/>
        <v>0</v>
      </c>
      <c r="F99" s="32">
        <f t="shared" si="10"/>
        <v>0</v>
      </c>
      <c r="G99" s="32">
        <f t="shared" si="10"/>
        <v>0</v>
      </c>
      <c r="H99" s="32">
        <f t="shared" si="10"/>
        <v>0</v>
      </c>
      <c r="I99" s="32">
        <f t="shared" si="10"/>
        <v>0</v>
      </c>
      <c r="J99" s="32">
        <f t="shared" si="10"/>
        <v>12849.677016437978</v>
      </c>
      <c r="K99" s="95"/>
      <c r="L99" s="50"/>
      <c r="M99" s="15"/>
    </row>
    <row r="100" spans="1:13">
      <c r="A100" s="50"/>
      <c r="B100" s="50"/>
      <c r="C100" s="50" t="s">
        <v>146</v>
      </c>
      <c r="D100" s="50"/>
      <c r="E100" s="32">
        <f t="shared" ref="E100:J100" si="11">SUM(E70:E75)</f>
        <v>0</v>
      </c>
      <c r="F100" s="32">
        <f t="shared" si="11"/>
        <v>14297</v>
      </c>
      <c r="G100" s="32">
        <f t="shared" si="11"/>
        <v>26980.458790116099</v>
      </c>
      <c r="H100" s="32">
        <f t="shared" si="11"/>
        <v>43326.019000404645</v>
      </c>
      <c r="I100" s="32">
        <f t="shared" si="11"/>
        <v>53164.546175838783</v>
      </c>
      <c r="J100" s="32">
        <f t="shared" si="11"/>
        <v>64437.00367695633</v>
      </c>
      <c r="K100" s="95"/>
      <c r="L100" s="27"/>
      <c r="M100" s="15"/>
    </row>
    <row r="101" spans="1:13">
      <c r="A101" s="50"/>
      <c r="B101" s="50"/>
      <c r="C101" s="50" t="s">
        <v>147</v>
      </c>
      <c r="D101" s="50"/>
      <c r="E101" s="32">
        <f t="shared" ref="E101:J101" si="12">SUM(E82:E87)</f>
        <v>0</v>
      </c>
      <c r="F101" s="32">
        <f t="shared" si="12"/>
        <v>283.25515960406381</v>
      </c>
      <c r="G101" s="32">
        <f t="shared" si="12"/>
        <v>656.70114629325519</v>
      </c>
      <c r="H101" s="32">
        <f t="shared" si="12"/>
        <v>991.87354709714668</v>
      </c>
      <c r="I101" s="32">
        <f t="shared" si="12"/>
        <v>1140.2001848999982</v>
      </c>
      <c r="J101" s="32">
        <f t="shared" si="12"/>
        <v>1288.7400735391277</v>
      </c>
      <c r="K101" s="95"/>
      <c r="L101" s="27"/>
      <c r="M101" s="15"/>
    </row>
    <row r="102" spans="1:13">
      <c r="A102" s="50"/>
      <c r="B102" s="50"/>
      <c r="C102" s="50" t="s">
        <v>68</v>
      </c>
      <c r="D102" s="50"/>
      <c r="E102" s="32">
        <f t="shared" ref="E102:J102" si="13">SUM(E88:E93)</f>
        <v>0</v>
      </c>
      <c r="F102" s="32">
        <f t="shared" si="13"/>
        <v>317.71111111111111</v>
      </c>
      <c r="G102" s="32">
        <f t="shared" si="13"/>
        <v>606.76905596646532</v>
      </c>
      <c r="H102" s="32">
        <f t="shared" si="13"/>
        <v>984.00263370816128</v>
      </c>
      <c r="I102" s="32">
        <f t="shared" si="13"/>
        <v>1225.5123975682902</v>
      </c>
      <c r="J102" s="32">
        <f t="shared" si="13"/>
        <v>1504.8109385496862</v>
      </c>
      <c r="K102" s="95"/>
      <c r="L102" s="27"/>
      <c r="M102" s="15"/>
    </row>
    <row r="103" spans="1:13">
      <c r="A103" s="50"/>
      <c r="B103" s="50"/>
      <c r="C103" s="50" t="s">
        <v>148</v>
      </c>
      <c r="D103" s="50"/>
      <c r="E103" s="32">
        <f t="shared" ref="E103:J103" si="14">SUM(E94:E99)</f>
        <v>14297</v>
      </c>
      <c r="F103" s="32">
        <f t="shared" si="14"/>
        <v>26980.458790116099</v>
      </c>
      <c r="G103" s="32">
        <f t="shared" si="14"/>
        <v>43326.019000404645</v>
      </c>
      <c r="H103" s="32">
        <f t="shared" si="14"/>
        <v>53164.546175838783</v>
      </c>
      <c r="I103" s="32">
        <f t="shared" si="14"/>
        <v>64437.00367695633</v>
      </c>
      <c r="J103" s="32">
        <f t="shared" si="14"/>
        <v>77070.609828383749</v>
      </c>
      <c r="K103" s="95"/>
      <c r="L103" s="50"/>
      <c r="M103" s="15"/>
    </row>
    <row r="104" spans="1:13">
      <c r="A104" s="50"/>
      <c r="B104" s="50"/>
      <c r="C104" s="50"/>
      <c r="D104" s="50"/>
      <c r="E104" s="32"/>
      <c r="F104" s="32"/>
      <c r="G104" s="32"/>
      <c r="H104" s="32"/>
      <c r="I104" s="32"/>
      <c r="J104" s="32"/>
      <c r="K104" s="95"/>
      <c r="L104" s="50"/>
      <c r="M104" s="15"/>
    </row>
    <row r="105" spans="1:13" ht="15.75">
      <c r="A105" s="50"/>
      <c r="B105" s="50"/>
      <c r="C105" s="162" t="s">
        <v>121</v>
      </c>
      <c r="D105" s="50"/>
      <c r="E105" s="162" t="str">
        <f>Inputs!D$11</f>
        <v>2009/10</v>
      </c>
      <c r="F105" s="162" t="str">
        <f>Inputs!E$11</f>
        <v>2010/11</v>
      </c>
      <c r="G105" s="162" t="str">
        <f>Inputs!F$11</f>
        <v>2011/12</v>
      </c>
      <c r="H105" s="162" t="str">
        <f>Inputs!G$11</f>
        <v>2012/13</v>
      </c>
      <c r="I105" s="162" t="str">
        <f>Inputs!H$11</f>
        <v>2013/14</v>
      </c>
      <c r="J105" s="162" t="str">
        <f>Inputs!I$11</f>
        <v>2014/15</v>
      </c>
      <c r="K105" s="95"/>
      <c r="L105" s="50"/>
      <c r="M105" s="15"/>
    </row>
    <row r="106" spans="1:13">
      <c r="A106" s="50"/>
      <c r="B106" s="50"/>
      <c r="C106" s="164" t="s">
        <v>60</v>
      </c>
      <c r="D106" s="50"/>
      <c r="E106" s="164">
        <v>1</v>
      </c>
      <c r="F106" s="164">
        <v>2</v>
      </c>
      <c r="G106" s="164">
        <v>3</v>
      </c>
      <c r="H106" s="164">
        <v>4</v>
      </c>
      <c r="I106" s="164">
        <v>5</v>
      </c>
      <c r="J106" s="164">
        <v>6</v>
      </c>
      <c r="K106" s="95"/>
      <c r="L106" s="50"/>
      <c r="M106" s="15"/>
    </row>
    <row r="107" spans="1:13">
      <c r="A107" s="50"/>
      <c r="B107" s="50"/>
      <c r="C107" s="50" t="s">
        <v>39</v>
      </c>
      <c r="D107" s="32"/>
      <c r="E107" s="32">
        <f t="shared" ref="E107:J107" si="15">E$29</f>
        <v>14297</v>
      </c>
      <c r="F107" s="32">
        <f t="shared" si="15"/>
        <v>12717.914741623148</v>
      </c>
      <c r="G107" s="32">
        <f t="shared" si="15"/>
        <v>16295.628119961755</v>
      </c>
      <c r="H107" s="32">
        <f t="shared" si="15"/>
        <v>9830.6562620451514</v>
      </c>
      <c r="I107" s="32">
        <f t="shared" si="15"/>
        <v>11357.769713785836</v>
      </c>
      <c r="J107" s="32">
        <f t="shared" si="15"/>
        <v>12849.677016437978</v>
      </c>
      <c r="K107" s="95"/>
      <c r="L107" s="50"/>
      <c r="M107" s="15"/>
    </row>
    <row r="108" spans="1:13">
      <c r="A108" s="50">
        <v>1</v>
      </c>
      <c r="B108" s="50"/>
      <c r="C108" s="50" t="s">
        <v>230</v>
      </c>
      <c r="D108" s="50"/>
      <c r="E108" s="129">
        <v>0</v>
      </c>
      <c r="F108" s="32">
        <f t="shared" ref="F108:J113" si="16">E126</f>
        <v>14297</v>
      </c>
      <c r="G108" s="32">
        <f t="shared" si="16"/>
        <v>13979.288888888888</v>
      </c>
      <c r="H108" s="32">
        <f t="shared" si="16"/>
        <v>13661.577777777777</v>
      </c>
      <c r="I108" s="32">
        <f t="shared" si="16"/>
        <v>13343.866666666665</v>
      </c>
      <c r="J108" s="32">
        <f t="shared" si="16"/>
        <v>13026.155555555553</v>
      </c>
      <c r="K108" s="95"/>
      <c r="L108" s="50"/>
      <c r="M108" s="15"/>
    </row>
    <row r="109" spans="1:13">
      <c r="A109" s="50">
        <v>2</v>
      </c>
      <c r="B109" s="50"/>
      <c r="C109" s="50" t="s">
        <v>231</v>
      </c>
      <c r="D109" s="50"/>
      <c r="E109" s="129">
        <v>0</v>
      </c>
      <c r="F109" s="32">
        <f t="shared" si="16"/>
        <v>0</v>
      </c>
      <c r="G109" s="32">
        <f t="shared" si="16"/>
        <v>12717.914741623148</v>
      </c>
      <c r="H109" s="32">
        <f t="shared" si="16"/>
        <v>12435.294414031523</v>
      </c>
      <c r="I109" s="32">
        <f t="shared" si="16"/>
        <v>12152.674086439898</v>
      </c>
      <c r="J109" s="32">
        <f t="shared" si="16"/>
        <v>11870.053758848273</v>
      </c>
      <c r="K109" s="95"/>
      <c r="L109" s="50"/>
      <c r="M109" s="15"/>
    </row>
    <row r="110" spans="1:13">
      <c r="A110" s="50">
        <v>3</v>
      </c>
      <c r="B110" s="50"/>
      <c r="C110" s="50" t="s">
        <v>232</v>
      </c>
      <c r="D110" s="50"/>
      <c r="E110" s="129">
        <v>0</v>
      </c>
      <c r="F110" s="32">
        <f t="shared" si="16"/>
        <v>0</v>
      </c>
      <c r="G110" s="32">
        <f t="shared" si="16"/>
        <v>0</v>
      </c>
      <c r="H110" s="32">
        <f t="shared" si="16"/>
        <v>16295.628119961755</v>
      </c>
      <c r="I110" s="32">
        <f t="shared" si="16"/>
        <v>15933.503050629271</v>
      </c>
      <c r="J110" s="32">
        <f t="shared" si="16"/>
        <v>15571.377981296788</v>
      </c>
      <c r="K110" s="95"/>
      <c r="L110" s="50"/>
      <c r="M110" s="15"/>
    </row>
    <row r="111" spans="1:13">
      <c r="A111" s="50">
        <v>4</v>
      </c>
      <c r="B111" s="50"/>
      <c r="C111" s="50" t="s">
        <v>233</v>
      </c>
      <c r="D111" s="50"/>
      <c r="E111" s="129">
        <v>0</v>
      </c>
      <c r="F111" s="32">
        <f t="shared" si="16"/>
        <v>0</v>
      </c>
      <c r="G111" s="32">
        <f t="shared" si="16"/>
        <v>0</v>
      </c>
      <c r="H111" s="32">
        <f t="shared" si="16"/>
        <v>0</v>
      </c>
      <c r="I111" s="32">
        <f t="shared" si="16"/>
        <v>9830.6562620451514</v>
      </c>
      <c r="J111" s="32">
        <f t="shared" si="16"/>
        <v>9612.1972339997028</v>
      </c>
      <c r="K111" s="95"/>
      <c r="L111" s="50"/>
      <c r="M111" s="15"/>
    </row>
    <row r="112" spans="1:13">
      <c r="A112" s="50">
        <v>5</v>
      </c>
      <c r="B112" s="50"/>
      <c r="C112" s="50" t="s">
        <v>234</v>
      </c>
      <c r="D112" s="50"/>
      <c r="E112" s="129">
        <v>0</v>
      </c>
      <c r="F112" s="32">
        <f t="shared" si="16"/>
        <v>0</v>
      </c>
      <c r="G112" s="32">
        <f t="shared" si="16"/>
        <v>0</v>
      </c>
      <c r="H112" s="32">
        <f t="shared" si="16"/>
        <v>0</v>
      </c>
      <c r="I112" s="32">
        <f t="shared" si="16"/>
        <v>0</v>
      </c>
      <c r="J112" s="32">
        <f t="shared" si="16"/>
        <v>11357.769713785836</v>
      </c>
      <c r="K112" s="95"/>
      <c r="L112" s="50"/>
      <c r="M112" s="15"/>
    </row>
    <row r="113" spans="1:13">
      <c r="A113" s="50">
        <v>6</v>
      </c>
      <c r="B113" s="50"/>
      <c r="C113" s="50" t="s">
        <v>235</v>
      </c>
      <c r="D113" s="50"/>
      <c r="E113" s="129">
        <v>0</v>
      </c>
      <c r="F113" s="32">
        <f t="shared" si="16"/>
        <v>0</v>
      </c>
      <c r="G113" s="32">
        <f t="shared" si="16"/>
        <v>0</v>
      </c>
      <c r="H113" s="32">
        <f t="shared" si="16"/>
        <v>0</v>
      </c>
      <c r="I113" s="32">
        <f t="shared" si="16"/>
        <v>0</v>
      </c>
      <c r="J113" s="32">
        <f t="shared" si="16"/>
        <v>0</v>
      </c>
      <c r="K113" s="95"/>
      <c r="L113" s="50"/>
      <c r="M113" s="15"/>
    </row>
    <row r="114" spans="1:13">
      <c r="A114" s="50">
        <v>1</v>
      </c>
      <c r="B114" s="50"/>
      <c r="C114" s="50" t="s">
        <v>236</v>
      </c>
      <c r="D114" s="50"/>
      <c r="E114" s="129">
        <f>Inputs!$C$7+$A114</f>
        <v>46</v>
      </c>
      <c r="F114" s="32">
        <f t="shared" ref="F114:J119" si="17">E114-1</f>
        <v>45</v>
      </c>
      <c r="G114" s="32">
        <f t="shared" si="17"/>
        <v>44</v>
      </c>
      <c r="H114" s="32">
        <f t="shared" si="17"/>
        <v>43</v>
      </c>
      <c r="I114" s="32">
        <f t="shared" si="17"/>
        <v>42</v>
      </c>
      <c r="J114" s="32">
        <f t="shared" si="17"/>
        <v>41</v>
      </c>
      <c r="K114" s="95"/>
      <c r="L114" s="50"/>
      <c r="M114" s="15"/>
    </row>
    <row r="115" spans="1:13">
      <c r="A115" s="50">
        <v>2</v>
      </c>
      <c r="B115" s="50"/>
      <c r="C115" s="50" t="s">
        <v>237</v>
      </c>
      <c r="D115" s="50"/>
      <c r="E115" s="129">
        <f>Inputs!$C$7+$A115</f>
        <v>47</v>
      </c>
      <c r="F115" s="32">
        <f t="shared" si="17"/>
        <v>46</v>
      </c>
      <c r="G115" s="32">
        <f t="shared" si="17"/>
        <v>45</v>
      </c>
      <c r="H115" s="32">
        <f t="shared" si="17"/>
        <v>44</v>
      </c>
      <c r="I115" s="32">
        <f t="shared" si="17"/>
        <v>43</v>
      </c>
      <c r="J115" s="32">
        <f t="shared" si="17"/>
        <v>42</v>
      </c>
      <c r="K115" s="95"/>
      <c r="L115" s="50"/>
      <c r="M115" s="15"/>
    </row>
    <row r="116" spans="1:13">
      <c r="A116" s="50">
        <v>3</v>
      </c>
      <c r="B116" s="50"/>
      <c r="C116" s="50" t="s">
        <v>238</v>
      </c>
      <c r="D116" s="50"/>
      <c r="E116" s="129">
        <f>Inputs!$C$7+$A116</f>
        <v>48</v>
      </c>
      <c r="F116" s="32">
        <f t="shared" si="17"/>
        <v>47</v>
      </c>
      <c r="G116" s="32">
        <f t="shared" si="17"/>
        <v>46</v>
      </c>
      <c r="H116" s="32">
        <f t="shared" si="17"/>
        <v>45</v>
      </c>
      <c r="I116" s="32">
        <f t="shared" si="17"/>
        <v>44</v>
      </c>
      <c r="J116" s="32">
        <f t="shared" si="17"/>
        <v>43</v>
      </c>
      <c r="K116" s="95"/>
      <c r="L116" s="50"/>
      <c r="M116" s="15"/>
    </row>
    <row r="117" spans="1:13">
      <c r="A117" s="50">
        <v>4</v>
      </c>
      <c r="B117" s="50"/>
      <c r="C117" s="50" t="s">
        <v>239</v>
      </c>
      <c r="D117" s="50"/>
      <c r="E117" s="129">
        <f>Inputs!$C$7+$A117</f>
        <v>49</v>
      </c>
      <c r="F117" s="32">
        <f t="shared" si="17"/>
        <v>48</v>
      </c>
      <c r="G117" s="32">
        <f t="shared" si="17"/>
        <v>47</v>
      </c>
      <c r="H117" s="32">
        <f t="shared" si="17"/>
        <v>46</v>
      </c>
      <c r="I117" s="32">
        <f t="shared" si="17"/>
        <v>45</v>
      </c>
      <c r="J117" s="32">
        <f t="shared" si="17"/>
        <v>44</v>
      </c>
      <c r="K117" s="95"/>
      <c r="L117" s="50"/>
      <c r="M117" s="15"/>
    </row>
    <row r="118" spans="1:13">
      <c r="A118" s="50">
        <v>5</v>
      </c>
      <c r="B118" s="50"/>
      <c r="C118" s="50" t="s">
        <v>240</v>
      </c>
      <c r="D118" s="50"/>
      <c r="E118" s="129">
        <f>Inputs!$C$7+$A118</f>
        <v>50</v>
      </c>
      <c r="F118" s="32">
        <f t="shared" si="17"/>
        <v>49</v>
      </c>
      <c r="G118" s="32">
        <f t="shared" si="17"/>
        <v>48</v>
      </c>
      <c r="H118" s="32">
        <f t="shared" si="17"/>
        <v>47</v>
      </c>
      <c r="I118" s="32">
        <f t="shared" si="17"/>
        <v>46</v>
      </c>
      <c r="J118" s="32">
        <f t="shared" si="17"/>
        <v>45</v>
      </c>
      <c r="K118" s="95"/>
      <c r="L118" s="50"/>
      <c r="M118" s="15"/>
    </row>
    <row r="119" spans="1:13">
      <c r="A119" s="50">
        <v>6</v>
      </c>
      <c r="B119" s="50"/>
      <c r="C119" s="50" t="s">
        <v>241</v>
      </c>
      <c r="D119" s="50"/>
      <c r="E119" s="129">
        <f>Inputs!$C$7+$A119</f>
        <v>51</v>
      </c>
      <c r="F119" s="32">
        <f t="shared" si="17"/>
        <v>50</v>
      </c>
      <c r="G119" s="32">
        <f t="shared" si="17"/>
        <v>49</v>
      </c>
      <c r="H119" s="32">
        <f t="shared" si="17"/>
        <v>48</v>
      </c>
      <c r="I119" s="32">
        <f t="shared" si="17"/>
        <v>47</v>
      </c>
      <c r="J119" s="32">
        <f t="shared" si="17"/>
        <v>46</v>
      </c>
      <c r="K119" s="95"/>
      <c r="L119" s="50"/>
      <c r="M119" s="15"/>
    </row>
    <row r="120" spans="1:13">
      <c r="A120" s="50">
        <v>1</v>
      </c>
      <c r="B120" s="50"/>
      <c r="C120" s="50" t="s">
        <v>242</v>
      </c>
      <c r="D120" s="50"/>
      <c r="E120" s="32">
        <f t="shared" ref="E120:J125" si="18">E108/E114</f>
        <v>0</v>
      </c>
      <c r="F120" s="32">
        <f t="shared" si="18"/>
        <v>317.71111111111111</v>
      </c>
      <c r="G120" s="32">
        <f t="shared" si="18"/>
        <v>317.71111111111111</v>
      </c>
      <c r="H120" s="32">
        <f t="shared" si="18"/>
        <v>317.71111111111111</v>
      </c>
      <c r="I120" s="32">
        <f t="shared" si="18"/>
        <v>317.71111111111105</v>
      </c>
      <c r="J120" s="32">
        <f t="shared" si="18"/>
        <v>317.71111111111105</v>
      </c>
      <c r="K120" s="95"/>
      <c r="L120" s="50"/>
      <c r="M120" s="15"/>
    </row>
    <row r="121" spans="1:13">
      <c r="A121" s="50">
        <v>2</v>
      </c>
      <c r="B121" s="50"/>
      <c r="C121" s="50" t="s">
        <v>243</v>
      </c>
      <c r="D121" s="50"/>
      <c r="E121" s="32">
        <f t="shared" si="18"/>
        <v>0</v>
      </c>
      <c r="F121" s="32">
        <f t="shared" si="18"/>
        <v>0</v>
      </c>
      <c r="G121" s="32">
        <f t="shared" si="18"/>
        <v>282.62032759162554</v>
      </c>
      <c r="H121" s="32">
        <f t="shared" si="18"/>
        <v>282.62032759162554</v>
      </c>
      <c r="I121" s="32">
        <f t="shared" si="18"/>
        <v>282.62032759162554</v>
      </c>
      <c r="J121" s="32">
        <f t="shared" si="18"/>
        <v>282.62032759162554</v>
      </c>
      <c r="K121" s="95"/>
      <c r="L121" s="50"/>
      <c r="M121" s="15"/>
    </row>
    <row r="122" spans="1:13">
      <c r="A122" s="50">
        <v>3</v>
      </c>
      <c r="B122" s="50"/>
      <c r="C122" s="50" t="s">
        <v>244</v>
      </c>
      <c r="D122" s="50"/>
      <c r="E122" s="32">
        <f t="shared" si="18"/>
        <v>0</v>
      </c>
      <c r="F122" s="32">
        <f t="shared" si="18"/>
        <v>0</v>
      </c>
      <c r="G122" s="32">
        <f t="shared" si="18"/>
        <v>0</v>
      </c>
      <c r="H122" s="32">
        <f t="shared" si="18"/>
        <v>362.12506933248346</v>
      </c>
      <c r="I122" s="32">
        <f t="shared" si="18"/>
        <v>362.12506933248346</v>
      </c>
      <c r="J122" s="32">
        <f t="shared" si="18"/>
        <v>362.12506933248346</v>
      </c>
      <c r="K122" s="95"/>
      <c r="L122" s="50"/>
      <c r="M122" s="15"/>
    </row>
    <row r="123" spans="1:13">
      <c r="A123" s="50">
        <v>4</v>
      </c>
      <c r="B123" s="50"/>
      <c r="C123" s="50" t="s">
        <v>245</v>
      </c>
      <c r="D123" s="50"/>
      <c r="E123" s="32">
        <f t="shared" si="18"/>
        <v>0</v>
      </c>
      <c r="F123" s="32">
        <f t="shared" si="18"/>
        <v>0</v>
      </c>
      <c r="G123" s="32">
        <f t="shared" si="18"/>
        <v>0</v>
      </c>
      <c r="H123" s="32">
        <f t="shared" si="18"/>
        <v>0</v>
      </c>
      <c r="I123" s="32">
        <f t="shared" si="18"/>
        <v>218.45902804544781</v>
      </c>
      <c r="J123" s="32">
        <f t="shared" si="18"/>
        <v>218.45902804544778</v>
      </c>
      <c r="K123" s="95"/>
      <c r="L123" s="50"/>
      <c r="M123" s="15"/>
    </row>
    <row r="124" spans="1:13">
      <c r="A124" s="50">
        <v>5</v>
      </c>
      <c r="B124" s="50"/>
      <c r="C124" s="50" t="s">
        <v>246</v>
      </c>
      <c r="D124" s="50"/>
      <c r="E124" s="32">
        <f t="shared" si="18"/>
        <v>0</v>
      </c>
      <c r="F124" s="32">
        <f t="shared" si="18"/>
        <v>0</v>
      </c>
      <c r="G124" s="32">
        <f t="shared" si="18"/>
        <v>0</v>
      </c>
      <c r="H124" s="32">
        <f t="shared" si="18"/>
        <v>0</v>
      </c>
      <c r="I124" s="32">
        <f t="shared" si="18"/>
        <v>0</v>
      </c>
      <c r="J124" s="32">
        <f t="shared" si="18"/>
        <v>252.39488252857413</v>
      </c>
      <c r="K124" s="95"/>
      <c r="L124" s="50"/>
      <c r="M124" s="15"/>
    </row>
    <row r="125" spans="1:13">
      <c r="A125" s="50">
        <v>6</v>
      </c>
      <c r="B125" s="50"/>
      <c r="C125" s="50" t="s">
        <v>247</v>
      </c>
      <c r="D125" s="50"/>
      <c r="E125" s="32">
        <f t="shared" si="18"/>
        <v>0</v>
      </c>
      <c r="F125" s="32">
        <f t="shared" si="18"/>
        <v>0</v>
      </c>
      <c r="G125" s="32">
        <f t="shared" si="18"/>
        <v>0</v>
      </c>
      <c r="H125" s="32">
        <f t="shared" si="18"/>
        <v>0</v>
      </c>
      <c r="I125" s="32">
        <f t="shared" si="18"/>
        <v>0</v>
      </c>
      <c r="J125" s="32">
        <f t="shared" si="18"/>
        <v>0</v>
      </c>
      <c r="K125" s="95"/>
      <c r="L125" s="50"/>
      <c r="M125" s="15"/>
    </row>
    <row r="126" spans="1:13">
      <c r="A126" s="50">
        <v>1</v>
      </c>
      <c r="B126" s="50"/>
      <c r="C126" s="50" t="s">
        <v>248</v>
      </c>
      <c r="D126" s="50"/>
      <c r="E126" s="32">
        <f t="shared" ref="E126:J131" si="19">E108-E120+IF($A126=E$106,E$107,0)</f>
        <v>14297</v>
      </c>
      <c r="F126" s="32">
        <f t="shared" si="19"/>
        <v>13979.288888888888</v>
      </c>
      <c r="G126" s="32">
        <f t="shared" si="19"/>
        <v>13661.577777777777</v>
      </c>
      <c r="H126" s="32">
        <f t="shared" si="19"/>
        <v>13343.866666666665</v>
      </c>
      <c r="I126" s="32">
        <f t="shared" si="19"/>
        <v>13026.155555555553</v>
      </c>
      <c r="J126" s="32">
        <f t="shared" si="19"/>
        <v>12708.444444444442</v>
      </c>
      <c r="K126" s="95"/>
      <c r="L126" s="50"/>
      <c r="M126" s="15"/>
    </row>
    <row r="127" spans="1:13">
      <c r="A127" s="50">
        <v>2</v>
      </c>
      <c r="B127" s="50"/>
      <c r="C127" s="50" t="s">
        <v>249</v>
      </c>
      <c r="D127" s="50"/>
      <c r="E127" s="32">
        <f t="shared" si="19"/>
        <v>0</v>
      </c>
      <c r="F127" s="32">
        <f t="shared" si="19"/>
        <v>12717.914741623148</v>
      </c>
      <c r="G127" s="32">
        <f t="shared" si="19"/>
        <v>12435.294414031523</v>
      </c>
      <c r="H127" s="32">
        <f t="shared" si="19"/>
        <v>12152.674086439898</v>
      </c>
      <c r="I127" s="32">
        <f t="shared" si="19"/>
        <v>11870.053758848273</v>
      </c>
      <c r="J127" s="32">
        <f t="shared" si="19"/>
        <v>11587.433431256648</v>
      </c>
      <c r="K127" s="95"/>
      <c r="L127" s="50"/>
      <c r="M127" s="15"/>
    </row>
    <row r="128" spans="1:13">
      <c r="A128" s="50">
        <v>3</v>
      </c>
      <c r="B128" s="50"/>
      <c r="C128" s="50" t="s">
        <v>250</v>
      </c>
      <c r="D128" s="50"/>
      <c r="E128" s="32">
        <f t="shared" si="19"/>
        <v>0</v>
      </c>
      <c r="F128" s="32">
        <f t="shared" si="19"/>
        <v>0</v>
      </c>
      <c r="G128" s="32">
        <f t="shared" si="19"/>
        <v>16295.628119961755</v>
      </c>
      <c r="H128" s="32">
        <f t="shared" si="19"/>
        <v>15933.503050629271</v>
      </c>
      <c r="I128" s="32">
        <f t="shared" si="19"/>
        <v>15571.377981296788</v>
      </c>
      <c r="J128" s="32">
        <f t="shared" si="19"/>
        <v>15209.252911964304</v>
      </c>
      <c r="K128" s="95"/>
      <c r="L128" s="50"/>
      <c r="M128" s="15"/>
    </row>
    <row r="129" spans="1:13">
      <c r="A129" s="50">
        <v>4</v>
      </c>
      <c r="B129" s="50"/>
      <c r="C129" s="50" t="s">
        <v>251</v>
      </c>
      <c r="D129" s="50"/>
      <c r="E129" s="32">
        <f t="shared" si="19"/>
        <v>0</v>
      </c>
      <c r="F129" s="32">
        <f t="shared" si="19"/>
        <v>0</v>
      </c>
      <c r="G129" s="32">
        <f t="shared" si="19"/>
        <v>0</v>
      </c>
      <c r="H129" s="32">
        <f t="shared" si="19"/>
        <v>9830.6562620451514</v>
      </c>
      <c r="I129" s="32">
        <f t="shared" si="19"/>
        <v>9612.1972339997028</v>
      </c>
      <c r="J129" s="32">
        <f t="shared" si="19"/>
        <v>9393.7382059542542</v>
      </c>
      <c r="K129" s="95"/>
      <c r="L129" s="50"/>
      <c r="M129" s="15"/>
    </row>
    <row r="130" spans="1:13">
      <c r="A130" s="50">
        <v>5</v>
      </c>
      <c r="B130" s="50"/>
      <c r="C130" s="50" t="s">
        <v>252</v>
      </c>
      <c r="D130" s="50"/>
      <c r="E130" s="32">
        <f t="shared" si="19"/>
        <v>0</v>
      </c>
      <c r="F130" s="32">
        <f t="shared" si="19"/>
        <v>0</v>
      </c>
      <c r="G130" s="32">
        <f t="shared" si="19"/>
        <v>0</v>
      </c>
      <c r="H130" s="32">
        <f t="shared" si="19"/>
        <v>0</v>
      </c>
      <c r="I130" s="32">
        <f t="shared" si="19"/>
        <v>11357.769713785836</v>
      </c>
      <c r="J130" s="32">
        <f t="shared" si="19"/>
        <v>11105.374831257262</v>
      </c>
      <c r="K130" s="95"/>
      <c r="L130" s="50"/>
      <c r="M130" s="15"/>
    </row>
    <row r="131" spans="1:13">
      <c r="A131" s="50">
        <v>6</v>
      </c>
      <c r="B131" s="50"/>
      <c r="C131" s="50" t="s">
        <v>253</v>
      </c>
      <c r="D131" s="50"/>
      <c r="E131" s="32">
        <f t="shared" si="19"/>
        <v>0</v>
      </c>
      <c r="F131" s="32">
        <f t="shared" si="19"/>
        <v>0</v>
      </c>
      <c r="G131" s="32">
        <f t="shared" si="19"/>
        <v>0</v>
      </c>
      <c r="H131" s="32">
        <f t="shared" si="19"/>
        <v>0</v>
      </c>
      <c r="I131" s="32">
        <f t="shared" si="19"/>
        <v>0</v>
      </c>
      <c r="J131" s="32">
        <f t="shared" si="19"/>
        <v>12849.677016437978</v>
      </c>
      <c r="K131" s="95"/>
      <c r="L131" s="50"/>
      <c r="M131" s="15"/>
    </row>
    <row r="132" spans="1:13">
      <c r="A132" s="50"/>
      <c r="B132" s="50"/>
      <c r="C132" s="50" t="s">
        <v>62</v>
      </c>
      <c r="D132" s="50"/>
      <c r="E132" s="32">
        <f t="shared" ref="E132:J132" si="20">SUM(E120:E125)</f>
        <v>0</v>
      </c>
      <c r="F132" s="32">
        <f t="shared" si="20"/>
        <v>317.71111111111111</v>
      </c>
      <c r="G132" s="32">
        <f t="shared" si="20"/>
        <v>600.3314387027367</v>
      </c>
      <c r="H132" s="32">
        <f t="shared" si="20"/>
        <v>962.45650803522017</v>
      </c>
      <c r="I132" s="32">
        <f t="shared" si="20"/>
        <v>1180.9155360806678</v>
      </c>
      <c r="J132" s="32">
        <f t="shared" si="20"/>
        <v>1433.3104186092419</v>
      </c>
      <c r="K132" s="95"/>
      <c r="L132" s="27"/>
      <c r="M132" s="15"/>
    </row>
    <row r="133" spans="1:13" s="15" customFormat="1">
      <c r="A133" s="50"/>
      <c r="B133" s="50"/>
      <c r="C133" s="50"/>
      <c r="D133" s="50"/>
      <c r="E133" s="32"/>
      <c r="F133" s="32"/>
      <c r="G133" s="32"/>
      <c r="H133" s="32"/>
      <c r="I133" s="32"/>
      <c r="J133" s="32"/>
      <c r="K133" s="95"/>
      <c r="L133" s="50"/>
    </row>
    <row r="134" spans="1:13" ht="15.75">
      <c r="A134" s="50"/>
      <c r="B134" s="50"/>
      <c r="C134" s="162" t="s">
        <v>63</v>
      </c>
      <c r="D134" s="50"/>
      <c r="E134" s="50"/>
      <c r="F134" s="50"/>
      <c r="G134" s="50"/>
      <c r="H134" s="50"/>
      <c r="I134" s="50"/>
      <c r="J134" s="50"/>
      <c r="K134" s="95"/>
      <c r="L134" s="50"/>
      <c r="M134" s="15"/>
    </row>
    <row r="135" spans="1:13">
      <c r="A135" s="50"/>
      <c r="B135" s="50"/>
      <c r="C135" s="50" t="s">
        <v>65</v>
      </c>
      <c r="D135" s="50"/>
      <c r="E135" s="129">
        <f>E59</f>
        <v>158433</v>
      </c>
      <c r="F135" s="32">
        <f>E140</f>
        <v>152539</v>
      </c>
      <c r="G135" s="32">
        <f>F140</f>
        <v>146645</v>
      </c>
      <c r="H135" s="32">
        <f>G140</f>
        <v>140751</v>
      </c>
      <c r="I135" s="32">
        <f>H140</f>
        <v>134857</v>
      </c>
      <c r="J135" s="32">
        <f>I140</f>
        <v>128963</v>
      </c>
      <c r="K135" s="95"/>
      <c r="L135" s="50"/>
      <c r="M135" s="15"/>
    </row>
    <row r="136" spans="1:13">
      <c r="A136" s="50"/>
      <c r="B136" s="50"/>
      <c r="C136" s="50" t="s">
        <v>40</v>
      </c>
      <c r="D136" s="50"/>
      <c r="E136" s="32">
        <f t="shared" ref="E136:J136" si="21">E56</f>
        <v>0</v>
      </c>
      <c r="F136" s="32">
        <f t="shared" si="21"/>
        <v>0</v>
      </c>
      <c r="G136" s="32">
        <f t="shared" si="21"/>
        <v>0</v>
      </c>
      <c r="H136" s="32">
        <f t="shared" si="21"/>
        <v>0</v>
      </c>
      <c r="I136" s="32">
        <f t="shared" si="21"/>
        <v>0</v>
      </c>
      <c r="J136" s="32">
        <f t="shared" si="21"/>
        <v>0</v>
      </c>
      <c r="K136" s="95"/>
      <c r="L136" s="50"/>
      <c r="M136" s="15"/>
    </row>
    <row r="137" spans="1:13">
      <c r="A137" s="50"/>
      <c r="B137" s="50"/>
      <c r="C137" s="50" t="s">
        <v>312</v>
      </c>
      <c r="D137" s="50"/>
      <c r="E137" s="32">
        <f>Ash!E12</f>
        <v>0</v>
      </c>
      <c r="F137" s="32"/>
      <c r="G137" s="32"/>
      <c r="H137" s="32"/>
      <c r="I137" s="32"/>
      <c r="J137" s="32"/>
      <c r="K137" s="95"/>
      <c r="L137" s="50"/>
      <c r="M137" s="15"/>
    </row>
    <row r="138" spans="1:13">
      <c r="A138" s="50"/>
      <c r="B138" s="50"/>
      <c r="C138" s="50" t="s">
        <v>313</v>
      </c>
      <c r="D138" s="50"/>
      <c r="E138" s="32">
        <f>Ash!E13</f>
        <v>0</v>
      </c>
      <c r="F138" s="32"/>
      <c r="G138" s="32"/>
      <c r="H138" s="32"/>
      <c r="I138" s="32"/>
      <c r="J138" s="32"/>
      <c r="K138" s="95"/>
      <c r="L138" s="50"/>
      <c r="M138" s="15"/>
    </row>
    <row r="139" spans="1:13">
      <c r="A139" s="50"/>
      <c r="B139" s="50"/>
      <c r="C139" s="50" t="s">
        <v>64</v>
      </c>
      <c r="D139" s="50"/>
      <c r="E139" s="32">
        <f t="shared" ref="E139:J139" si="22">E135/E$54</f>
        <v>5894</v>
      </c>
      <c r="F139" s="32">
        <f t="shared" si="22"/>
        <v>5894</v>
      </c>
      <c r="G139" s="32">
        <f t="shared" si="22"/>
        <v>5894</v>
      </c>
      <c r="H139" s="32">
        <f t="shared" si="22"/>
        <v>5894</v>
      </c>
      <c r="I139" s="32">
        <f t="shared" si="22"/>
        <v>5894</v>
      </c>
      <c r="J139" s="32">
        <f t="shared" si="22"/>
        <v>5894</v>
      </c>
      <c r="K139" s="95"/>
      <c r="L139" s="50"/>
      <c r="M139" s="15"/>
    </row>
    <row r="140" spans="1:13">
      <c r="A140" s="50"/>
      <c r="B140" s="50"/>
      <c r="C140" s="50" t="s">
        <v>61</v>
      </c>
      <c r="D140" s="50"/>
      <c r="E140" s="129">
        <f>E135-E136-E137+E138-E139</f>
        <v>152539</v>
      </c>
      <c r="F140" s="32">
        <f>F135-F136-F139</f>
        <v>146645</v>
      </c>
      <c r="G140" s="32">
        <f>G135-G136-G139</f>
        <v>140751</v>
      </c>
      <c r="H140" s="32">
        <f>H135-H136-H139</f>
        <v>134857</v>
      </c>
      <c r="I140" s="32">
        <f>I135-I136-I139</f>
        <v>128963</v>
      </c>
      <c r="J140" s="32">
        <f>J135-J136-J139</f>
        <v>123069</v>
      </c>
      <c r="K140" s="95"/>
      <c r="L140" s="50"/>
      <c r="M140" s="15"/>
    </row>
    <row r="141" spans="1:13">
      <c r="A141" s="50"/>
      <c r="B141" s="50"/>
      <c r="C141" s="50"/>
      <c r="D141" s="50"/>
      <c r="E141" s="32"/>
      <c r="F141" s="32"/>
      <c r="G141" s="32"/>
      <c r="H141" s="32"/>
      <c r="I141" s="32"/>
      <c r="J141" s="32"/>
      <c r="K141" s="95"/>
      <c r="L141" s="27"/>
      <c r="M141" s="15"/>
    </row>
    <row r="142" spans="1:13" ht="15.75">
      <c r="A142" s="50"/>
      <c r="B142" s="50"/>
      <c r="C142" s="162" t="s">
        <v>66</v>
      </c>
      <c r="D142" s="50"/>
      <c r="E142" s="50"/>
      <c r="F142" s="50"/>
      <c r="G142" s="50"/>
      <c r="H142" s="50"/>
      <c r="I142" s="50"/>
      <c r="J142" s="50"/>
      <c r="K142" s="95"/>
      <c r="L142" s="27"/>
      <c r="M142" s="15"/>
    </row>
    <row r="143" spans="1:13">
      <c r="A143" s="50"/>
      <c r="B143" s="50"/>
      <c r="C143" s="50" t="s">
        <v>155</v>
      </c>
      <c r="D143" s="50"/>
      <c r="E143" s="32">
        <f t="shared" ref="E143:J143" si="23">E59+E100</f>
        <v>158433</v>
      </c>
      <c r="F143" s="32">
        <f t="shared" si="23"/>
        <v>169563.68015000856</v>
      </c>
      <c r="G143" s="32">
        <f t="shared" si="23"/>
        <v>179320.84311542794</v>
      </c>
      <c r="H143" s="32">
        <f t="shared" si="23"/>
        <v>193247.73154666403</v>
      </c>
      <c r="I143" s="32">
        <f t="shared" si="23"/>
        <v>200236.99536692241</v>
      </c>
      <c r="J143" s="32">
        <f t="shared" si="23"/>
        <v>208232.62361803988</v>
      </c>
      <c r="K143" s="95"/>
      <c r="L143" s="27"/>
      <c r="M143" s="15"/>
    </row>
    <row r="144" spans="1:13">
      <c r="A144" s="50"/>
      <c r="B144" s="50"/>
      <c r="C144" s="50" t="s">
        <v>154</v>
      </c>
      <c r="D144" s="50"/>
      <c r="E144" s="32">
        <f t="shared" ref="E144:J146" si="24">E63+E101</f>
        <v>2727.6801500085458</v>
      </c>
      <c r="F144" s="32">
        <f t="shared" si="24"/>
        <v>3356.3549832605459</v>
      </c>
      <c r="G144" s="32">
        <f t="shared" si="24"/>
        <v>4360.9399691255221</v>
      </c>
      <c r="H144" s="32">
        <f t="shared" si="24"/>
        <v>4420.6371597415373</v>
      </c>
      <c r="I144" s="32">
        <f t="shared" si="24"/>
        <v>4291.2539185955766</v>
      </c>
      <c r="J144" s="32">
        <f t="shared" si="24"/>
        <v>4161.7765599619797</v>
      </c>
      <c r="K144" s="95"/>
      <c r="L144" s="50"/>
      <c r="M144" s="15"/>
    </row>
    <row r="145" spans="1:13">
      <c r="A145" s="50"/>
      <c r="B145" s="50"/>
      <c r="C145" s="50" t="s">
        <v>153</v>
      </c>
      <c r="D145" s="50"/>
      <c r="E145" s="32">
        <f t="shared" si="24"/>
        <v>5894</v>
      </c>
      <c r="F145" s="32">
        <f t="shared" si="24"/>
        <v>6317.1067594643209</v>
      </c>
      <c r="G145" s="32">
        <f t="shared" si="24"/>
        <v>6729.6796578512067</v>
      </c>
      <c r="H145" s="32">
        <f t="shared" si="24"/>
        <v>7262.029601528302</v>
      </c>
      <c r="I145" s="32">
        <f t="shared" si="24"/>
        <v>7653.3953812639593</v>
      </c>
      <c r="J145" s="32">
        <f t="shared" si="24"/>
        <v>8076.7066290403427</v>
      </c>
      <c r="K145" s="95"/>
      <c r="L145" s="50"/>
      <c r="M145" s="15"/>
    </row>
    <row r="146" spans="1:13">
      <c r="A146" s="50"/>
      <c r="B146" s="50"/>
      <c r="C146" s="50" t="s">
        <v>156</v>
      </c>
      <c r="D146" s="50"/>
      <c r="E146" s="32">
        <f t="shared" si="24"/>
        <v>169563.68015000856</v>
      </c>
      <c r="F146" s="32">
        <f t="shared" si="24"/>
        <v>179320.84311542794</v>
      </c>
      <c r="G146" s="32">
        <f t="shared" si="24"/>
        <v>193247.73154666403</v>
      </c>
      <c r="H146" s="32">
        <f t="shared" si="24"/>
        <v>200236.99536692241</v>
      </c>
      <c r="I146" s="32">
        <f t="shared" si="24"/>
        <v>208232.62361803988</v>
      </c>
      <c r="J146" s="32">
        <f t="shared" si="24"/>
        <v>217167.3705653995</v>
      </c>
      <c r="K146" s="95"/>
      <c r="L146" s="50"/>
      <c r="M146" s="15"/>
    </row>
    <row r="147" spans="1:13">
      <c r="A147" s="50"/>
      <c r="B147" s="50"/>
      <c r="C147" s="50" t="s">
        <v>45</v>
      </c>
      <c r="D147" s="50"/>
      <c r="E147" s="32">
        <f t="shared" ref="E147:J147" si="25">E132+E139</f>
        <v>5894</v>
      </c>
      <c r="F147" s="32">
        <f t="shared" si="25"/>
        <v>6211.7111111111108</v>
      </c>
      <c r="G147" s="32">
        <f t="shared" si="25"/>
        <v>6494.3314387027367</v>
      </c>
      <c r="H147" s="32">
        <f t="shared" si="25"/>
        <v>6856.4565080352204</v>
      </c>
      <c r="I147" s="32">
        <f t="shared" si="25"/>
        <v>7074.9155360806681</v>
      </c>
      <c r="J147" s="32">
        <f t="shared" si="25"/>
        <v>7327.3104186092423</v>
      </c>
      <c r="K147" s="95"/>
      <c r="L147" s="50"/>
      <c r="M147" s="15"/>
    </row>
    <row r="148" spans="1:13">
      <c r="A148" s="50"/>
      <c r="B148" s="50"/>
      <c r="C148" s="50" t="s">
        <v>178</v>
      </c>
      <c r="D148" s="50"/>
      <c r="E148" s="128"/>
      <c r="F148" s="165">
        <f>F143+F107+F144-F145-F56-F146</f>
        <v>0</v>
      </c>
      <c r="G148" s="165">
        <f>G143+G107+G144-G145-G56-G146</f>
        <v>0</v>
      </c>
      <c r="H148" s="165">
        <f>H143+H107+H144-H145-H56-H146</f>
        <v>0</v>
      </c>
      <c r="I148" s="165">
        <f>I143+I107+I144-I145-I56-I146</f>
        <v>0</v>
      </c>
      <c r="J148" s="165">
        <f>J143+J107+J144-J145-J56-J146</f>
        <v>0</v>
      </c>
      <c r="K148" s="95"/>
      <c r="L148" s="50"/>
      <c r="M148" s="15"/>
    </row>
    <row r="149" spans="1:13">
      <c r="A149" s="50"/>
      <c r="B149" s="50"/>
      <c r="C149" s="50"/>
      <c r="D149" s="50"/>
      <c r="E149" s="50"/>
      <c r="F149" s="32"/>
      <c r="G149" s="32"/>
      <c r="H149" s="50"/>
      <c r="I149" s="50"/>
      <c r="J149" s="50"/>
      <c r="K149" s="95"/>
      <c r="L149" s="50"/>
      <c r="M149" s="15"/>
    </row>
    <row r="150" spans="1:13" ht="15.75">
      <c r="A150" s="50"/>
      <c r="B150" s="50"/>
      <c r="C150" s="162" t="s">
        <v>90</v>
      </c>
      <c r="D150" s="50"/>
      <c r="E150" s="50"/>
      <c r="F150" s="50"/>
      <c r="G150" s="50"/>
      <c r="H150" s="50"/>
      <c r="I150" s="50"/>
      <c r="J150" s="50"/>
      <c r="K150" s="95"/>
      <c r="L150" s="50"/>
      <c r="M150" s="15"/>
    </row>
    <row r="151" spans="1:13" ht="15.75">
      <c r="A151" s="50"/>
      <c r="B151" s="50"/>
      <c r="C151" s="158" t="s">
        <v>160</v>
      </c>
      <c r="D151" s="50"/>
      <c r="E151" s="129"/>
      <c r="F151" s="166">
        <f>F143/$E143</f>
        <v>1.0702548089729322</v>
      </c>
      <c r="G151" s="166">
        <f>G143/$E143</f>
        <v>1.1318402297212571</v>
      </c>
      <c r="H151" s="166">
        <f>H143/$E143</f>
        <v>1.2197441918455374</v>
      </c>
      <c r="I151" s="166">
        <f>I143/$E143</f>
        <v>1.2638591415104328</v>
      </c>
      <c r="J151" s="166">
        <f>J143/$E143</f>
        <v>1.3143260786454836</v>
      </c>
      <c r="K151" s="95"/>
      <c r="L151" s="50"/>
      <c r="M151" s="15"/>
    </row>
    <row r="152" spans="1:13">
      <c r="A152" s="50"/>
      <c r="B152" s="50"/>
      <c r="C152" s="50" t="s">
        <v>90</v>
      </c>
      <c r="D152" s="50"/>
      <c r="E152" s="129">
        <f>IF(E20&gt;0,E20,0)</f>
        <v>0</v>
      </c>
      <c r="F152" s="32">
        <f>$E152*F151</f>
        <v>0</v>
      </c>
      <c r="G152" s="32">
        <f>$E152*G151</f>
        <v>0</v>
      </c>
      <c r="H152" s="32">
        <f>$E152*H151</f>
        <v>0</v>
      </c>
      <c r="I152" s="32">
        <f>$E152*I151</f>
        <v>0</v>
      </c>
      <c r="J152" s="32">
        <f>$E152*J151</f>
        <v>0</v>
      </c>
      <c r="K152" s="95"/>
      <c r="L152" s="50"/>
      <c r="M152" s="15"/>
    </row>
    <row r="153" spans="1:13">
      <c r="A153" s="50"/>
      <c r="B153" s="50"/>
      <c r="C153" s="50"/>
      <c r="D153" s="50"/>
      <c r="E153" s="50"/>
      <c r="F153" s="50"/>
      <c r="G153" s="50"/>
      <c r="H153" s="50"/>
      <c r="I153" s="50"/>
      <c r="J153" s="50"/>
      <c r="K153" s="95"/>
      <c r="L153" s="50"/>
      <c r="M153" s="15"/>
    </row>
    <row r="154" spans="1:13" ht="15.75">
      <c r="A154" s="50"/>
      <c r="B154" s="50"/>
      <c r="C154" s="162" t="s">
        <v>46</v>
      </c>
      <c r="D154" s="50"/>
      <c r="E154" s="50"/>
      <c r="F154" s="50"/>
      <c r="G154" s="50"/>
      <c r="H154" s="50"/>
      <c r="I154" s="50"/>
      <c r="J154" s="50"/>
      <c r="K154" s="95"/>
      <c r="L154" s="27"/>
      <c r="M154" s="15"/>
    </row>
    <row r="155" spans="1:13">
      <c r="A155" s="50"/>
      <c r="B155" s="50"/>
      <c r="C155" s="50" t="s">
        <v>157</v>
      </c>
      <c r="D155" s="49">
        <f>E17/E18</f>
        <v>9.7269227080278964E-2</v>
      </c>
      <c r="E155" s="50"/>
      <c r="F155" s="50"/>
      <c r="G155" s="50"/>
      <c r="H155" s="50"/>
      <c r="I155" s="50"/>
      <c r="J155" s="50"/>
      <c r="K155" s="95"/>
      <c r="L155" s="125"/>
      <c r="M155" s="15"/>
    </row>
    <row r="156" spans="1:13">
      <c r="A156" s="50"/>
      <c r="B156" s="50"/>
      <c r="C156" s="50" t="s">
        <v>167</v>
      </c>
      <c r="D156" s="50"/>
      <c r="E156" s="129">
        <f>E18</f>
        <v>72983</v>
      </c>
      <c r="F156" s="32">
        <f>E159</f>
        <v>80181</v>
      </c>
      <c r="G156" s="32">
        <f>F159</f>
        <v>85099.770845099294</v>
      </c>
      <c r="H156" s="32">
        <f>G159</f>
        <v>93117.810030249384</v>
      </c>
      <c r="I156" s="32">
        <f>H159</f>
        <v>93890.968883243942</v>
      </c>
      <c r="J156" s="32">
        <f>I159</f>
        <v>96116.036623938111</v>
      </c>
      <c r="K156" s="95"/>
      <c r="L156" s="125"/>
      <c r="M156" s="15"/>
    </row>
    <row r="157" spans="1:13">
      <c r="A157" s="50"/>
      <c r="B157" s="50"/>
      <c r="C157" s="50" t="s">
        <v>34</v>
      </c>
      <c r="D157" s="50"/>
      <c r="E157" s="129">
        <f>E17</f>
        <v>7099</v>
      </c>
      <c r="F157" s="32">
        <f>F156*$D155</f>
        <v>7799.1438965238476</v>
      </c>
      <c r="G157" s="32">
        <f>G156*$D155</f>
        <v>8277.5889348116671</v>
      </c>
      <c r="H157" s="32">
        <f>H156*$D155</f>
        <v>9057.4974090506057</v>
      </c>
      <c r="I157" s="32">
        <f>I156*$D155</f>
        <v>9132.7019730916618</v>
      </c>
      <c r="J157" s="32">
        <f>J156*$D155</f>
        <v>9349.1325924302455</v>
      </c>
      <c r="K157" s="95"/>
      <c r="L157" s="50"/>
      <c r="M157" s="15"/>
    </row>
    <row r="158" spans="1:13">
      <c r="A158" s="50"/>
      <c r="B158" s="50"/>
      <c r="C158" s="50" t="s">
        <v>98</v>
      </c>
      <c r="D158" s="50"/>
      <c r="E158" s="32">
        <f t="shared" ref="E158:J158" si="26">E29</f>
        <v>14297</v>
      </c>
      <c r="F158" s="32">
        <f t="shared" si="26"/>
        <v>12717.914741623148</v>
      </c>
      <c r="G158" s="32">
        <f t="shared" si="26"/>
        <v>16295.628119961755</v>
      </c>
      <c r="H158" s="32">
        <f t="shared" si="26"/>
        <v>9830.6562620451514</v>
      </c>
      <c r="I158" s="32">
        <f t="shared" si="26"/>
        <v>11357.769713785836</v>
      </c>
      <c r="J158" s="32">
        <f t="shared" si="26"/>
        <v>12849.677016437978</v>
      </c>
      <c r="K158" s="95"/>
      <c r="L158" s="125"/>
      <c r="M158" s="15"/>
    </row>
    <row r="159" spans="1:13">
      <c r="A159" s="50"/>
      <c r="B159" s="50"/>
      <c r="C159" s="50" t="s">
        <v>127</v>
      </c>
      <c r="D159" s="50"/>
      <c r="E159" s="32">
        <f t="shared" ref="E159:J159" si="27">E156-E157+E158</f>
        <v>80181</v>
      </c>
      <c r="F159" s="32">
        <f t="shared" si="27"/>
        <v>85099.770845099294</v>
      </c>
      <c r="G159" s="32">
        <f t="shared" si="27"/>
        <v>93117.810030249384</v>
      </c>
      <c r="H159" s="32">
        <f t="shared" si="27"/>
        <v>93890.968883243942</v>
      </c>
      <c r="I159" s="32">
        <f t="shared" si="27"/>
        <v>96116.036623938111</v>
      </c>
      <c r="J159" s="32">
        <f t="shared" si="27"/>
        <v>99616.581047945831</v>
      </c>
      <c r="K159" s="95"/>
      <c r="L159" s="125"/>
      <c r="M159" s="15"/>
    </row>
    <row r="160" spans="1:13">
      <c r="A160" s="50"/>
      <c r="B160" s="50"/>
      <c r="C160" s="50"/>
      <c r="D160" s="50"/>
      <c r="E160" s="50"/>
      <c r="F160" s="50"/>
      <c r="G160" s="50"/>
      <c r="H160" s="50"/>
      <c r="I160" s="50"/>
      <c r="J160" s="50"/>
      <c r="K160" s="95"/>
      <c r="L160" s="27"/>
      <c r="M160" s="15"/>
    </row>
    <row r="161" spans="1:13" ht="15.75">
      <c r="A161" s="50"/>
      <c r="B161" s="50"/>
      <c r="C161" s="162" t="s">
        <v>128</v>
      </c>
      <c r="D161" s="50"/>
      <c r="E161" s="50"/>
      <c r="F161" s="50"/>
      <c r="G161" s="50"/>
      <c r="H161" s="50"/>
      <c r="I161" s="50"/>
      <c r="J161" s="50"/>
      <c r="K161" s="95"/>
      <c r="L161" s="27"/>
      <c r="M161" s="15"/>
    </row>
    <row r="162" spans="1:13">
      <c r="A162" s="50"/>
      <c r="B162" s="50"/>
      <c r="C162" s="50" t="s">
        <v>126</v>
      </c>
      <c r="D162" s="50"/>
      <c r="E162" s="32">
        <f t="shared" ref="E162:J162" si="28">E147-E157</f>
        <v>-1205</v>
      </c>
      <c r="F162" s="32">
        <f t="shared" si="28"/>
        <v>-1587.4327854127368</v>
      </c>
      <c r="G162" s="32">
        <f t="shared" si="28"/>
        <v>-1783.2574961089304</v>
      </c>
      <c r="H162" s="32">
        <f t="shared" si="28"/>
        <v>-2201.0409010153853</v>
      </c>
      <c r="I162" s="32">
        <f t="shared" si="28"/>
        <v>-2057.7864370109937</v>
      </c>
      <c r="J162" s="32">
        <f t="shared" si="28"/>
        <v>-2021.8221738210032</v>
      </c>
      <c r="K162" s="95"/>
      <c r="L162" s="50"/>
      <c r="M162" s="15"/>
    </row>
    <row r="163" spans="1:13">
      <c r="A163" s="50"/>
      <c r="B163" s="50"/>
      <c r="C163" s="50"/>
      <c r="D163" s="50"/>
      <c r="E163" s="50"/>
      <c r="F163" s="50"/>
      <c r="G163" s="50"/>
      <c r="H163" s="50"/>
      <c r="I163" s="50"/>
      <c r="J163" s="50"/>
      <c r="K163" s="95"/>
      <c r="L163" s="50"/>
      <c r="M163" s="15"/>
    </row>
    <row r="164" spans="1:13" ht="15.75">
      <c r="A164" s="50"/>
      <c r="B164" s="50"/>
      <c r="C164" s="162" t="s">
        <v>47</v>
      </c>
      <c r="D164" s="50"/>
      <c r="E164" s="50"/>
      <c r="F164" s="50"/>
      <c r="G164" s="50"/>
      <c r="H164" s="50"/>
      <c r="I164" s="50"/>
      <c r="J164" s="50"/>
      <c r="K164" s="95"/>
      <c r="L164" s="50"/>
      <c r="M164" s="15"/>
    </row>
    <row r="165" spans="1:13">
      <c r="A165" s="50"/>
      <c r="B165" s="50"/>
      <c r="C165" s="50" t="s">
        <v>151</v>
      </c>
      <c r="D165" s="50"/>
      <c r="E165" s="193">
        <v>0</v>
      </c>
      <c r="F165" s="31">
        <f>E168</f>
        <v>-1109.6064792162249</v>
      </c>
      <c r="G165" s="31">
        <f>F168</f>
        <v>-2333.9427940562709</v>
      </c>
      <c r="H165" s="31">
        <f>G168</f>
        <v>-3531.4876069019147</v>
      </c>
      <c r="I165" s="31">
        <f>H168</f>
        <v>-4846.0117731213659</v>
      </c>
      <c r="J165" s="31">
        <f>I168</f>
        <v>-6120.4246894195876</v>
      </c>
      <c r="K165" s="95"/>
      <c r="L165" s="50"/>
      <c r="M165" s="15"/>
    </row>
    <row r="166" spans="1:13">
      <c r="A166" s="50"/>
      <c r="B166" s="50"/>
      <c r="C166" s="50" t="s">
        <v>126</v>
      </c>
      <c r="D166" s="50"/>
      <c r="E166" s="32">
        <f t="shared" ref="E166:J166" si="29">E162</f>
        <v>-1205</v>
      </c>
      <c r="F166" s="32">
        <f t="shared" si="29"/>
        <v>-1587.4327854127368</v>
      </c>
      <c r="G166" s="32">
        <f t="shared" si="29"/>
        <v>-1783.2574961089304</v>
      </c>
      <c r="H166" s="32">
        <f t="shared" si="29"/>
        <v>-2201.0409010153853</v>
      </c>
      <c r="I166" s="32">
        <f t="shared" si="29"/>
        <v>-2057.7864370109937</v>
      </c>
      <c r="J166" s="32">
        <f t="shared" si="29"/>
        <v>-2021.8221738210032</v>
      </c>
      <c r="K166" s="95"/>
      <c r="L166" s="50"/>
      <c r="M166" s="15"/>
    </row>
    <row r="167" spans="1:13">
      <c r="A167" s="50"/>
      <c r="B167" s="50"/>
      <c r="C167" s="50" t="s">
        <v>48</v>
      </c>
      <c r="D167" s="50"/>
      <c r="E167" s="129">
        <f>(E11-E18)/E19</f>
        <v>2493.688264054083</v>
      </c>
      <c r="F167" s="32">
        <f>E167</f>
        <v>2493.688264054083</v>
      </c>
      <c r="G167" s="32">
        <f>F167</f>
        <v>2493.688264054083</v>
      </c>
      <c r="H167" s="32">
        <f>G167</f>
        <v>2493.688264054083</v>
      </c>
      <c r="I167" s="32">
        <f>H167</f>
        <v>2493.688264054083</v>
      </c>
      <c r="J167" s="32">
        <f>I167</f>
        <v>2493.688264054083</v>
      </c>
      <c r="K167" s="95"/>
      <c r="L167" s="50"/>
      <c r="M167" s="15"/>
    </row>
    <row r="168" spans="1:13">
      <c r="A168" s="50"/>
      <c r="B168" s="50"/>
      <c r="C168" s="50" t="s">
        <v>152</v>
      </c>
      <c r="D168" s="50"/>
      <c r="E168" s="31">
        <f t="shared" ref="E168:J168" si="30">E165+(E166-E167)*E53</f>
        <v>-1109.6064792162249</v>
      </c>
      <c r="F168" s="31">
        <f t="shared" si="30"/>
        <v>-2333.9427940562709</v>
      </c>
      <c r="G168" s="31">
        <f t="shared" si="30"/>
        <v>-3531.4876069019147</v>
      </c>
      <c r="H168" s="31">
        <f t="shared" si="30"/>
        <v>-4846.0117731213659</v>
      </c>
      <c r="I168" s="31">
        <f t="shared" si="30"/>
        <v>-6120.4246894195876</v>
      </c>
      <c r="J168" s="31">
        <f t="shared" si="30"/>
        <v>-7384.7676120246115</v>
      </c>
      <c r="K168" s="95"/>
      <c r="L168" s="50"/>
      <c r="M168" s="15"/>
    </row>
    <row r="169" spans="1:13">
      <c r="A169" s="50"/>
      <c r="B169" s="50"/>
      <c r="C169" s="50"/>
      <c r="D169" s="50"/>
      <c r="E169" s="31"/>
      <c r="F169" s="31"/>
      <c r="G169" s="31"/>
      <c r="H169" s="31"/>
      <c r="I169" s="31"/>
      <c r="J169" s="31"/>
      <c r="K169" s="95"/>
      <c r="L169" s="27"/>
      <c r="M169" s="15"/>
    </row>
    <row r="170" spans="1:13" ht="15.75">
      <c r="A170" s="50"/>
      <c r="B170" s="50"/>
      <c r="C170" s="162" t="s">
        <v>196</v>
      </c>
      <c r="D170" s="50"/>
      <c r="E170" s="50"/>
      <c r="F170" s="50"/>
      <c r="G170" s="50"/>
      <c r="H170" s="50"/>
      <c r="I170" s="50"/>
      <c r="J170" s="50"/>
      <c r="K170" s="95"/>
      <c r="L170" s="27"/>
      <c r="M170" s="15"/>
    </row>
    <row r="171" spans="1:13">
      <c r="A171" s="50"/>
      <c r="B171" s="50"/>
      <c r="C171" s="50" t="s">
        <v>106</v>
      </c>
      <c r="D171" s="50"/>
      <c r="E171" s="32">
        <f t="shared" ref="E171:J171" si="31">E143+E165</f>
        <v>158433</v>
      </c>
      <c r="F171" s="32">
        <f t="shared" si="31"/>
        <v>168454.07367079234</v>
      </c>
      <c r="G171" s="32">
        <f t="shared" si="31"/>
        <v>176986.90032137168</v>
      </c>
      <c r="H171" s="32">
        <f t="shared" si="31"/>
        <v>189716.24393976212</v>
      </c>
      <c r="I171" s="32">
        <f t="shared" si="31"/>
        <v>195390.98359380104</v>
      </c>
      <c r="J171" s="32">
        <f t="shared" si="31"/>
        <v>202112.19892862029</v>
      </c>
      <c r="K171" s="95"/>
      <c r="L171" s="50"/>
      <c r="M171" s="15"/>
    </row>
    <row r="172" spans="1:13">
      <c r="A172" s="50"/>
      <c r="B172" s="50"/>
      <c r="C172" s="50" t="s">
        <v>98</v>
      </c>
      <c r="D172" s="50"/>
      <c r="E172" s="32">
        <f t="shared" ref="E172:J172" si="32">E29</f>
        <v>14297</v>
      </c>
      <c r="F172" s="32">
        <f t="shared" si="32"/>
        <v>12717.914741623148</v>
      </c>
      <c r="G172" s="32">
        <f t="shared" si="32"/>
        <v>16295.628119961755</v>
      </c>
      <c r="H172" s="32">
        <f t="shared" si="32"/>
        <v>9830.6562620451514</v>
      </c>
      <c r="I172" s="32">
        <f t="shared" si="32"/>
        <v>11357.769713785836</v>
      </c>
      <c r="J172" s="32">
        <f t="shared" si="32"/>
        <v>12849.677016437978</v>
      </c>
      <c r="K172" s="95"/>
      <c r="L172" s="50"/>
      <c r="M172" s="15"/>
    </row>
    <row r="173" spans="1:13">
      <c r="A173" s="50"/>
      <c r="B173" s="50"/>
      <c r="C173" s="50" t="s">
        <v>111</v>
      </c>
      <c r="D173" s="50"/>
      <c r="E173" s="96">
        <f t="shared" ref="E173:J173" si="33">E152</f>
        <v>0</v>
      </c>
      <c r="F173" s="96">
        <f t="shared" si="33"/>
        <v>0</v>
      </c>
      <c r="G173" s="96">
        <f t="shared" si="33"/>
        <v>0</v>
      </c>
      <c r="H173" s="96">
        <f t="shared" si="33"/>
        <v>0</v>
      </c>
      <c r="I173" s="96">
        <f t="shared" si="33"/>
        <v>0</v>
      </c>
      <c r="J173" s="96">
        <f t="shared" si="33"/>
        <v>0</v>
      </c>
      <c r="K173" s="95"/>
      <c r="L173" s="50"/>
      <c r="M173" s="15"/>
    </row>
    <row r="174" spans="1:13">
      <c r="A174" s="50"/>
      <c r="B174" s="50"/>
      <c r="C174" s="50" t="s">
        <v>44</v>
      </c>
      <c r="D174" s="50"/>
      <c r="E174" s="96">
        <f t="shared" ref="E174:J174" si="34">E144</f>
        <v>2727.6801500085458</v>
      </c>
      <c r="F174" s="96">
        <f t="shared" si="34"/>
        <v>3356.3549832605459</v>
      </c>
      <c r="G174" s="96">
        <f t="shared" si="34"/>
        <v>4360.9399691255221</v>
      </c>
      <c r="H174" s="96">
        <f t="shared" si="34"/>
        <v>4420.6371597415373</v>
      </c>
      <c r="I174" s="96">
        <f t="shared" si="34"/>
        <v>4291.2539185955766</v>
      </c>
      <c r="J174" s="96">
        <f t="shared" si="34"/>
        <v>4161.7765599619797</v>
      </c>
      <c r="K174" s="95"/>
      <c r="L174" s="50"/>
      <c r="M174" s="15"/>
    </row>
    <row r="175" spans="1:13">
      <c r="A175" s="50"/>
      <c r="B175" s="50"/>
      <c r="C175" s="50" t="s">
        <v>196</v>
      </c>
      <c r="D175" s="50"/>
      <c r="E175" s="32">
        <f t="shared" ref="E175:J175" si="35">E171*WACC+E172*($D$48-1)+E173-E174</f>
        <v>11778.926706762679</v>
      </c>
      <c r="F175" s="32">
        <f t="shared" si="35"/>
        <v>11961.501803771112</v>
      </c>
      <c r="G175" s="32">
        <f t="shared" si="35"/>
        <v>11858.402166297277</v>
      </c>
      <c r="H175" s="32">
        <f t="shared" si="35"/>
        <v>12638.312829518047</v>
      </c>
      <c r="I175" s="32">
        <f t="shared" si="35"/>
        <v>13330.744135243647</v>
      </c>
      <c r="J175" s="32">
        <f t="shared" si="35"/>
        <v>14113.538354133585</v>
      </c>
      <c r="K175" s="95"/>
      <c r="L175" s="50"/>
      <c r="M175" s="15"/>
    </row>
    <row r="176" spans="1:13">
      <c r="A176" s="50"/>
      <c r="B176" s="50"/>
      <c r="C176" s="50"/>
      <c r="D176" s="50"/>
      <c r="E176" s="31"/>
      <c r="F176" s="31"/>
      <c r="G176" s="31"/>
      <c r="H176" s="31"/>
      <c r="I176" s="31"/>
      <c r="J176" s="31"/>
      <c r="K176" s="95"/>
      <c r="L176" s="27"/>
      <c r="M176" s="15"/>
    </row>
    <row r="177" spans="1:13" ht="15.75">
      <c r="A177" s="50"/>
      <c r="B177" s="50"/>
      <c r="C177" s="162" t="s">
        <v>49</v>
      </c>
      <c r="D177" s="50"/>
      <c r="E177" s="50"/>
      <c r="F177" s="50"/>
      <c r="G177" s="50"/>
      <c r="H177" s="50"/>
      <c r="I177" s="50"/>
      <c r="J177" s="50"/>
      <c r="K177" s="95"/>
      <c r="L177" s="27"/>
      <c r="M177" s="15"/>
    </row>
    <row r="178" spans="1:13">
      <c r="A178" s="50"/>
      <c r="B178" s="50"/>
      <c r="C178" s="50" t="s">
        <v>50</v>
      </c>
      <c r="D178" s="50"/>
      <c r="E178" s="31">
        <f t="shared" ref="E178:J178" si="36">E171*Leverage*Debt+E152</f>
        <v>5528.0442359999997</v>
      </c>
      <c r="F178" s="31">
        <f t="shared" si="36"/>
        <v>5877.6995385212858</v>
      </c>
      <c r="G178" s="31">
        <f t="shared" si="36"/>
        <v>6175.4269260133005</v>
      </c>
      <c r="H178" s="31">
        <f t="shared" si="36"/>
        <v>6619.5791835461796</v>
      </c>
      <c r="I178" s="31">
        <f t="shared" si="36"/>
        <v>6817.5821995549059</v>
      </c>
      <c r="J178" s="31">
        <f t="shared" si="36"/>
        <v>7052.0988450174182</v>
      </c>
      <c r="K178" s="95"/>
      <c r="L178" s="50"/>
      <c r="M178" s="15"/>
    </row>
    <row r="179" spans="1:13">
      <c r="A179" s="50"/>
      <c r="B179" s="50"/>
      <c r="C179" s="50" t="s">
        <v>51</v>
      </c>
      <c r="D179" s="50"/>
      <c r="E179" s="31">
        <f t="shared" ref="E179:J179" si="37">E145-E147</f>
        <v>0</v>
      </c>
      <c r="F179" s="31">
        <f t="shared" si="37"/>
        <v>105.39564835321016</v>
      </c>
      <c r="G179" s="31">
        <f t="shared" si="37"/>
        <v>235.34821914846998</v>
      </c>
      <c r="H179" s="31">
        <f t="shared" si="37"/>
        <v>405.57309349308161</v>
      </c>
      <c r="I179" s="31">
        <f t="shared" si="37"/>
        <v>578.47984518329122</v>
      </c>
      <c r="J179" s="31">
        <f t="shared" si="37"/>
        <v>749.39621043110037</v>
      </c>
      <c r="K179" s="95"/>
      <c r="L179" s="50"/>
      <c r="M179" s="15"/>
    </row>
    <row r="180" spans="1:13">
      <c r="A180" s="50"/>
      <c r="B180" s="50"/>
      <c r="C180" s="50" t="s">
        <v>52</v>
      </c>
      <c r="D180" s="50"/>
      <c r="E180" s="31">
        <f t="shared" ref="E180:J180" si="38">E167+E179-E178</f>
        <v>-3034.3559719459167</v>
      </c>
      <c r="F180" s="31">
        <f t="shared" si="38"/>
        <v>-3278.6156261139927</v>
      </c>
      <c r="G180" s="31">
        <f t="shared" si="38"/>
        <v>-3446.3904428107476</v>
      </c>
      <c r="H180" s="31">
        <f t="shared" si="38"/>
        <v>-3720.317825999015</v>
      </c>
      <c r="I180" s="31">
        <f t="shared" si="38"/>
        <v>-3745.4140903175316</v>
      </c>
      <c r="J180" s="31">
        <f t="shared" si="38"/>
        <v>-3809.0143705322348</v>
      </c>
      <c r="K180" s="95"/>
      <c r="L180" s="50"/>
      <c r="M180" s="15"/>
    </row>
    <row r="181" spans="1:13">
      <c r="A181" s="50"/>
      <c r="B181" s="50"/>
      <c r="C181" s="50"/>
      <c r="D181" s="50"/>
      <c r="E181" s="50"/>
      <c r="F181" s="167"/>
      <c r="G181" s="32"/>
      <c r="H181" s="32"/>
      <c r="I181" s="32"/>
      <c r="J181" s="32"/>
      <c r="K181" s="95"/>
      <c r="L181" s="50"/>
      <c r="M181" s="15"/>
    </row>
    <row r="182" spans="1:13" ht="15.75">
      <c r="A182" s="50"/>
      <c r="B182" s="50"/>
      <c r="C182" s="162" t="s">
        <v>107</v>
      </c>
      <c r="D182" s="50"/>
      <c r="E182" s="50"/>
      <c r="F182" s="167"/>
      <c r="G182" s="32"/>
      <c r="H182" s="32"/>
      <c r="I182" s="32"/>
      <c r="J182" s="32"/>
      <c r="K182" s="95"/>
      <c r="L182" s="27"/>
      <c r="M182" s="15"/>
    </row>
    <row r="183" spans="1:13">
      <c r="A183" s="50"/>
      <c r="B183" s="50"/>
      <c r="C183" s="50" t="s">
        <v>153</v>
      </c>
      <c r="D183" s="50"/>
      <c r="E183" s="32">
        <f t="shared" ref="E183:J183" si="39">E145</f>
        <v>5894</v>
      </c>
      <c r="F183" s="32">
        <f t="shared" si="39"/>
        <v>6317.1067594643209</v>
      </c>
      <c r="G183" s="32">
        <f t="shared" si="39"/>
        <v>6729.6796578512067</v>
      </c>
      <c r="H183" s="32">
        <f t="shared" si="39"/>
        <v>7262.029601528302</v>
      </c>
      <c r="I183" s="32">
        <f t="shared" si="39"/>
        <v>7653.3953812639593</v>
      </c>
      <c r="J183" s="32">
        <f t="shared" si="39"/>
        <v>8076.7066290403427</v>
      </c>
      <c r="K183" s="95"/>
      <c r="L183" s="50"/>
      <c r="M183" s="15"/>
    </row>
    <row r="184" spans="1:13">
      <c r="A184" s="50"/>
      <c r="B184" s="50"/>
      <c r="C184" s="50" t="s">
        <v>107</v>
      </c>
      <c r="D184" s="50"/>
      <c r="E184" s="96">
        <f t="shared" ref="E184:J184" si="40">E183</f>
        <v>5894</v>
      </c>
      <c r="F184" s="96">
        <f t="shared" si="40"/>
        <v>6317.1067594643209</v>
      </c>
      <c r="G184" s="96">
        <f t="shared" si="40"/>
        <v>6729.6796578512067</v>
      </c>
      <c r="H184" s="96">
        <f t="shared" si="40"/>
        <v>7262.029601528302</v>
      </c>
      <c r="I184" s="96">
        <f t="shared" si="40"/>
        <v>7653.3953812639593</v>
      </c>
      <c r="J184" s="96">
        <f t="shared" si="40"/>
        <v>8076.7066290403427</v>
      </c>
      <c r="K184" s="95"/>
      <c r="L184" s="50"/>
      <c r="M184" s="15"/>
    </row>
    <row r="185" spans="1:13">
      <c r="A185" s="50"/>
      <c r="B185" s="50"/>
      <c r="C185" s="50"/>
      <c r="D185" s="50"/>
      <c r="E185" s="50"/>
      <c r="F185" s="96"/>
      <c r="G185" s="96"/>
      <c r="H185" s="96"/>
      <c r="I185" s="96"/>
      <c r="J185" s="96"/>
      <c r="K185" s="95"/>
      <c r="L185" s="50"/>
      <c r="M185" s="15"/>
    </row>
    <row r="186" spans="1:13" ht="15.75">
      <c r="A186" s="50"/>
      <c r="B186" s="50"/>
      <c r="C186" s="121" t="s">
        <v>122</v>
      </c>
      <c r="D186" s="50"/>
      <c r="E186" s="50"/>
      <c r="F186" s="96"/>
      <c r="G186" s="96"/>
      <c r="H186" s="96"/>
      <c r="I186" s="96"/>
      <c r="J186" s="96"/>
      <c r="K186" s="95"/>
      <c r="L186" s="27"/>
      <c r="M186" s="15"/>
    </row>
    <row r="187" spans="1:13">
      <c r="A187" s="50"/>
      <c r="B187" s="50"/>
      <c r="C187" s="50" t="s">
        <v>122</v>
      </c>
      <c r="D187" s="50"/>
      <c r="E187" s="32">
        <f t="shared" ref="E187:J187" si="41">E43</f>
        <v>446.21476147772501</v>
      </c>
      <c r="F187" s="32">
        <f t="shared" si="41"/>
        <v>466.1459586631475</v>
      </c>
      <c r="G187" s="32">
        <f t="shared" si="41"/>
        <v>473.46762293534357</v>
      </c>
      <c r="H187" s="32">
        <f t="shared" si="41"/>
        <v>482.00956458623892</v>
      </c>
      <c r="I187" s="32">
        <f t="shared" si="41"/>
        <v>490.55150623713433</v>
      </c>
      <c r="J187" s="32">
        <f t="shared" si="41"/>
        <v>501.94076177166147</v>
      </c>
      <c r="K187" s="95"/>
      <c r="L187" s="125"/>
      <c r="M187" s="15"/>
    </row>
    <row r="188" spans="1:13">
      <c r="A188" s="50"/>
      <c r="B188" s="50"/>
      <c r="C188" s="50"/>
      <c r="D188" s="50"/>
      <c r="E188" s="50"/>
      <c r="F188" s="96"/>
      <c r="G188" s="96"/>
      <c r="H188" s="96"/>
      <c r="I188" s="96"/>
      <c r="J188" s="96"/>
      <c r="K188" s="95"/>
      <c r="L188" s="27"/>
      <c r="M188" s="15"/>
    </row>
    <row r="189" spans="1:13" ht="15.75">
      <c r="A189" s="50"/>
      <c r="B189" s="50"/>
      <c r="C189" s="162" t="s">
        <v>179</v>
      </c>
      <c r="D189" s="50"/>
      <c r="E189" s="32">
        <f t="shared" ref="E189:J189" si="42">E28</f>
        <v>6009</v>
      </c>
      <c r="F189" s="32">
        <f t="shared" si="42"/>
        <v>6204.691236062904</v>
      </c>
      <c r="G189" s="32">
        <f t="shared" si="42"/>
        <v>6419.5383028401675</v>
      </c>
      <c r="H189" s="32">
        <f t="shared" si="42"/>
        <v>6612.0240843577267</v>
      </c>
      <c r="I189" s="32">
        <f t="shared" si="42"/>
        <v>6799.3751078096811</v>
      </c>
      <c r="J189" s="32">
        <f t="shared" si="42"/>
        <v>7017.2557638432563</v>
      </c>
      <c r="K189" s="95"/>
      <c r="L189" s="125"/>
      <c r="M189" s="15"/>
    </row>
    <row r="190" spans="1:13">
      <c r="A190" s="50"/>
      <c r="B190" s="50"/>
      <c r="C190" s="50" t="s">
        <v>180</v>
      </c>
      <c r="D190" s="50"/>
      <c r="E190" s="32">
        <f t="shared" ref="E190:J190" si="43">E189*$D$46</f>
        <v>6266.2361219443446</v>
      </c>
      <c r="F190" s="32">
        <f t="shared" si="43"/>
        <v>6470.304601252933</v>
      </c>
      <c r="G190" s="32">
        <f t="shared" si="43"/>
        <v>6694.3489431623148</v>
      </c>
      <c r="H190" s="32">
        <f t="shared" si="43"/>
        <v>6895.0747473071006</v>
      </c>
      <c r="I190" s="32">
        <f t="shared" si="43"/>
        <v>7090.4459822276995</v>
      </c>
      <c r="J190" s="32">
        <f t="shared" si="43"/>
        <v>7317.6537767210457</v>
      </c>
      <c r="K190" s="95"/>
      <c r="L190" s="125"/>
      <c r="M190" s="15"/>
    </row>
    <row r="191" spans="1:13">
      <c r="A191" s="50"/>
      <c r="B191" s="50"/>
      <c r="C191" s="50"/>
      <c r="D191" s="50"/>
      <c r="E191" s="50"/>
      <c r="F191" s="96"/>
      <c r="G191" s="32"/>
      <c r="H191" s="32"/>
      <c r="I191" s="32"/>
      <c r="J191" s="32"/>
      <c r="K191" s="95"/>
      <c r="L191" s="27"/>
      <c r="M191" s="15"/>
    </row>
    <row r="192" spans="1:13" ht="15.75">
      <c r="A192" s="50"/>
      <c r="B192" s="50"/>
      <c r="C192" s="162" t="s">
        <v>229</v>
      </c>
      <c r="D192" s="50"/>
      <c r="E192" s="50"/>
      <c r="F192" s="50"/>
      <c r="G192" s="50"/>
      <c r="H192" s="50"/>
      <c r="I192" s="50"/>
      <c r="J192" s="50"/>
      <c r="K192" s="95"/>
      <c r="L192" s="125"/>
      <c r="M192" s="15"/>
    </row>
    <row r="193" spans="1:15">
      <c r="A193" s="50"/>
      <c r="B193" s="50"/>
      <c r="C193" s="50" t="s">
        <v>169</v>
      </c>
      <c r="D193" s="50"/>
      <c r="E193" s="31">
        <f t="shared" ref="E193:J193" si="44">E168-E165</f>
        <v>-1109.6064792162249</v>
      </c>
      <c r="F193" s="31">
        <f t="shared" si="44"/>
        <v>-1224.336314840046</v>
      </c>
      <c r="G193" s="31">
        <f t="shared" si="44"/>
        <v>-1197.5448128456437</v>
      </c>
      <c r="H193" s="31">
        <f t="shared" si="44"/>
        <v>-1314.5241662194512</v>
      </c>
      <c r="I193" s="31">
        <f t="shared" si="44"/>
        <v>-1274.4129162982217</v>
      </c>
      <c r="J193" s="31">
        <f t="shared" si="44"/>
        <v>-1264.3429226050239</v>
      </c>
      <c r="K193" s="95"/>
      <c r="L193" s="125"/>
      <c r="M193" s="15"/>
    </row>
    <row r="194" spans="1:15">
      <c r="A194" s="50"/>
      <c r="B194" s="50"/>
      <c r="C194" s="50" t="s">
        <v>170</v>
      </c>
      <c r="D194" s="50"/>
      <c r="E194" s="50"/>
      <c r="F194" s="31">
        <f>(F175+F184+F190+((F187-F189-F145-F152+F180)*F53+F193)*$D47-F193-F187*$D49)/($D50-F53*$D47)</f>
        <v>26894.336829003922</v>
      </c>
      <c r="G194" s="31">
        <f>(G175+G184+G190+((G187-G189-G145-G152+G180)*G53+G193)*$D47-G193-G187*$D49)/($D50-G53*$D47)</f>
        <v>26969.580316667765</v>
      </c>
      <c r="H194" s="31">
        <f>(H175+H184+H190+((H187-H189-H145-H152+H180)*H53+H193)*$D47-H193-H187*$D49)/($D50-H53*$D47)</f>
        <v>28598.716606287097</v>
      </c>
      <c r="I194" s="31">
        <f>(I175+I184+I190+((I187-I189-I145-I152+I180)*I53+I193)*$D47-I193-I187*$D49)/($D50-I53*$D47)</f>
        <v>30077.354640221543</v>
      </c>
      <c r="J194" s="31">
        <f>(J175+J184+J190+((J187-J189-J145-J152+J180)*J53+J193)*$D47-J193-J187*$D49)/($D50-J53*$D47)</f>
        <v>31719.232910683906</v>
      </c>
      <c r="K194" s="95"/>
      <c r="L194" s="125"/>
      <c r="M194" s="15"/>
    </row>
    <row r="195" spans="1:15">
      <c r="A195" s="50"/>
      <c r="B195" s="50"/>
      <c r="C195" s="50" t="s">
        <v>177</v>
      </c>
      <c r="D195" s="50"/>
      <c r="E195" s="50"/>
      <c r="F195" s="31">
        <f>(F194+F187-F189-F183-F152+F180)*F53</f>
        <v>3468.0207498077552</v>
      </c>
      <c r="G195" s="31">
        <f>(G194+G187-G189-G183-G152+G180)*G53</f>
        <v>3037.2830701082767</v>
      </c>
      <c r="H195" s="31">
        <f>(H194+H187-H189-H183-H152+H180)*H53</f>
        <v>3216.1793045167219</v>
      </c>
      <c r="I195" s="31">
        <f>(I194+I187-I189-I183-I152+I180)*I53</f>
        <v>3463.5220387789013</v>
      </c>
      <c r="J195" s="31">
        <f>(J194+J187-J189-J183-J152+J180)*J53</f>
        <v>3729.095134531126</v>
      </c>
      <c r="K195" s="95"/>
      <c r="L195" s="125"/>
      <c r="M195" s="15"/>
    </row>
    <row r="196" spans="1:15">
      <c r="A196" s="50"/>
      <c r="B196" s="50"/>
      <c r="C196" s="50" t="s">
        <v>162</v>
      </c>
      <c r="D196" s="50"/>
      <c r="E196" s="50"/>
      <c r="F196" s="31">
        <f>IF(F195&lt;0,#N/A,F195)</f>
        <v>3468.0207498077552</v>
      </c>
      <c r="G196" s="31">
        <f>IF(G195&lt;0,#N/A,G195)</f>
        <v>3037.2830701082767</v>
      </c>
      <c r="H196" s="31">
        <f>IF(H195&lt;0,#N/A,H195)</f>
        <v>3216.1793045167219</v>
      </c>
      <c r="I196" s="31">
        <f>IF(I195&lt;0,#N/A,I195)</f>
        <v>3463.5220387789013</v>
      </c>
      <c r="J196" s="31">
        <f>IF(J195&lt;0,#N/A,J195)</f>
        <v>3729.095134531126</v>
      </c>
      <c r="K196" s="95"/>
      <c r="L196" s="50"/>
      <c r="M196" s="15"/>
    </row>
    <row r="197" spans="1:15">
      <c r="A197" s="50"/>
      <c r="B197" s="50"/>
      <c r="C197" s="50" t="s">
        <v>171</v>
      </c>
      <c r="D197" s="50"/>
      <c r="E197" s="50"/>
      <c r="F197" s="31">
        <f>F175+F184+F190+(F196+F193)*$D$47-F193-F187*$D$49</f>
        <v>27826.881665776335</v>
      </c>
      <c r="G197" s="31">
        <f>G175+G184+G190+(G196+G193)*$D$47-G193-G187*$D$49</f>
        <v>27904.734175791902</v>
      </c>
      <c r="H197" s="31">
        <f>H175+H184+H190+(H196+H193)*$D$47-H193-H187*$D$49</f>
        <v>29590.359779311868</v>
      </c>
      <c r="I197" s="31">
        <f>I175+I184+I190+(I196+I193)*$D$47-I193-I187*$D$49</f>
        <v>31120.268691303951</v>
      </c>
      <c r="J197" s="31">
        <f>J175+J184+J190+(J196+J193)*$D$47-J193-J187*$D$49</f>
        <v>32819.078096133504</v>
      </c>
      <c r="K197" s="95"/>
      <c r="L197" s="27"/>
      <c r="M197" s="15"/>
    </row>
    <row r="198" spans="1:15">
      <c r="A198" s="50"/>
      <c r="B198" s="50"/>
      <c r="C198" s="50" t="s">
        <v>172</v>
      </c>
      <c r="D198" s="50"/>
      <c r="E198" s="50"/>
      <c r="F198" s="31">
        <f>F197/$D$50</f>
        <v>26894.336829003922</v>
      </c>
      <c r="G198" s="31">
        <f>G197/$D$50</f>
        <v>26969.580316667765</v>
      </c>
      <c r="H198" s="31">
        <f>H197/$D$50</f>
        <v>28598.716606287093</v>
      </c>
      <c r="I198" s="31">
        <f>I197/$D$50</f>
        <v>30077.35464022154</v>
      </c>
      <c r="J198" s="31">
        <f>J197/$D$50</f>
        <v>31719.232910683902</v>
      </c>
      <c r="K198" s="95"/>
      <c r="L198" s="50"/>
      <c r="M198" s="15"/>
    </row>
    <row r="199" spans="1:15">
      <c r="A199" s="50"/>
      <c r="B199" s="50"/>
      <c r="C199" s="50" t="s">
        <v>173</v>
      </c>
      <c r="D199" s="50"/>
      <c r="E199" s="50"/>
      <c r="F199" s="31">
        <f>F194-F198</f>
        <v>0</v>
      </c>
      <c r="G199" s="31">
        <f>G194-G198</f>
        <v>0</v>
      </c>
      <c r="H199" s="31">
        <f>H194-H198</f>
        <v>0</v>
      </c>
      <c r="I199" s="31">
        <f>I194-I198</f>
        <v>0</v>
      </c>
      <c r="J199" s="31">
        <f>J194-J198</f>
        <v>0</v>
      </c>
      <c r="K199" s="95"/>
      <c r="L199" s="27"/>
      <c r="M199" s="15"/>
    </row>
    <row r="200" spans="1:15">
      <c r="A200" s="50"/>
      <c r="B200" s="50"/>
      <c r="C200" s="50"/>
      <c r="D200" s="50"/>
      <c r="E200" s="50"/>
      <c r="F200" s="50"/>
      <c r="G200" s="50"/>
      <c r="H200" s="50"/>
      <c r="I200" s="50"/>
      <c r="J200" s="50"/>
      <c r="K200" s="50"/>
      <c r="L200" s="50"/>
      <c r="M200" s="15"/>
    </row>
    <row r="201" spans="1:15" ht="15.75">
      <c r="A201" s="50"/>
      <c r="B201" s="50"/>
      <c r="C201" s="162" t="s">
        <v>174</v>
      </c>
      <c r="D201" s="50"/>
      <c r="E201" s="50"/>
      <c r="F201" s="31"/>
      <c r="G201" s="31"/>
      <c r="H201" s="31"/>
      <c r="I201" s="31"/>
      <c r="J201" s="50"/>
      <c r="K201" s="95"/>
      <c r="L201" s="27"/>
      <c r="M201" s="15"/>
    </row>
    <row r="202" spans="1:15">
      <c r="A202" s="50"/>
      <c r="B202" s="50"/>
      <c r="C202" s="95" t="s">
        <v>103</v>
      </c>
      <c r="D202" s="50"/>
      <c r="E202" s="50"/>
      <c r="F202" s="31"/>
      <c r="G202" s="31"/>
      <c r="H202" s="31"/>
      <c r="I202" s="31"/>
      <c r="J202" s="50"/>
      <c r="K202" s="95"/>
      <c r="L202" s="50"/>
      <c r="M202" s="15"/>
      <c r="O202" s="8"/>
    </row>
    <row r="203" spans="1:15">
      <c r="A203" s="50"/>
      <c r="B203" s="50"/>
      <c r="C203" s="50" t="s">
        <v>175</v>
      </c>
      <c r="D203" s="50"/>
      <c r="E203" s="50"/>
      <c r="F203" s="50"/>
      <c r="G203" s="50"/>
      <c r="H203" s="31">
        <v>1</v>
      </c>
      <c r="I203" s="31">
        <v>2</v>
      </c>
      <c r="J203" s="31">
        <v>3</v>
      </c>
      <c r="K203" s="95"/>
      <c r="L203" s="27"/>
      <c r="M203" s="15"/>
    </row>
    <row r="204" spans="1:15">
      <c r="A204" s="50"/>
      <c r="B204" s="50" t="s">
        <v>135</v>
      </c>
      <c r="C204" s="50" t="s">
        <v>136</v>
      </c>
      <c r="D204" s="50"/>
      <c r="E204" s="50"/>
      <c r="F204" s="31"/>
      <c r="G204" s="31"/>
      <c r="H204" s="31">
        <f>H197</f>
        <v>29590.359779311868</v>
      </c>
      <c r="I204" s="31">
        <f>I197</f>
        <v>31120.268691303951</v>
      </c>
      <c r="J204" s="31">
        <f>J197</f>
        <v>32819.078096133504</v>
      </c>
      <c r="K204" s="95"/>
      <c r="L204" s="50"/>
      <c r="M204" s="15"/>
    </row>
    <row r="205" spans="1:15">
      <c r="A205" s="50"/>
      <c r="B205" s="50" t="s">
        <v>135</v>
      </c>
      <c r="C205" s="50" t="s">
        <v>137</v>
      </c>
      <c r="D205" s="50"/>
      <c r="E205" s="50"/>
      <c r="F205" s="31"/>
      <c r="G205" s="31"/>
      <c r="H205" s="31">
        <f>H204/(1+WACC)^H$203</f>
        <v>27204.523103164356</v>
      </c>
      <c r="I205" s="31">
        <f>I204/(1+WACC)^I$203</f>
        <v>26304.19896955201</v>
      </c>
      <c r="J205" s="31">
        <f>J204/(1+WACC)^J$203</f>
        <v>25503.453394164666</v>
      </c>
      <c r="K205" s="95"/>
      <c r="L205" s="50"/>
      <c r="M205" s="15"/>
    </row>
    <row r="206" spans="1:15">
      <c r="A206" s="50"/>
      <c r="B206" s="50" t="s">
        <v>135</v>
      </c>
      <c r="C206" s="50" t="s">
        <v>101</v>
      </c>
      <c r="D206" s="31">
        <f>SUM(H205:J205)</f>
        <v>79012.175466881032</v>
      </c>
      <c r="E206" s="50"/>
      <c r="F206" s="31"/>
      <c r="G206" s="31"/>
      <c r="H206" s="31"/>
      <c r="I206" s="31"/>
      <c r="J206" s="31"/>
      <c r="K206" s="95"/>
      <c r="L206" s="50"/>
      <c r="M206" s="15"/>
    </row>
    <row r="207" spans="1:15">
      <c r="A207" s="50"/>
      <c r="B207" s="50"/>
      <c r="C207" s="50"/>
      <c r="D207" s="50"/>
      <c r="E207" s="50"/>
      <c r="F207" s="123"/>
      <c r="G207" s="50"/>
      <c r="H207" s="50"/>
      <c r="I207" s="50"/>
      <c r="J207" s="50"/>
      <c r="K207" s="95"/>
      <c r="L207" s="50"/>
      <c r="M207" s="15"/>
    </row>
    <row r="208" spans="1:15" ht="21">
      <c r="A208" s="50"/>
      <c r="B208" s="50"/>
      <c r="C208" s="155" t="s">
        <v>104</v>
      </c>
      <c r="D208" s="50"/>
      <c r="E208" s="50"/>
      <c r="F208" s="123"/>
      <c r="G208" s="50"/>
      <c r="H208" s="50"/>
      <c r="I208" s="50"/>
      <c r="J208" s="50"/>
      <c r="K208" s="95"/>
      <c r="L208" s="50"/>
      <c r="M208" s="15"/>
    </row>
    <row r="209" spans="1:13" ht="15.75">
      <c r="A209" s="50"/>
      <c r="B209" s="50"/>
      <c r="C209" s="50"/>
      <c r="D209" s="50"/>
      <c r="E209" s="162" t="str">
        <f>Inputs!D$11</f>
        <v>2009/10</v>
      </c>
      <c r="F209" s="168" t="str">
        <f>Inputs!E$11</f>
        <v>2010/11</v>
      </c>
      <c r="G209" s="162" t="str">
        <f>Inputs!F$11</f>
        <v>2011/12</v>
      </c>
      <c r="H209" s="162" t="str">
        <f>Inputs!G$11</f>
        <v>2012/13</v>
      </c>
      <c r="I209" s="162" t="str">
        <f>Inputs!H$11</f>
        <v>2013/14</v>
      </c>
      <c r="J209" s="162" t="str">
        <f>Inputs!I$11</f>
        <v>2014/15</v>
      </c>
      <c r="K209" s="95"/>
      <c r="L209" s="50"/>
      <c r="M209" s="15"/>
    </row>
    <row r="210" spans="1:13">
      <c r="A210" s="50"/>
      <c r="B210" s="50"/>
      <c r="C210" s="50" t="s">
        <v>53</v>
      </c>
      <c r="D210" s="32">
        <f>D206</f>
        <v>79012.175466881032</v>
      </c>
      <c r="E210" s="50"/>
      <c r="F210" s="169"/>
      <c r="G210" s="32"/>
      <c r="H210" s="32"/>
      <c r="I210" s="32"/>
      <c r="J210" s="32"/>
      <c r="K210" s="95"/>
      <c r="L210" s="50"/>
      <c r="M210" s="15"/>
    </row>
    <row r="211" spans="1:13">
      <c r="A211" s="50"/>
      <c r="B211" s="50"/>
      <c r="C211" s="50" t="s">
        <v>143</v>
      </c>
      <c r="D211" s="50"/>
      <c r="E211" s="50"/>
      <c r="F211" s="113"/>
      <c r="G211" s="113"/>
      <c r="H211" s="170">
        <v>1</v>
      </c>
      <c r="I211" s="113">
        <f>H211*(1+I$35)*(1+I$30)*(1-X_industry_wide)</f>
        <v>1.0401291180846142</v>
      </c>
      <c r="J211" s="113">
        <f>I211*(1+J$35)*(1+J$30)*(1-X_industry_wide)</f>
        <v>1.0801826536621792</v>
      </c>
      <c r="K211" s="95"/>
      <c r="L211" s="50" t="s">
        <v>290</v>
      </c>
    </row>
    <row r="212" spans="1:13">
      <c r="A212" s="50"/>
      <c r="B212" s="50"/>
      <c r="C212" s="50" t="s">
        <v>102</v>
      </c>
      <c r="D212" s="50"/>
      <c r="E212" s="50"/>
      <c r="F212" s="171"/>
      <c r="G212" s="113"/>
      <c r="H212" s="113">
        <f>H211/(1+WACC)^H$203</f>
        <v>0.91937115013330895</v>
      </c>
      <c r="I212" s="113">
        <f>I211/(1+WACC)^I$203</f>
        <v>0.87916218036278038</v>
      </c>
      <c r="J212" s="113">
        <f>J211/(1+WACC)^J$203</f>
        <v>0.83940163962448555</v>
      </c>
      <c r="K212" s="95"/>
      <c r="L212" s="50" t="s">
        <v>165</v>
      </c>
    </row>
    <row r="213" spans="1:13">
      <c r="A213" s="50"/>
      <c r="B213" s="50"/>
      <c r="C213" s="50" t="s">
        <v>91</v>
      </c>
      <c r="D213" s="113">
        <f>SUM(H212:J212)</f>
        <v>2.637934970120575</v>
      </c>
      <c r="E213" s="50"/>
      <c r="F213" s="171"/>
      <c r="G213" s="113"/>
      <c r="H213" s="113"/>
      <c r="I213" s="113"/>
      <c r="J213" s="113"/>
      <c r="K213" s="95"/>
      <c r="L213" s="50" t="s">
        <v>279</v>
      </c>
    </row>
    <row r="214" spans="1:13">
      <c r="A214" s="50"/>
      <c r="B214" s="50"/>
      <c r="C214" s="50" t="s">
        <v>142</v>
      </c>
      <c r="D214" s="32">
        <f>D210/D213</f>
        <v>29952.283267721923</v>
      </c>
      <c r="E214" s="50"/>
      <c r="F214" s="171"/>
      <c r="G214" s="113"/>
      <c r="H214" s="31"/>
      <c r="I214" s="31"/>
      <c r="J214" s="31"/>
      <c r="K214" s="95"/>
      <c r="L214" s="31"/>
    </row>
    <row r="215" spans="1:13">
      <c r="A215" s="50"/>
      <c r="B215" s="50"/>
      <c r="C215" s="50" t="s">
        <v>138</v>
      </c>
      <c r="D215" s="32"/>
      <c r="E215" s="50"/>
      <c r="F215" s="171"/>
      <c r="G215" s="113"/>
      <c r="H215" s="31">
        <f>$D214*H211</f>
        <v>29952.283267721923</v>
      </c>
      <c r="I215" s="31">
        <f>$D214*I211</f>
        <v>31154.241979876148</v>
      </c>
      <c r="J215" s="31">
        <f>$D214*J211</f>
        <v>32353.936823369157</v>
      </c>
      <c r="K215" s="95"/>
      <c r="L215" s="50" t="s">
        <v>131</v>
      </c>
    </row>
    <row r="216" spans="1:13">
      <c r="A216" s="50"/>
      <c r="B216" s="50"/>
      <c r="C216" s="50" t="s">
        <v>139</v>
      </c>
      <c r="D216" s="32"/>
      <c r="E216" s="50"/>
      <c r="F216" s="171"/>
      <c r="G216" s="113"/>
      <c r="H216" s="54">
        <f>H215/$D$50</f>
        <v>28948.51117976959</v>
      </c>
      <c r="I216" s="54">
        <f>I215/$D$50</f>
        <v>30110.189403276334</v>
      </c>
      <c r="J216" s="54">
        <f>J215/$D$50</f>
        <v>31269.679625732781</v>
      </c>
      <c r="K216" s="95"/>
      <c r="L216" s="50" t="s">
        <v>133</v>
      </c>
    </row>
    <row r="217" spans="1:13">
      <c r="A217" s="50"/>
      <c r="B217" s="50"/>
      <c r="C217" s="50" t="s">
        <v>140</v>
      </c>
      <c r="D217" s="50"/>
      <c r="E217" s="50"/>
      <c r="F217" s="171"/>
      <c r="G217" s="113"/>
      <c r="H217" s="31">
        <f>H215/(1+WACC)^H$203</f>
        <v>27537.265116964169</v>
      </c>
      <c r="I217" s="31">
        <f>I215/(1+WACC)^I$203</f>
        <v>26332.914664494027</v>
      </c>
      <c r="J217" s="31">
        <f>J215/(1+WACC)^J$203</f>
        <v>25141.995685422826</v>
      </c>
      <c r="K217" s="95"/>
      <c r="L217" s="50" t="s">
        <v>181</v>
      </c>
    </row>
    <row r="218" spans="1:13">
      <c r="A218" s="50"/>
      <c r="B218" s="50"/>
      <c r="C218" s="50" t="s">
        <v>141</v>
      </c>
      <c r="D218" s="32">
        <f>SUM(H217:J217)</f>
        <v>79012.175466881017</v>
      </c>
      <c r="E218" s="50"/>
      <c r="F218" s="171"/>
      <c r="G218" s="113"/>
      <c r="H218" s="31"/>
      <c r="I218" s="31"/>
      <c r="J218" s="31"/>
      <c r="K218" s="95"/>
      <c r="L218" s="50" t="s">
        <v>134</v>
      </c>
      <c r="M218" s="15"/>
    </row>
    <row r="219" spans="1:13">
      <c r="A219" s="50"/>
      <c r="B219" s="50"/>
      <c r="C219" s="50" t="s">
        <v>132</v>
      </c>
      <c r="D219" s="172">
        <f>D210-D218</f>
        <v>0</v>
      </c>
      <c r="E219" s="50"/>
      <c r="F219" s="171"/>
      <c r="G219" s="113"/>
      <c r="H219" s="31"/>
      <c r="I219" s="31"/>
      <c r="J219" s="31"/>
      <c r="K219" s="95"/>
      <c r="L219" s="50"/>
      <c r="M219" s="15"/>
    </row>
    <row r="220" spans="1:13">
      <c r="A220" s="50"/>
      <c r="B220" s="50"/>
      <c r="C220" s="50" t="s">
        <v>202</v>
      </c>
      <c r="D220" s="32">
        <f>SUM(I217:J217)</f>
        <v>51474.910349916856</v>
      </c>
      <c r="E220" s="50"/>
      <c r="F220" s="171"/>
      <c r="G220" s="113"/>
      <c r="H220" s="31"/>
      <c r="I220" s="31"/>
      <c r="J220" s="31"/>
      <c r="K220" s="95"/>
      <c r="L220" s="27"/>
      <c r="M220" s="15"/>
    </row>
    <row r="221" spans="1:13">
      <c r="A221" s="50"/>
      <c r="B221" s="50"/>
      <c r="C221" s="50"/>
      <c r="D221" s="31"/>
      <c r="E221" s="50"/>
      <c r="F221" s="123"/>
      <c r="G221" s="50"/>
      <c r="H221" s="50"/>
      <c r="I221" s="50"/>
      <c r="J221" s="50"/>
      <c r="K221" s="95"/>
      <c r="L221" s="50"/>
      <c r="M221" s="15"/>
    </row>
    <row r="222" spans="1:13" ht="21">
      <c r="A222" s="50"/>
      <c r="B222" s="50"/>
      <c r="C222" s="155" t="s">
        <v>113</v>
      </c>
      <c r="D222" s="155"/>
      <c r="E222" s="155"/>
      <c r="F222" s="155"/>
      <c r="G222" s="155"/>
      <c r="H222" s="50"/>
      <c r="I222" s="50"/>
      <c r="J222" s="50"/>
      <c r="K222" s="173"/>
      <c r="L222" s="174"/>
      <c r="M222" s="53"/>
    </row>
    <row r="223" spans="1:13" ht="15.75">
      <c r="A223" s="50"/>
      <c r="B223" s="50"/>
      <c r="C223" s="50"/>
      <c r="D223" s="50"/>
      <c r="E223" s="162" t="str">
        <f>Inputs!D$11</f>
        <v>2009/10</v>
      </c>
      <c r="F223" s="168" t="str">
        <f>Inputs!E$11</f>
        <v>2010/11</v>
      </c>
      <c r="G223" s="162" t="str">
        <f>Inputs!F$11</f>
        <v>2011/12</v>
      </c>
      <c r="H223" s="162" t="str">
        <f>Inputs!G$11</f>
        <v>2012/13</v>
      </c>
      <c r="I223" s="162" t="str">
        <f>Inputs!H$11</f>
        <v>2013/14</v>
      </c>
      <c r="J223" s="162" t="str">
        <f>Inputs!I$11</f>
        <v>2014/15</v>
      </c>
      <c r="K223" s="95"/>
      <c r="L223" s="50"/>
      <c r="M223" s="15"/>
    </row>
    <row r="224" spans="1:13" ht="15.75">
      <c r="A224" s="50"/>
      <c r="B224" s="50"/>
      <c r="C224" s="175" t="s">
        <v>318</v>
      </c>
      <c r="D224" s="50"/>
      <c r="E224" s="162"/>
      <c r="F224" s="95"/>
      <c r="G224" s="95"/>
      <c r="H224" s="95"/>
      <c r="I224" s="95"/>
      <c r="J224" s="95"/>
      <c r="K224" s="95"/>
      <c r="L224" s="50"/>
      <c r="M224" s="15"/>
    </row>
    <row r="225" spans="1:13" ht="15.75">
      <c r="A225" s="50"/>
      <c r="B225" s="50"/>
      <c r="C225" s="175" t="s">
        <v>204</v>
      </c>
      <c r="D225" s="50"/>
      <c r="E225" s="162"/>
      <c r="F225" s="95"/>
      <c r="G225" s="95"/>
      <c r="H225" s="95"/>
      <c r="I225" s="95"/>
      <c r="J225" s="95"/>
      <c r="K225" s="95"/>
      <c r="L225" s="50"/>
      <c r="M225" s="15"/>
    </row>
    <row r="226" spans="1:13">
      <c r="A226" s="50"/>
      <c r="B226" s="50" t="s">
        <v>150</v>
      </c>
      <c r="C226" s="50" t="s">
        <v>203</v>
      </c>
      <c r="D226" s="32">
        <f>D220</f>
        <v>51474.910349916856</v>
      </c>
      <c r="E226" s="50"/>
      <c r="F226" s="169"/>
      <c r="G226" s="32"/>
      <c r="H226" s="32"/>
      <c r="I226" s="32"/>
      <c r="J226" s="32"/>
      <c r="K226" s="95"/>
      <c r="L226" s="50"/>
      <c r="M226" s="15"/>
    </row>
    <row r="227" spans="1:13">
      <c r="A227" s="32"/>
      <c r="B227" s="50" t="s">
        <v>150</v>
      </c>
      <c r="C227" s="50" t="s">
        <v>319</v>
      </c>
      <c r="D227" s="49">
        <f>IF(E26="IWX",X_industry_wide,E26)</f>
        <v>0</v>
      </c>
      <c r="E227" s="32"/>
      <c r="F227" s="49"/>
      <c r="G227" s="49"/>
      <c r="H227" s="49"/>
      <c r="I227" s="49"/>
      <c r="J227" s="49"/>
      <c r="K227" s="95"/>
      <c r="L227" s="50"/>
      <c r="M227" s="15"/>
    </row>
    <row r="228" spans="1:13">
      <c r="A228" s="50"/>
      <c r="B228" s="50" t="s">
        <v>150</v>
      </c>
      <c r="C228" s="50" t="s">
        <v>143</v>
      </c>
      <c r="D228" s="50"/>
      <c r="E228" s="50"/>
      <c r="F228" s="171"/>
      <c r="G228" s="113"/>
      <c r="H228" s="113"/>
      <c r="I228" s="113">
        <v>1</v>
      </c>
      <c r="J228" s="113">
        <f>I228*(1+J$35)*(1+J$30)*(1-D227)</f>
        <v>1.0385082341039766</v>
      </c>
      <c r="K228" s="95"/>
      <c r="L228" s="50" t="s">
        <v>278</v>
      </c>
    </row>
    <row r="229" spans="1:13">
      <c r="A229" s="50"/>
      <c r="B229" s="50" t="s">
        <v>150</v>
      </c>
      <c r="C229" s="50" t="s">
        <v>102</v>
      </c>
      <c r="D229" s="50"/>
      <c r="E229" s="50"/>
      <c r="F229" s="171"/>
      <c r="G229" s="113"/>
      <c r="H229" s="113"/>
      <c r="I229" s="113">
        <f>I228/(1+WACC)^I$203</f>
        <v>0.84524331169744327</v>
      </c>
      <c r="J229" s="113">
        <f>J228/(1+WACC)^J$203</f>
        <v>0.80701676842797554</v>
      </c>
      <c r="K229" s="95"/>
      <c r="L229" s="50" t="s">
        <v>165</v>
      </c>
    </row>
    <row r="230" spans="1:13">
      <c r="A230" s="50"/>
      <c r="B230" s="50" t="s">
        <v>150</v>
      </c>
      <c r="C230" s="50" t="s">
        <v>91</v>
      </c>
      <c r="D230" s="113">
        <f>SUM(I229:J229)</f>
        <v>1.6522600801254188</v>
      </c>
      <c r="E230" s="50"/>
      <c r="F230" s="171"/>
      <c r="G230" s="113"/>
      <c r="H230" s="113"/>
      <c r="I230" s="113"/>
      <c r="J230" s="113"/>
      <c r="K230" s="95"/>
      <c r="L230" s="50" t="s">
        <v>279</v>
      </c>
    </row>
    <row r="231" spans="1:13">
      <c r="A231" s="50"/>
      <c r="B231" s="50" t="s">
        <v>150</v>
      </c>
      <c r="C231" s="50" t="s">
        <v>142</v>
      </c>
      <c r="D231" s="32">
        <f>D226/D230</f>
        <v>31154.241979876151</v>
      </c>
      <c r="E231" s="50"/>
      <c r="F231" s="171"/>
      <c r="G231" s="113"/>
      <c r="H231" s="31"/>
      <c r="I231" s="31"/>
      <c r="J231" s="31"/>
      <c r="K231" s="95"/>
      <c r="L231" s="50"/>
    </row>
    <row r="232" spans="1:13">
      <c r="A232" s="50"/>
      <c r="B232" s="50" t="s">
        <v>150</v>
      </c>
      <c r="C232" s="50" t="s">
        <v>138</v>
      </c>
      <c r="D232" s="32"/>
      <c r="E232" s="50"/>
      <c r="F232" s="171"/>
      <c r="G232" s="113"/>
      <c r="H232" s="31">
        <f>H215</f>
        <v>29952.283267721923</v>
      </c>
      <c r="I232" s="31">
        <f>$D231*I228</f>
        <v>31154.241979876151</v>
      </c>
      <c r="J232" s="31">
        <f>$D231*J228</f>
        <v>32353.93682336916</v>
      </c>
      <c r="K232" s="95"/>
      <c r="L232" s="50" t="s">
        <v>131</v>
      </c>
    </row>
    <row r="233" spans="1:13">
      <c r="A233" s="50"/>
      <c r="B233" s="50" t="s">
        <v>150</v>
      </c>
      <c r="C233" s="50" t="s">
        <v>139</v>
      </c>
      <c r="D233" s="32"/>
      <c r="E233" s="50"/>
      <c r="F233" s="171"/>
      <c r="G233" s="113"/>
      <c r="H233" s="54">
        <f>H232/$D$50</f>
        <v>28948.51117976959</v>
      </c>
      <c r="I233" s="54">
        <f>I232/$D$50</f>
        <v>30110.189403276338</v>
      </c>
      <c r="J233" s="54">
        <f>J232/$D$50</f>
        <v>31269.679625732784</v>
      </c>
      <c r="K233" s="95"/>
      <c r="L233" s="50" t="s">
        <v>133</v>
      </c>
    </row>
    <row r="234" spans="1:13">
      <c r="A234" s="50"/>
      <c r="B234" s="50" t="s">
        <v>150</v>
      </c>
      <c r="C234" s="50" t="s">
        <v>209</v>
      </c>
      <c r="D234" s="50"/>
      <c r="E234" s="50"/>
      <c r="F234" s="171"/>
      <c r="G234" s="113"/>
      <c r="H234" s="31"/>
      <c r="I234" s="31">
        <f>I232/(1+WACC)^I$203</f>
        <v>26332.91466449403</v>
      </c>
      <c r="J234" s="31">
        <f>J232/(1+WACC)^J$203</f>
        <v>25141.995685422829</v>
      </c>
      <c r="K234" s="95"/>
      <c r="L234" s="50" t="s">
        <v>181</v>
      </c>
    </row>
    <row r="235" spans="1:13">
      <c r="A235" s="50"/>
      <c r="B235" s="50" t="s">
        <v>150</v>
      </c>
      <c r="C235" s="50" t="s">
        <v>390</v>
      </c>
      <c r="D235" s="32">
        <f>SUM(I234:J234)</f>
        <v>51474.910349916856</v>
      </c>
      <c r="E235" s="50"/>
      <c r="F235" s="50"/>
      <c r="G235" s="113"/>
      <c r="H235" s="31"/>
      <c r="I235" s="31"/>
      <c r="J235" s="31"/>
      <c r="K235" s="95"/>
      <c r="L235" s="50" t="s">
        <v>134</v>
      </c>
    </row>
    <row r="236" spans="1:13">
      <c r="A236" s="50"/>
      <c r="B236" s="50" t="s">
        <v>150</v>
      </c>
      <c r="C236" s="50" t="s">
        <v>132</v>
      </c>
      <c r="D236" s="172">
        <f>D226-D235</f>
        <v>0</v>
      </c>
      <c r="E236" s="50"/>
      <c r="F236" s="171"/>
      <c r="G236" s="113"/>
      <c r="H236" s="31"/>
      <c r="I236" s="31"/>
      <c r="J236" s="31"/>
      <c r="K236" s="95"/>
      <c r="L236" s="50"/>
      <c r="M236" s="15"/>
    </row>
    <row r="237" spans="1:13">
      <c r="A237" s="50"/>
      <c r="B237" s="119" t="s">
        <v>150</v>
      </c>
      <c r="C237" s="119" t="s">
        <v>190</v>
      </c>
      <c r="D237" s="119"/>
      <c r="E237" s="50"/>
      <c r="F237" s="176"/>
      <c r="G237" s="177"/>
      <c r="H237" s="178">
        <f>(H233+H187-H$189-H$183-H152+H$180)*H$53</f>
        <v>3314.1217850918201</v>
      </c>
      <c r="I237" s="178">
        <f>(I233+I187-I$189-I$183-I152+I$180)*I$53</f>
        <v>3472.7157724342437</v>
      </c>
      <c r="J237" s="178">
        <f>(J233+J187-J$189-J$183-J152+J$180)*J$53</f>
        <v>3603.220214744812</v>
      </c>
      <c r="K237" s="54"/>
      <c r="L237" s="50"/>
      <c r="M237" s="15"/>
    </row>
    <row r="238" spans="1:13">
      <c r="A238" s="50"/>
      <c r="B238" s="119"/>
      <c r="C238" s="119"/>
      <c r="D238" s="119"/>
      <c r="E238" s="178"/>
      <c r="F238" s="176"/>
      <c r="G238" s="177"/>
      <c r="H238" s="178"/>
      <c r="I238" s="178"/>
      <c r="J238" s="178"/>
      <c r="K238" s="95"/>
      <c r="L238" s="50"/>
      <c r="M238" s="15"/>
    </row>
    <row r="239" spans="1:13" ht="21">
      <c r="A239" s="50"/>
      <c r="B239" s="50"/>
      <c r="C239" s="155" t="s">
        <v>199</v>
      </c>
      <c r="D239" s="155"/>
      <c r="E239" s="155"/>
      <c r="F239" s="155"/>
      <c r="G239" s="155"/>
      <c r="H239" s="155"/>
      <c r="I239" s="155"/>
      <c r="J239" s="50"/>
      <c r="K239" s="50"/>
      <c r="L239" s="50"/>
      <c r="M239" s="15"/>
    </row>
    <row r="240" spans="1:13">
      <c r="A240" s="50"/>
      <c r="B240" s="50"/>
      <c r="C240" s="50" t="s">
        <v>197</v>
      </c>
      <c r="D240" s="179"/>
      <c r="E240" s="50"/>
      <c r="F240" s="31">
        <f>G240/((1+G35)*(1+G30)*(1-X_industry_wide))</f>
        <v>27015.601466925658</v>
      </c>
      <c r="G240" s="31">
        <f>H240/((1+H35)*(1+H30)*(1-X_industry_wide))</f>
        <v>27913.948978088119</v>
      </c>
      <c r="H240" s="31">
        <f>H233</f>
        <v>28948.51117976959</v>
      </c>
      <c r="I240" s="50"/>
      <c r="J240" s="50"/>
      <c r="K240" s="50"/>
      <c r="L240" s="50"/>
      <c r="M240" s="15"/>
    </row>
    <row r="241" spans="1:13">
      <c r="A241" s="50"/>
      <c r="B241" s="50"/>
      <c r="C241" s="50"/>
      <c r="D241" s="179"/>
      <c r="E241" s="50"/>
      <c r="F241" s="31"/>
      <c r="G241" s="31"/>
      <c r="H241" s="31"/>
      <c r="I241" s="50"/>
      <c r="J241" s="50"/>
      <c r="K241" s="50"/>
      <c r="L241" s="50"/>
      <c r="M241" s="15"/>
    </row>
    <row r="242" spans="1:13" ht="21">
      <c r="A242" s="50"/>
      <c r="B242" s="50"/>
      <c r="C242" s="155" t="s">
        <v>198</v>
      </c>
      <c r="D242" s="179"/>
      <c r="E242" s="50"/>
      <c r="F242" s="123"/>
      <c r="G242" s="50"/>
      <c r="H242" s="50"/>
      <c r="I242" s="50"/>
      <c r="J242" s="50"/>
      <c r="K242" s="50"/>
      <c r="L242" s="27"/>
      <c r="M242" s="15"/>
    </row>
    <row r="243" spans="1:13">
      <c r="A243" s="50"/>
      <c r="B243" s="50"/>
      <c r="C243" s="180" t="s">
        <v>212</v>
      </c>
      <c r="D243" s="179"/>
      <c r="E243" s="181">
        <f>(1+H30)*(1+I30)</f>
        <v>1.0322344490538664</v>
      </c>
      <c r="F243" s="123"/>
      <c r="G243" s="50"/>
      <c r="H243" s="50"/>
      <c r="I243" s="50"/>
      <c r="J243" s="50"/>
      <c r="K243" s="50"/>
      <c r="L243" s="27"/>
      <c r="M243" s="15"/>
    </row>
    <row r="244" spans="1:13">
      <c r="A244" s="50"/>
      <c r="B244" s="50"/>
      <c r="C244" s="50"/>
      <c r="D244" s="127"/>
      <c r="E244" s="50"/>
      <c r="F244" s="123"/>
      <c r="G244" s="50"/>
      <c r="H244" s="50"/>
      <c r="I244" s="50"/>
      <c r="J244" s="50"/>
      <c r="K244" s="50"/>
      <c r="L244" s="27"/>
    </row>
    <row r="245" spans="1:13" ht="21">
      <c r="A245" s="50"/>
      <c r="B245" s="50"/>
      <c r="C245" s="155" t="s">
        <v>315</v>
      </c>
      <c r="D245" s="162" t="s">
        <v>342</v>
      </c>
      <c r="E245" s="50"/>
      <c r="F245" s="123"/>
      <c r="G245" s="50"/>
      <c r="H245" s="50"/>
      <c r="I245" s="50"/>
      <c r="J245" s="50"/>
      <c r="K245" s="50"/>
      <c r="L245" s="27"/>
    </row>
    <row r="246" spans="1:13">
      <c r="A246" s="50"/>
      <c r="B246" s="50"/>
      <c r="C246" s="50"/>
      <c r="D246" s="50"/>
      <c r="E246" s="99" t="str">
        <f>Inputs!D$11</f>
        <v>2009/10</v>
      </c>
      <c r="F246" s="99" t="str">
        <f>Inputs!E$11</f>
        <v>2010/11</v>
      </c>
      <c r="G246" s="99" t="str">
        <f>Inputs!F$11</f>
        <v>2011/12</v>
      </c>
      <c r="H246" s="99" t="str">
        <f>Inputs!G$11</f>
        <v>2012/13</v>
      </c>
      <c r="I246" s="99" t="str">
        <f>Inputs!H$11</f>
        <v>2013/14</v>
      </c>
      <c r="J246" s="99" t="str">
        <f>Inputs!I$11</f>
        <v>2014/15</v>
      </c>
      <c r="K246" s="50"/>
      <c r="L246" s="27"/>
    </row>
    <row r="247" spans="1:13">
      <c r="A247" s="50"/>
      <c r="B247" s="50"/>
      <c r="C247" s="122" t="str">
        <f>C35</f>
        <v>2009 ΔCPI, 8 index, lagged, no GST adjustment</v>
      </c>
      <c r="D247" s="50"/>
      <c r="E247" s="50"/>
      <c r="F247" s="50"/>
      <c r="G247" s="50"/>
      <c r="H247" s="50"/>
      <c r="I247" s="100">
        <f>I35</f>
        <v>2.3759818812291389E-2</v>
      </c>
      <c r="J247" s="100">
        <f>J35</f>
        <v>2.2164443909808984E-2</v>
      </c>
      <c r="K247" s="50"/>
      <c r="L247" s="27"/>
    </row>
    <row r="248" spans="1:13">
      <c r="A248" s="50"/>
      <c r="B248" s="50"/>
      <c r="C248" s="122" t="str">
        <f>C37</f>
        <v>2012 ΔCPI, 8 index, lagged, with GST adjustment</v>
      </c>
      <c r="D248" s="50"/>
      <c r="E248" s="99"/>
      <c r="F248" s="100"/>
      <c r="G248" s="100"/>
      <c r="H248" s="100"/>
      <c r="I248" s="100">
        <f>I$37</f>
        <v>1.2820512820512775E-2</v>
      </c>
      <c r="J248" s="101">
        <f>J$37</f>
        <v>1.9725095732576747E-2</v>
      </c>
      <c r="K248" s="50"/>
      <c r="L248" s="27"/>
    </row>
    <row r="249" spans="1:13">
      <c r="A249" s="50"/>
      <c r="B249" s="50"/>
      <c r="C249" s="50" t="s">
        <v>200</v>
      </c>
      <c r="D249" s="50"/>
      <c r="E249" s="99"/>
      <c r="F249" s="100"/>
      <c r="G249" s="100">
        <f>G$30</f>
        <v>1.598939416406641E-2</v>
      </c>
      <c r="H249" s="100">
        <f>H$30</f>
        <v>1.598939416406641E-2</v>
      </c>
      <c r="I249" s="100">
        <f>I$30</f>
        <v>1.598939416406641E-2</v>
      </c>
      <c r="J249" s="100">
        <f>J$30</f>
        <v>1.598939416406641E-2</v>
      </c>
      <c r="K249" s="50"/>
      <c r="L249" s="27"/>
    </row>
    <row r="250" spans="1:13">
      <c r="A250" s="50"/>
      <c r="B250" s="50"/>
      <c r="C250" s="50" t="s">
        <v>309</v>
      </c>
      <c r="D250" s="54">
        <f>E25</f>
        <v>6587.8002393913048</v>
      </c>
      <c r="E250" s="50"/>
      <c r="F250" s="123"/>
      <c r="G250" s="50"/>
      <c r="H250" s="50"/>
      <c r="I250" s="50"/>
      <c r="J250" s="50"/>
      <c r="K250" s="50"/>
      <c r="L250" s="27"/>
    </row>
    <row r="251" spans="1:13">
      <c r="A251" s="50"/>
      <c r="B251" s="50"/>
      <c r="C251" s="119" t="s">
        <v>335</v>
      </c>
      <c r="D251" s="32">
        <f>E24</f>
        <v>26061.367083671332</v>
      </c>
      <c r="E251" s="50"/>
      <c r="F251" s="123"/>
      <c r="G251" s="50"/>
      <c r="H251" s="50"/>
      <c r="I251" s="50"/>
      <c r="J251" s="50"/>
      <c r="K251" s="50"/>
      <c r="L251" s="27"/>
    </row>
    <row r="252" spans="1:13">
      <c r="A252" s="50"/>
      <c r="B252" s="50"/>
      <c r="C252" s="50" t="s">
        <v>383</v>
      </c>
      <c r="D252" s="50"/>
      <c r="E252" s="50"/>
      <c r="F252" s="123"/>
      <c r="G252" s="50"/>
      <c r="H252" s="124">
        <f>(D251+D250)*(1+G$249)*(1+H$249)-D250</f>
        <v>27113.795004397754</v>
      </c>
      <c r="I252" s="124">
        <f>H252*(1+I249)*(1+I248)</f>
        <v>27900.499033853001</v>
      </c>
      <c r="J252" s="124">
        <f>I252*(1+J249)*(1+J248)</f>
        <v>28905.750728123814</v>
      </c>
      <c r="K252" s="50"/>
      <c r="L252" s="27"/>
    </row>
    <row r="253" spans="1:13">
      <c r="A253" s="50"/>
      <c r="B253" s="50"/>
      <c r="C253" s="50" t="s">
        <v>314</v>
      </c>
      <c r="D253" s="50"/>
      <c r="E253" s="50"/>
      <c r="F253" s="123"/>
      <c r="G253" s="50"/>
      <c r="H253" s="124">
        <f>$D$250</f>
        <v>6587.8002393913048</v>
      </c>
      <c r="I253" s="124">
        <f>H253*(1+I34)</f>
        <v>6704.546066418493</v>
      </c>
      <c r="J253" s="124"/>
      <c r="K253" s="50"/>
      <c r="L253" s="27"/>
    </row>
    <row r="254" spans="1:13">
      <c r="A254" s="50"/>
      <c r="B254" s="50"/>
      <c r="C254" s="119" t="s">
        <v>336</v>
      </c>
      <c r="D254" s="50"/>
      <c r="E254" s="50"/>
      <c r="F254" s="123"/>
      <c r="G254" s="50"/>
      <c r="H254" s="124">
        <f>D251</f>
        <v>26061.367083671332</v>
      </c>
      <c r="I254" s="124">
        <f>((H254+H253)*(1+G249)-H253)*(1+I248)*(1-X_industry_wide)</f>
        <v>26924.220405655615</v>
      </c>
      <c r="J254" s="97"/>
      <c r="K254" s="50"/>
      <c r="L254" s="27"/>
    </row>
    <row r="255" spans="1:13">
      <c r="A255" s="50"/>
      <c r="B255" s="50"/>
      <c r="C255" s="50" t="s">
        <v>337</v>
      </c>
      <c r="D255" s="50"/>
      <c r="E255" s="50"/>
      <c r="F255" s="123"/>
      <c r="G255" s="50"/>
      <c r="H255" s="124">
        <f>H216</f>
        <v>28948.51117976959</v>
      </c>
      <c r="I255" s="124">
        <f>I216</f>
        <v>30110.189403276334</v>
      </c>
      <c r="J255" s="124">
        <f>J216</f>
        <v>31269.679625732781</v>
      </c>
      <c r="K255" s="50"/>
      <c r="L255" s="27"/>
    </row>
    <row r="256" spans="1:13">
      <c r="A256" s="50"/>
      <c r="B256" s="50"/>
      <c r="C256" s="119" t="s">
        <v>371</v>
      </c>
      <c r="D256" s="50"/>
      <c r="E256" s="50"/>
      <c r="F256" s="123"/>
      <c r="G256" s="50"/>
      <c r="H256" s="124"/>
      <c r="I256" s="124">
        <f>(I255+I253)/((1+H249)*(1+I249))-I253</f>
        <v>28960.544847219164</v>
      </c>
      <c r="J256" s="124"/>
      <c r="K256" s="50"/>
      <c r="L256" s="27"/>
    </row>
    <row r="257" spans="1:12">
      <c r="A257" s="50"/>
      <c r="B257" s="50"/>
      <c r="C257" s="50" t="s">
        <v>344</v>
      </c>
      <c r="D257" s="50"/>
      <c r="E257" s="50"/>
      <c r="F257" s="123"/>
      <c r="G257" s="50"/>
      <c r="H257" s="124">
        <f>H255</f>
        <v>28948.51117976959</v>
      </c>
      <c r="I257" s="124">
        <f>I255*(1+I248)/(1+I247)</f>
        <v>29788.449314145873</v>
      </c>
      <c r="J257" s="124">
        <f>I257*(1+J$248)*(1+J$249)*(1-X_industry_wide)</f>
        <v>30861.723634666516</v>
      </c>
      <c r="K257" s="50"/>
      <c r="L257" s="27"/>
    </row>
    <row r="258" spans="1:12">
      <c r="A258" s="50"/>
      <c r="B258" s="50"/>
      <c r="C258" s="119" t="s">
        <v>346</v>
      </c>
      <c r="D258" s="50"/>
      <c r="E258" s="50"/>
      <c r="F258" s="123"/>
      <c r="G258" s="50"/>
      <c r="H258" s="124"/>
      <c r="I258" s="124">
        <f>(I257+I253)/((1+H249)*(1+I249))-I253</f>
        <v>28648.852005127563</v>
      </c>
      <c r="J258" s="97"/>
      <c r="K258" s="50"/>
      <c r="L258" s="27"/>
    </row>
    <row r="259" spans="1:12">
      <c r="A259" s="50"/>
      <c r="B259" s="50"/>
      <c r="C259" s="50" t="s">
        <v>338</v>
      </c>
      <c r="D259" s="50"/>
      <c r="E259" s="50"/>
      <c r="F259" s="123"/>
      <c r="G259" s="50"/>
      <c r="H259" s="124">
        <f>H233</f>
        <v>28948.51117976959</v>
      </c>
      <c r="I259" s="124">
        <f>I233</f>
        <v>30110.189403276338</v>
      </c>
      <c r="J259" s="124">
        <f>J233</f>
        <v>31269.679625732784</v>
      </c>
      <c r="K259" s="50"/>
      <c r="L259" s="27"/>
    </row>
    <row r="260" spans="1:12">
      <c r="A260" s="50"/>
      <c r="B260" s="50"/>
      <c r="C260" s="50" t="s">
        <v>345</v>
      </c>
      <c r="D260" s="50"/>
      <c r="E260" s="50"/>
      <c r="F260" s="123"/>
      <c r="G260" s="50"/>
      <c r="H260" s="124">
        <f>H259</f>
        <v>28948.51117976959</v>
      </c>
      <c r="I260" s="124">
        <f>I259*(1+I248)/(1+I247)</f>
        <v>29788.449314145877</v>
      </c>
      <c r="J260" s="124">
        <f>I260*(1+J$248)*(1+J$249)*(1-D227)</f>
        <v>30861.72363466652</v>
      </c>
      <c r="K260" s="50"/>
      <c r="L260" s="27"/>
    </row>
    <row r="261" spans="1:12">
      <c r="A261" s="50"/>
      <c r="B261" s="50"/>
      <c r="C261" s="119" t="s">
        <v>347</v>
      </c>
      <c r="D261" s="50"/>
      <c r="E261" s="50"/>
      <c r="F261" s="123"/>
      <c r="G261" s="50"/>
      <c r="H261" s="97"/>
      <c r="I261" s="124">
        <f>(I260+I253)/((1+H249)*(1+I249))-I253</f>
        <v>28648.852005127563</v>
      </c>
      <c r="J261" s="97"/>
      <c r="K261" s="50"/>
      <c r="L261" s="27"/>
    </row>
    <row r="262" spans="1:12">
      <c r="A262" s="50"/>
      <c r="B262" s="50"/>
      <c r="C262" s="50" t="s">
        <v>317</v>
      </c>
      <c r="D262" s="126">
        <f>E27</f>
        <v>0.2</v>
      </c>
      <c r="E262" s="50"/>
      <c r="F262" s="123"/>
      <c r="G262" s="50"/>
      <c r="H262" s="125"/>
      <c r="I262" s="125"/>
      <c r="J262" s="125"/>
      <c r="K262" s="50"/>
      <c r="L262" s="27"/>
    </row>
    <row r="263" spans="1:12" ht="18">
      <c r="A263" s="50"/>
      <c r="B263" s="50"/>
      <c r="C263" s="50" t="s">
        <v>339</v>
      </c>
      <c r="D263" s="127"/>
      <c r="E263" s="50"/>
      <c r="F263" s="123"/>
      <c r="G263" s="50"/>
      <c r="H263" s="124">
        <f>(D251+H253)*(1+G$249)*(1+H$249)-H253</f>
        <v>27113.795004397754</v>
      </c>
      <c r="I263" s="124">
        <f>H263*(1+$D262)*(1+I$247)*(1+I$249)</f>
        <v>33842.217223021507</v>
      </c>
      <c r="J263" s="124">
        <f>I264*(1+$D262)*(1+J247)*(1+J249)</f>
        <v>37122.659872715332</v>
      </c>
      <c r="K263" s="50"/>
      <c r="L263" s="27"/>
    </row>
    <row r="264" spans="1:12">
      <c r="A264" s="50"/>
      <c r="B264" s="50"/>
      <c r="C264" s="50" t="s">
        <v>367</v>
      </c>
      <c r="D264" s="127"/>
      <c r="E264" s="50"/>
      <c r="F264" s="123"/>
      <c r="G264" s="50"/>
      <c r="H264" s="124">
        <f>H260</f>
        <v>28948.51117976959</v>
      </c>
      <c r="I264" s="124">
        <f>MIN(I260,I263)</f>
        <v>29788.449314145877</v>
      </c>
      <c r="J264" s="124">
        <f>MIN(J260,J263)</f>
        <v>30861.72363466652</v>
      </c>
      <c r="K264" s="50"/>
      <c r="L264" s="27"/>
    </row>
    <row r="265" spans="1:12">
      <c r="A265" s="50"/>
      <c r="B265" s="50"/>
      <c r="C265" s="50" t="s">
        <v>373</v>
      </c>
      <c r="D265" s="31">
        <f>NPV(WACC,H255:J255)*D50</f>
        <v>79012.175466881032</v>
      </c>
      <c r="E265" s="50"/>
      <c r="F265" s="123"/>
      <c r="G265" s="50"/>
      <c r="H265" s="50"/>
      <c r="I265" s="50"/>
      <c r="J265" s="50"/>
      <c r="K265" s="50"/>
      <c r="L265" s="27"/>
    </row>
    <row r="266" spans="1:12">
      <c r="A266" s="50"/>
      <c r="B266" s="50"/>
      <c r="C266" s="50" t="s">
        <v>372</v>
      </c>
      <c r="D266" s="31">
        <f>NPV(WACC,H252:J252)*D50</f>
        <v>73433.726290533989</v>
      </c>
      <c r="E266" s="50"/>
      <c r="F266" s="123"/>
      <c r="G266" s="50"/>
      <c r="H266" s="50"/>
      <c r="I266" s="50"/>
      <c r="J266" s="50"/>
      <c r="K266" s="50"/>
      <c r="L266" s="27"/>
    </row>
    <row r="267" spans="1:12">
      <c r="A267" s="50"/>
      <c r="B267" s="50"/>
      <c r="C267" s="50" t="s">
        <v>340</v>
      </c>
      <c r="D267" s="31">
        <f>NPV(WACC,H259:J259)*D50</f>
        <v>79012.175466881032</v>
      </c>
      <c r="E267" s="50"/>
      <c r="F267" s="123"/>
      <c r="G267" s="50"/>
      <c r="H267" s="50"/>
      <c r="I267" s="50"/>
      <c r="J267" s="50"/>
      <c r="K267" s="50"/>
      <c r="L267" s="27"/>
    </row>
    <row r="268" spans="1:12">
      <c r="A268" s="50"/>
      <c r="B268" s="50"/>
      <c r="C268" s="50" t="s">
        <v>351</v>
      </c>
      <c r="D268" s="31">
        <f>NPV(WACC,H264:J264)*D50</f>
        <v>78402.78522976466</v>
      </c>
      <c r="E268" s="50"/>
      <c r="F268" s="123"/>
      <c r="G268" s="50"/>
      <c r="H268" s="50"/>
      <c r="I268" s="50"/>
      <c r="J268" s="50"/>
      <c r="K268" s="50"/>
      <c r="L268" s="27"/>
    </row>
    <row r="269" spans="1:12">
      <c r="A269" s="50"/>
      <c r="B269" s="50"/>
      <c r="C269" s="50" t="s">
        <v>348</v>
      </c>
      <c r="D269" s="31">
        <f>NPV(WACC,H257:J257)*D50</f>
        <v>78402.785229764646</v>
      </c>
      <c r="E269" s="50"/>
      <c r="F269" s="123"/>
      <c r="G269" s="50"/>
      <c r="H269" s="50"/>
      <c r="I269" s="50"/>
      <c r="J269" s="50"/>
      <c r="K269" s="50"/>
      <c r="L269" s="27"/>
    </row>
    <row r="270" spans="1:12">
      <c r="A270" s="50"/>
      <c r="B270" s="50"/>
      <c r="C270" s="50" t="s">
        <v>349</v>
      </c>
      <c r="D270" s="31">
        <f>NPV(WACC,H260:J260)*D50</f>
        <v>78402.78522976466</v>
      </c>
      <c r="E270" s="50"/>
      <c r="F270" s="123"/>
      <c r="G270" s="50"/>
      <c r="H270" s="50"/>
      <c r="I270" s="50"/>
      <c r="J270" s="50"/>
      <c r="K270" s="50"/>
      <c r="L270" s="27"/>
    </row>
    <row r="271" spans="1:12">
      <c r="A271" s="50"/>
      <c r="B271" s="50"/>
      <c r="C271" s="50" t="s">
        <v>368</v>
      </c>
      <c r="D271" s="31" t="b">
        <f>OR(I260&gt;I263,J260&gt;J263)</f>
        <v>0</v>
      </c>
      <c r="E271" s="50"/>
      <c r="F271" s="123"/>
      <c r="G271" s="50"/>
      <c r="H271" s="50"/>
      <c r="I271" s="50"/>
      <c r="J271" s="50"/>
      <c r="K271" s="50"/>
      <c r="L271" s="27"/>
    </row>
    <row r="272" spans="1:12">
      <c r="A272" s="50"/>
      <c r="B272" s="50"/>
      <c r="C272" s="50"/>
      <c r="D272" s="31"/>
      <c r="E272" s="50"/>
      <c r="F272" s="123"/>
      <c r="G272" s="50"/>
      <c r="H272" s="50"/>
      <c r="I272" s="50"/>
      <c r="J272" s="50"/>
      <c r="K272" s="50"/>
      <c r="L272" s="27"/>
    </row>
    <row r="273" spans="1:12" ht="21">
      <c r="A273" s="50"/>
      <c r="B273" s="50"/>
      <c r="C273" s="155" t="s">
        <v>343</v>
      </c>
      <c r="D273" s="127"/>
      <c r="E273" s="50"/>
      <c r="F273" s="123"/>
      <c r="G273" s="50"/>
      <c r="H273" s="50"/>
      <c r="I273" s="50"/>
      <c r="J273" s="50"/>
      <c r="K273" s="50"/>
      <c r="L273" s="27"/>
    </row>
    <row r="274" spans="1:12" ht="30">
      <c r="A274" s="50"/>
      <c r="B274" s="50"/>
      <c r="C274" s="123" t="s">
        <v>370</v>
      </c>
      <c r="D274" s="126">
        <f>I$261/(D$251*(1+I$249)*(1+I$248))-1</f>
        <v>6.828804289726409E-2</v>
      </c>
      <c r="E274" s="50"/>
      <c r="F274" s="123"/>
      <c r="G274" s="50"/>
      <c r="H274" s="50"/>
      <c r="I274" s="50"/>
      <c r="J274" s="50"/>
      <c r="K274" s="50"/>
      <c r="L274" s="27"/>
    </row>
    <row r="275" spans="1:12" ht="30">
      <c r="A275" s="50"/>
      <c r="B275" s="50"/>
      <c r="C275" s="123" t="s">
        <v>350</v>
      </c>
      <c r="D275" s="31">
        <f>D265-D268</f>
        <v>609.39023711637128</v>
      </c>
      <c r="E275" s="50"/>
      <c r="F275" s="123"/>
      <c r="G275" s="50"/>
      <c r="H275" s="50"/>
      <c r="I275" s="50"/>
      <c r="J275" s="50"/>
      <c r="K275" s="50"/>
      <c r="L275" s="27"/>
    </row>
    <row r="276" spans="1:12">
      <c r="A276" s="50"/>
      <c r="B276" s="50"/>
      <c r="C276" s="123" t="s">
        <v>366</v>
      </c>
      <c r="D276" s="31">
        <f>ROUNDUP(I264,0)</f>
        <v>29789</v>
      </c>
      <c r="E276" s="50"/>
      <c r="F276" s="123"/>
      <c r="G276" s="50"/>
      <c r="H276" s="50"/>
      <c r="I276" s="50"/>
      <c r="J276" s="50"/>
      <c r="K276" s="50"/>
      <c r="L276" s="27"/>
    </row>
    <row r="277" spans="1:12">
      <c r="A277" s="50"/>
      <c r="B277" s="50"/>
      <c r="C277" s="123" t="s">
        <v>378</v>
      </c>
      <c r="D277" s="31">
        <f>ROUNDUP(H233,0)</f>
        <v>28949</v>
      </c>
      <c r="E277" s="50"/>
      <c r="F277" s="123"/>
      <c r="G277" s="50"/>
      <c r="H277" s="50"/>
      <c r="I277" s="50"/>
      <c r="J277" s="50"/>
      <c r="K277" s="50"/>
      <c r="L277" s="27"/>
    </row>
    <row r="278" spans="1:12">
      <c r="A278" s="50"/>
      <c r="B278" s="50"/>
      <c r="C278" s="114" t="s">
        <v>382</v>
      </c>
      <c r="D278" s="31">
        <f>D269-D266</f>
        <v>4969.0589392306574</v>
      </c>
      <c r="E278" s="50"/>
      <c r="F278" s="123"/>
      <c r="G278" s="50"/>
      <c r="H278" s="50"/>
      <c r="I278" s="50"/>
      <c r="J278" s="50"/>
      <c r="K278" s="50"/>
      <c r="L278" s="27"/>
    </row>
    <row r="279" spans="1:12">
      <c r="A279" s="15"/>
      <c r="B279" s="15"/>
      <c r="C279" s="15"/>
      <c r="D279" s="15"/>
      <c r="E279" s="120"/>
      <c r="F279" s="15"/>
      <c r="G279" s="15"/>
      <c r="H279" s="15"/>
      <c r="I279" s="15"/>
      <c r="J279" s="15"/>
      <c r="K279" s="15"/>
    </row>
    <row r="280" spans="1:12">
      <c r="A280" s="15"/>
      <c r="B280" s="15"/>
      <c r="C280" s="15"/>
      <c r="D280" s="15"/>
      <c r="E280" s="120"/>
      <c r="F280" s="15"/>
      <c r="G280" s="15"/>
      <c r="H280" s="15"/>
      <c r="I280" s="15"/>
      <c r="J280" s="15"/>
      <c r="K280" s="15"/>
    </row>
    <row r="281" spans="1:12">
      <c r="A281" s="15"/>
      <c r="B281" s="15"/>
      <c r="C281" s="15"/>
      <c r="D281" s="15"/>
      <c r="E281" s="120"/>
      <c r="F281" s="15"/>
      <c r="G281" s="15"/>
      <c r="H281" s="15"/>
      <c r="I281" s="15"/>
      <c r="J281" s="15"/>
      <c r="K281" s="15"/>
    </row>
    <row r="282" spans="1:12">
      <c r="A282" s="15"/>
      <c r="B282" s="15"/>
      <c r="C282" s="15"/>
      <c r="D282" s="15"/>
      <c r="E282" s="120"/>
      <c r="F282" s="15"/>
      <c r="G282" s="15"/>
      <c r="H282" s="15"/>
      <c r="I282" s="15"/>
      <c r="J282" s="15"/>
      <c r="K282" s="15"/>
    </row>
    <row r="283" spans="1:12">
      <c r="A283" s="15"/>
      <c r="B283" s="15"/>
      <c r="C283" s="15"/>
      <c r="D283" s="15"/>
      <c r="E283" s="120"/>
      <c r="F283" s="15"/>
      <c r="G283" s="15"/>
      <c r="H283" s="15"/>
      <c r="I283" s="15"/>
      <c r="J283" s="15"/>
      <c r="K283" s="15"/>
    </row>
    <row r="284" spans="1:12">
      <c r="A284" s="15"/>
      <c r="B284" s="15"/>
      <c r="C284" s="15"/>
      <c r="D284" s="15"/>
      <c r="E284" s="120"/>
      <c r="F284" s="15"/>
      <c r="G284" s="15"/>
      <c r="H284" s="15"/>
      <c r="I284" s="15"/>
      <c r="J284" s="15"/>
      <c r="K284" s="15"/>
    </row>
    <row r="285" spans="1:12">
      <c r="A285" s="15"/>
      <c r="B285" s="15"/>
      <c r="C285" s="15"/>
      <c r="D285" s="15"/>
      <c r="E285" s="120"/>
      <c r="F285" s="15"/>
      <c r="G285" s="15"/>
      <c r="H285" s="15"/>
      <c r="I285" s="15"/>
      <c r="J285" s="15"/>
      <c r="K285" s="15"/>
    </row>
    <row r="286" spans="1:12">
      <c r="A286" s="15"/>
      <c r="B286" s="15"/>
      <c r="C286" s="15"/>
      <c r="D286" s="15"/>
      <c r="E286" s="120"/>
      <c r="F286" s="15"/>
      <c r="G286" s="15"/>
      <c r="H286" s="15"/>
      <c r="I286" s="15"/>
      <c r="J286" s="15"/>
      <c r="K286" s="15"/>
    </row>
    <row r="287" spans="1:12">
      <c r="A287" s="15"/>
      <c r="B287" s="15"/>
      <c r="C287" s="15"/>
      <c r="D287" s="15"/>
      <c r="E287" s="120"/>
      <c r="F287" s="15"/>
      <c r="G287" s="15"/>
      <c r="H287" s="15"/>
      <c r="I287" s="15"/>
      <c r="J287" s="15"/>
      <c r="K287" s="15"/>
    </row>
    <row r="288" spans="1:12">
      <c r="A288" s="15"/>
      <c r="B288" s="15"/>
      <c r="C288" s="15"/>
      <c r="D288" s="15"/>
      <c r="E288" s="120"/>
      <c r="F288" s="15"/>
      <c r="G288" s="15"/>
      <c r="H288" s="15"/>
      <c r="I288" s="15"/>
      <c r="J288" s="15"/>
      <c r="K288" s="15"/>
    </row>
    <row r="289" spans="1:11">
      <c r="A289" s="15"/>
      <c r="B289" s="15"/>
      <c r="C289" s="15"/>
      <c r="D289" s="15"/>
      <c r="E289" s="120"/>
      <c r="F289" s="15"/>
      <c r="G289" s="15"/>
      <c r="H289" s="15"/>
      <c r="I289" s="15"/>
      <c r="J289" s="15"/>
      <c r="K289" s="15"/>
    </row>
    <row r="290" spans="1:11">
      <c r="A290" s="15"/>
      <c r="B290" s="15"/>
      <c r="C290" s="15"/>
      <c r="D290" s="15"/>
      <c r="E290" s="120"/>
      <c r="F290" s="15"/>
      <c r="G290" s="15"/>
      <c r="H290" s="15"/>
      <c r="I290" s="15"/>
      <c r="J290" s="15"/>
      <c r="K290" s="15"/>
    </row>
    <row r="291" spans="1:11">
      <c r="A291" s="15"/>
      <c r="B291" s="15"/>
      <c r="C291" s="15"/>
      <c r="D291" s="15"/>
      <c r="E291" s="120"/>
      <c r="F291" s="15"/>
      <c r="G291" s="15"/>
      <c r="H291" s="15"/>
      <c r="I291" s="15"/>
      <c r="J291" s="15"/>
      <c r="K291" s="15"/>
    </row>
    <row r="292" spans="1:11">
      <c r="A292" s="15"/>
      <c r="B292" s="15"/>
      <c r="C292" s="15"/>
      <c r="D292" s="15"/>
      <c r="E292" s="120"/>
      <c r="F292" s="15"/>
      <c r="G292" s="15"/>
      <c r="H292" s="15"/>
      <c r="I292" s="15"/>
      <c r="J292" s="15"/>
      <c r="K292" s="15"/>
    </row>
    <row r="293" spans="1:11">
      <c r="A293" s="15"/>
      <c r="B293" s="15"/>
      <c r="C293" s="15"/>
      <c r="D293" s="15"/>
      <c r="E293" s="120"/>
      <c r="F293" s="15"/>
      <c r="G293" s="15"/>
      <c r="H293" s="15"/>
      <c r="I293" s="15"/>
      <c r="J293" s="15"/>
      <c r="K293" s="15"/>
    </row>
    <row r="294" spans="1:11">
      <c r="A294" s="15"/>
      <c r="B294" s="15"/>
      <c r="C294" s="15"/>
      <c r="D294" s="15"/>
      <c r="E294" s="120"/>
      <c r="F294" s="15"/>
      <c r="G294" s="15"/>
      <c r="H294" s="15"/>
      <c r="I294" s="15"/>
      <c r="J294" s="15"/>
      <c r="K294" s="15"/>
    </row>
    <row r="295" spans="1:11">
      <c r="A295" s="15"/>
      <c r="B295" s="15"/>
      <c r="C295" s="15"/>
      <c r="D295" s="15"/>
      <c r="E295" s="120"/>
      <c r="F295" s="15"/>
      <c r="G295" s="15"/>
      <c r="H295" s="15"/>
      <c r="I295" s="15"/>
      <c r="J295" s="15"/>
      <c r="K295" s="15"/>
    </row>
    <row r="296" spans="1:11">
      <c r="A296" s="15"/>
      <c r="B296" s="15"/>
      <c r="C296" s="15"/>
      <c r="D296" s="15"/>
      <c r="E296" s="120"/>
      <c r="F296" s="15"/>
      <c r="G296" s="15"/>
      <c r="H296" s="15"/>
      <c r="I296" s="15"/>
      <c r="J296" s="15"/>
      <c r="K296" s="15"/>
    </row>
    <row r="297" spans="1:11">
      <c r="A297" s="15"/>
      <c r="B297" s="15"/>
      <c r="C297" s="15"/>
      <c r="D297" s="15"/>
      <c r="E297" s="120"/>
      <c r="F297" s="15"/>
      <c r="G297" s="15"/>
      <c r="H297" s="15"/>
      <c r="I297" s="15"/>
      <c r="J297" s="15"/>
      <c r="K297" s="15"/>
    </row>
    <row r="298" spans="1:11">
      <c r="A298" s="15"/>
      <c r="B298" s="15"/>
      <c r="C298" s="15"/>
      <c r="D298" s="15"/>
      <c r="E298" s="120"/>
      <c r="F298" s="15"/>
      <c r="G298" s="15"/>
      <c r="H298" s="15"/>
      <c r="I298" s="15"/>
      <c r="J298" s="15"/>
      <c r="K298" s="15"/>
    </row>
    <row r="299" spans="1:11">
      <c r="A299" s="15"/>
      <c r="B299" s="15"/>
      <c r="C299" s="15"/>
      <c r="D299" s="15"/>
      <c r="E299" s="120"/>
      <c r="F299" s="15"/>
      <c r="G299" s="15"/>
      <c r="H299" s="15"/>
      <c r="I299" s="15"/>
      <c r="J299" s="15"/>
    </row>
    <row r="300" spans="1:11">
      <c r="A300" s="15"/>
      <c r="B300" s="15"/>
      <c r="C300" s="15"/>
      <c r="D300" s="15"/>
      <c r="E300" s="120"/>
      <c r="F300" s="15"/>
      <c r="G300" s="15"/>
      <c r="H300" s="15"/>
      <c r="I300" s="15"/>
      <c r="J300" s="15"/>
    </row>
    <row r="301" spans="1:11">
      <c r="A301" s="15"/>
      <c r="B301" s="15"/>
      <c r="C301" s="15"/>
      <c r="D301" s="15"/>
      <c r="E301" s="120"/>
      <c r="F301" s="15"/>
      <c r="G301" s="15"/>
      <c r="H301" s="15"/>
      <c r="I301" s="15"/>
      <c r="J301" s="15"/>
    </row>
    <row r="302" spans="1:11">
      <c r="A302" s="15"/>
      <c r="B302" s="15"/>
      <c r="C302" s="15"/>
      <c r="D302" s="15"/>
      <c r="E302" s="120"/>
      <c r="F302" s="15"/>
      <c r="G302" s="15"/>
      <c r="H302" s="15"/>
      <c r="I302" s="15"/>
      <c r="J302" s="15"/>
    </row>
    <row r="303" spans="1:11">
      <c r="A303" s="15"/>
      <c r="B303" s="15"/>
      <c r="C303" s="15"/>
      <c r="D303" s="15"/>
      <c r="E303" s="120"/>
      <c r="F303" s="15"/>
      <c r="G303" s="15"/>
      <c r="H303" s="15"/>
      <c r="I303" s="15"/>
      <c r="J303" s="15"/>
    </row>
    <row r="304" spans="1:11">
      <c r="A304" s="15"/>
      <c r="B304" s="15"/>
      <c r="C304" s="15"/>
      <c r="D304" s="15"/>
      <c r="E304" s="120"/>
      <c r="F304" s="15"/>
      <c r="G304" s="15"/>
      <c r="H304" s="15"/>
      <c r="I304" s="15"/>
      <c r="J304" s="15"/>
    </row>
    <row r="305" spans="1:10">
      <c r="A305" s="15"/>
      <c r="B305" s="15"/>
      <c r="C305" s="15"/>
      <c r="D305" s="15"/>
      <c r="E305" s="120"/>
      <c r="F305" s="15"/>
      <c r="G305" s="15"/>
      <c r="H305" s="15"/>
      <c r="I305" s="15"/>
      <c r="J305" s="15"/>
    </row>
    <row r="306" spans="1:10">
      <c r="A306" s="15"/>
      <c r="B306" s="15"/>
      <c r="C306" s="15"/>
      <c r="D306" s="15"/>
      <c r="E306" s="120"/>
      <c r="F306" s="15"/>
      <c r="G306" s="15"/>
      <c r="H306" s="15"/>
      <c r="I306" s="15"/>
      <c r="J306" s="15"/>
    </row>
    <row r="307" spans="1:10">
      <c r="A307" s="15"/>
      <c r="B307" s="15"/>
      <c r="C307" s="15"/>
      <c r="D307" s="15"/>
      <c r="E307" s="120"/>
      <c r="F307" s="15"/>
      <c r="G307" s="15"/>
      <c r="H307" s="15"/>
      <c r="I307" s="15"/>
      <c r="J307" s="15"/>
    </row>
    <row r="308" spans="1:10">
      <c r="A308" s="15"/>
      <c r="B308" s="15"/>
      <c r="C308" s="15"/>
      <c r="D308" s="15"/>
      <c r="E308" s="120"/>
      <c r="F308" s="15"/>
      <c r="G308" s="15"/>
      <c r="H308" s="15"/>
      <c r="I308" s="15"/>
      <c r="J308" s="15"/>
    </row>
    <row r="309" spans="1:10">
      <c r="A309" s="15"/>
      <c r="B309" s="15"/>
      <c r="C309" s="15"/>
      <c r="D309" s="15"/>
      <c r="E309" s="120"/>
      <c r="F309" s="15"/>
      <c r="G309" s="15"/>
      <c r="H309" s="15"/>
      <c r="I309" s="15"/>
      <c r="J309" s="15"/>
    </row>
    <row r="310" spans="1:10">
      <c r="A310" s="15"/>
      <c r="B310" s="15"/>
      <c r="C310" s="15"/>
      <c r="D310" s="15"/>
      <c r="E310" s="120"/>
      <c r="F310" s="15"/>
      <c r="G310" s="15"/>
      <c r="H310" s="15"/>
      <c r="I310" s="15"/>
      <c r="J310" s="15"/>
    </row>
    <row r="311" spans="1:10">
      <c r="A311" s="15"/>
      <c r="B311" s="15"/>
      <c r="C311" s="15"/>
      <c r="D311" s="15"/>
      <c r="E311" s="120"/>
      <c r="F311" s="15"/>
      <c r="G311" s="15"/>
      <c r="H311" s="15"/>
      <c r="I311" s="15"/>
      <c r="J311" s="15"/>
    </row>
    <row r="312" spans="1:10">
      <c r="A312" s="15"/>
      <c r="B312" s="15"/>
      <c r="C312" s="15"/>
      <c r="D312" s="15"/>
      <c r="E312" s="120"/>
      <c r="F312" s="15"/>
      <c r="G312" s="15"/>
      <c r="H312" s="15"/>
      <c r="I312" s="15"/>
      <c r="J312" s="15"/>
    </row>
    <row r="313" spans="1:10">
      <c r="E313" s="19"/>
    </row>
    <row r="314" spans="1:10">
      <c r="E314" s="19"/>
    </row>
    <row r="315" spans="1:10">
      <c r="E315" s="19"/>
    </row>
    <row r="316" spans="1:10">
      <c r="E316" s="19"/>
    </row>
    <row r="317" spans="1:10">
      <c r="E317" s="19"/>
    </row>
    <row r="318" spans="1:10">
      <c r="E318" s="19"/>
    </row>
    <row r="319" spans="1:10">
      <c r="E319" s="19"/>
    </row>
    <row r="320" spans="1:10">
      <c r="E320" s="19"/>
    </row>
    <row r="321" spans="5:5">
      <c r="E321" s="19"/>
    </row>
    <row r="322" spans="5:5">
      <c r="E322" s="19"/>
    </row>
    <row r="323" spans="5:5">
      <c r="E323" s="19"/>
    </row>
    <row r="324" spans="5:5">
      <c r="E324" s="19"/>
    </row>
    <row r="325" spans="5:5">
      <c r="E325" s="19"/>
    </row>
    <row r="326" spans="5:5">
      <c r="E326" s="19"/>
    </row>
    <row r="327" spans="5:5">
      <c r="E327" s="19"/>
    </row>
    <row r="328" spans="5:5">
      <c r="E328" s="19"/>
    </row>
    <row r="329" spans="5:5">
      <c r="E329" s="19"/>
    </row>
    <row r="330" spans="5:5">
      <c r="E330" s="19"/>
    </row>
    <row r="331" spans="5:5">
      <c r="E331" s="19"/>
    </row>
    <row r="332" spans="5:5">
      <c r="E332" s="19"/>
    </row>
    <row r="333" spans="5:5">
      <c r="E333" s="19"/>
    </row>
    <row r="334" spans="5:5">
      <c r="E334" s="19"/>
    </row>
    <row r="335" spans="5:5">
      <c r="E335" s="19"/>
    </row>
    <row r="336" spans="5:5">
      <c r="E336" s="19"/>
    </row>
    <row r="337" spans="5:5">
      <c r="E337" s="19"/>
    </row>
    <row r="338" spans="5:5">
      <c r="E338" s="19"/>
    </row>
    <row r="339" spans="5:5">
      <c r="E339" s="19"/>
    </row>
    <row r="340" spans="5:5">
      <c r="E340" s="19"/>
    </row>
    <row r="341" spans="5:5">
      <c r="E341" s="19"/>
    </row>
    <row r="342" spans="5:5">
      <c r="E342" s="19"/>
    </row>
    <row r="343" spans="5:5">
      <c r="E343" s="19"/>
    </row>
    <row r="344" spans="5:5">
      <c r="E344" s="19"/>
    </row>
    <row r="345" spans="5:5">
      <c r="E345" s="19"/>
    </row>
    <row r="346" spans="5:5">
      <c r="E346" s="19"/>
    </row>
    <row r="347" spans="5:5">
      <c r="E347" s="19"/>
    </row>
    <row r="348" spans="5:5">
      <c r="E348" s="19"/>
    </row>
    <row r="349" spans="5:5">
      <c r="E349" s="19"/>
    </row>
    <row r="350" spans="5:5">
      <c r="E350" s="19"/>
    </row>
    <row r="351" spans="5:5">
      <c r="E351" s="19"/>
    </row>
    <row r="352" spans="5:5">
      <c r="E352" s="19"/>
    </row>
    <row r="353" spans="5:5">
      <c r="E353" s="19"/>
    </row>
    <row r="354" spans="5:5">
      <c r="E354" s="19"/>
    </row>
    <row r="355" spans="5:5">
      <c r="E355" s="19"/>
    </row>
    <row r="356" spans="5:5">
      <c r="E356" s="19"/>
    </row>
    <row r="357" spans="5:5">
      <c r="E357" s="19"/>
    </row>
    <row r="358" spans="5:5">
      <c r="E358" s="19"/>
    </row>
    <row r="359" spans="5:5">
      <c r="E359" s="19"/>
    </row>
    <row r="360" spans="5:5">
      <c r="E360" s="19"/>
    </row>
    <row r="361" spans="5:5">
      <c r="E361" s="19"/>
    </row>
    <row r="362" spans="5:5">
      <c r="E362" s="19"/>
    </row>
    <row r="363" spans="5:5">
      <c r="E363" s="19"/>
    </row>
    <row r="364" spans="5:5">
      <c r="E364" s="19"/>
    </row>
    <row r="365" spans="5:5">
      <c r="E365" s="19"/>
    </row>
    <row r="366" spans="5:5">
      <c r="E366" s="19"/>
    </row>
    <row r="367" spans="5:5">
      <c r="E367" s="19"/>
    </row>
    <row r="368" spans="5:5">
      <c r="E368" s="19"/>
    </row>
    <row r="369" spans="5:5">
      <c r="E369" s="19"/>
    </row>
    <row r="370" spans="5:5">
      <c r="E370" s="19"/>
    </row>
    <row r="371" spans="5:5">
      <c r="E371" s="19"/>
    </row>
    <row r="372" spans="5:5">
      <c r="E372" s="19"/>
    </row>
    <row r="373" spans="5:5">
      <c r="E373" s="19"/>
    </row>
    <row r="374" spans="5:5">
      <c r="E374" s="19"/>
    </row>
    <row r="375" spans="5:5">
      <c r="E375" s="19"/>
    </row>
    <row r="376" spans="5:5">
      <c r="E376" s="19"/>
    </row>
    <row r="377" spans="5:5">
      <c r="E377" s="19"/>
    </row>
    <row r="378" spans="5:5">
      <c r="E378" s="19"/>
    </row>
    <row r="379" spans="5:5">
      <c r="E379" s="19"/>
    </row>
    <row r="380" spans="5:5">
      <c r="E380" s="19"/>
    </row>
    <row r="381" spans="5:5">
      <c r="E381" s="19"/>
    </row>
    <row r="382" spans="5:5">
      <c r="E382" s="19"/>
    </row>
    <row r="383" spans="5:5">
      <c r="E383" s="19"/>
    </row>
    <row r="384" spans="5:5">
      <c r="E384" s="19"/>
    </row>
    <row r="385" spans="5:5">
      <c r="E385" s="19"/>
    </row>
    <row r="386" spans="5:5">
      <c r="E386" s="19"/>
    </row>
    <row r="387" spans="5:5">
      <c r="E387" s="19"/>
    </row>
    <row r="388" spans="5:5">
      <c r="E388" s="19"/>
    </row>
    <row r="389" spans="5:5">
      <c r="E389" s="19"/>
    </row>
    <row r="390" spans="5:5">
      <c r="E390" s="19"/>
    </row>
    <row r="391" spans="5:5">
      <c r="E391" s="19"/>
    </row>
    <row r="392" spans="5:5">
      <c r="E392" s="19"/>
    </row>
    <row r="393" spans="5:5">
      <c r="E393" s="19"/>
    </row>
    <row r="394" spans="5:5">
      <c r="E394" s="19"/>
    </row>
    <row r="395" spans="5:5">
      <c r="E395" s="19"/>
    </row>
    <row r="396" spans="5:5">
      <c r="E396" s="19"/>
    </row>
    <row r="397" spans="5:5">
      <c r="E397" s="19"/>
    </row>
    <row r="398" spans="5:5">
      <c r="E398" s="19"/>
    </row>
    <row r="399" spans="5:5">
      <c r="E399" s="19"/>
    </row>
    <row r="400" spans="5:5">
      <c r="E400" s="19"/>
    </row>
    <row r="401" spans="5:5">
      <c r="E401" s="19"/>
    </row>
    <row r="402" spans="5:5">
      <c r="E402" s="19"/>
    </row>
    <row r="403" spans="5:5">
      <c r="E403" s="19"/>
    </row>
    <row r="404" spans="5:5">
      <c r="E404" s="19"/>
    </row>
    <row r="405" spans="5:5">
      <c r="E405" s="19"/>
    </row>
    <row r="406" spans="5:5">
      <c r="E406" s="19"/>
    </row>
    <row r="407" spans="5:5">
      <c r="E407" s="19"/>
    </row>
    <row r="408" spans="5:5">
      <c r="E408" s="19"/>
    </row>
    <row r="409" spans="5:5">
      <c r="E409" s="19"/>
    </row>
    <row r="410" spans="5:5">
      <c r="E410" s="19"/>
    </row>
    <row r="411" spans="5:5">
      <c r="E411" s="19"/>
    </row>
    <row r="412" spans="5:5">
      <c r="E412" s="19"/>
    </row>
    <row r="413" spans="5:5">
      <c r="E413" s="19"/>
    </row>
    <row r="414" spans="5:5">
      <c r="E414" s="19"/>
    </row>
    <row r="415" spans="5:5">
      <c r="E415" s="19"/>
    </row>
    <row r="416" spans="5:5">
      <c r="E416" s="19"/>
    </row>
    <row r="417" spans="5:5">
      <c r="E417" s="19"/>
    </row>
    <row r="418" spans="5:5">
      <c r="E418" s="19"/>
    </row>
    <row r="419" spans="5:5">
      <c r="E419" s="19"/>
    </row>
    <row r="420" spans="5:5">
      <c r="E420" s="19"/>
    </row>
    <row r="421" spans="5:5">
      <c r="E421" s="19"/>
    </row>
    <row r="422" spans="5:5">
      <c r="E422" s="19"/>
    </row>
    <row r="423" spans="5:5">
      <c r="E423" s="19"/>
    </row>
    <row r="424" spans="5:5">
      <c r="E424" s="19"/>
    </row>
    <row r="425" spans="5:5">
      <c r="E425" s="19"/>
    </row>
    <row r="426" spans="5:5">
      <c r="E426" s="19"/>
    </row>
    <row r="427" spans="5:5">
      <c r="E427" s="19"/>
    </row>
    <row r="428" spans="5:5">
      <c r="E428" s="19"/>
    </row>
    <row r="429" spans="5:5">
      <c r="E429" s="19"/>
    </row>
    <row r="430" spans="5:5">
      <c r="E430" s="19"/>
    </row>
    <row r="431" spans="5:5">
      <c r="E431" s="19"/>
    </row>
    <row r="432" spans="5:5">
      <c r="E432" s="19"/>
    </row>
    <row r="433" spans="5:5">
      <c r="E433" s="19"/>
    </row>
    <row r="434" spans="5:5">
      <c r="E434" s="19"/>
    </row>
    <row r="435" spans="5:5">
      <c r="E435" s="19"/>
    </row>
    <row r="436" spans="5:5">
      <c r="E436" s="19"/>
    </row>
    <row r="437" spans="5:5">
      <c r="E437" s="19"/>
    </row>
    <row r="438" spans="5:5">
      <c r="E438" s="19"/>
    </row>
    <row r="439" spans="5:5">
      <c r="E439" s="19"/>
    </row>
    <row r="440" spans="5:5">
      <c r="E440" s="19"/>
    </row>
    <row r="441" spans="5:5">
      <c r="E441" s="19"/>
    </row>
    <row r="442" spans="5:5">
      <c r="E442" s="19"/>
    </row>
    <row r="443" spans="5:5">
      <c r="E443" s="19"/>
    </row>
    <row r="444" spans="5:5">
      <c r="E444" s="19"/>
    </row>
    <row r="445" spans="5:5">
      <c r="E445" s="19"/>
    </row>
    <row r="446" spans="5:5">
      <c r="E446" s="19"/>
    </row>
    <row r="447" spans="5:5">
      <c r="E447" s="19"/>
    </row>
    <row r="448" spans="5:5">
      <c r="E448" s="19"/>
    </row>
    <row r="449" spans="5:5">
      <c r="E449" s="19"/>
    </row>
    <row r="450" spans="5:5">
      <c r="E450" s="19"/>
    </row>
    <row r="451" spans="5:5">
      <c r="E451" s="19"/>
    </row>
    <row r="452" spans="5:5">
      <c r="E452" s="19"/>
    </row>
    <row r="453" spans="5:5">
      <c r="E453" s="19"/>
    </row>
    <row r="454" spans="5:5">
      <c r="E454" s="19"/>
    </row>
    <row r="455" spans="5:5">
      <c r="E455" s="19"/>
    </row>
    <row r="456" spans="5:5">
      <c r="E456" s="19"/>
    </row>
    <row r="457" spans="5:5">
      <c r="E457" s="19"/>
    </row>
    <row r="458" spans="5:5">
      <c r="E458" s="19"/>
    </row>
    <row r="459" spans="5:5">
      <c r="E459" s="19"/>
    </row>
    <row r="460" spans="5:5">
      <c r="E460" s="19"/>
    </row>
    <row r="461" spans="5:5">
      <c r="E461" s="19"/>
    </row>
    <row r="462" spans="5:5">
      <c r="E462" s="19"/>
    </row>
    <row r="463" spans="5:5">
      <c r="E463" s="19"/>
    </row>
    <row r="464" spans="5:5">
      <c r="E464" s="19"/>
    </row>
    <row r="465" spans="5:5">
      <c r="E465" s="19"/>
    </row>
    <row r="466" spans="5:5">
      <c r="E466" s="19"/>
    </row>
    <row r="467" spans="5:5">
      <c r="E467" s="19"/>
    </row>
    <row r="468" spans="5:5">
      <c r="E468" s="19"/>
    </row>
    <row r="469" spans="5:5">
      <c r="E469" s="19"/>
    </row>
    <row r="470" spans="5:5">
      <c r="E470" s="19"/>
    </row>
    <row r="471" spans="5:5">
      <c r="E471" s="19"/>
    </row>
    <row r="472" spans="5:5">
      <c r="E472" s="19"/>
    </row>
    <row r="473" spans="5:5">
      <c r="E473" s="19"/>
    </row>
    <row r="474" spans="5:5">
      <c r="E474" s="19"/>
    </row>
    <row r="475" spans="5:5">
      <c r="E475" s="19"/>
    </row>
    <row r="476" spans="5:5">
      <c r="E476" s="19"/>
    </row>
    <row r="477" spans="5:5">
      <c r="E477" s="19"/>
    </row>
    <row r="478" spans="5:5">
      <c r="E478" s="19"/>
    </row>
    <row r="479" spans="5:5">
      <c r="E479" s="19"/>
    </row>
    <row r="480" spans="5:5">
      <c r="E480" s="19"/>
    </row>
    <row r="481" spans="5:5">
      <c r="E481" s="19"/>
    </row>
    <row r="482" spans="5:5">
      <c r="E482" s="19"/>
    </row>
    <row r="483" spans="5:5">
      <c r="E483" s="19"/>
    </row>
    <row r="484" spans="5:5">
      <c r="E484" s="19"/>
    </row>
    <row r="485" spans="5:5">
      <c r="E485" s="19"/>
    </row>
    <row r="486" spans="5:5">
      <c r="E486" s="19"/>
    </row>
    <row r="487" spans="5:5">
      <c r="E487" s="19"/>
    </row>
    <row r="488" spans="5:5">
      <c r="E488" s="19"/>
    </row>
    <row r="489" spans="5:5">
      <c r="E489" s="19"/>
    </row>
    <row r="490" spans="5:5">
      <c r="E490" s="19"/>
    </row>
    <row r="491" spans="5:5">
      <c r="E491" s="19"/>
    </row>
    <row r="492" spans="5:5">
      <c r="E492" s="19"/>
    </row>
    <row r="493" spans="5:5">
      <c r="E493" s="19"/>
    </row>
    <row r="494" spans="5:5">
      <c r="E494" s="19"/>
    </row>
    <row r="495" spans="5:5">
      <c r="E495" s="19"/>
    </row>
    <row r="496" spans="5:5">
      <c r="E496" s="19"/>
    </row>
    <row r="497" spans="5:5">
      <c r="E497" s="19"/>
    </row>
    <row r="498" spans="5:5">
      <c r="E498" s="19"/>
    </row>
    <row r="499" spans="5:5">
      <c r="E499" s="19"/>
    </row>
    <row r="500" spans="5:5">
      <c r="E500" s="19"/>
    </row>
    <row r="501" spans="5:5">
      <c r="E501" s="19"/>
    </row>
    <row r="502" spans="5:5">
      <c r="E502" s="19"/>
    </row>
    <row r="503" spans="5:5">
      <c r="E503" s="19"/>
    </row>
    <row r="504" spans="5:5">
      <c r="E504" s="19"/>
    </row>
    <row r="505" spans="5:5">
      <c r="E505" s="19"/>
    </row>
    <row r="506" spans="5:5">
      <c r="E506" s="19"/>
    </row>
    <row r="507" spans="5:5">
      <c r="E507" s="19"/>
    </row>
    <row r="508" spans="5:5">
      <c r="E508" s="19"/>
    </row>
    <row r="509" spans="5:5">
      <c r="E509" s="19"/>
    </row>
    <row r="510" spans="5:5">
      <c r="E510" s="19"/>
    </row>
    <row r="511" spans="5:5">
      <c r="E511" s="19"/>
    </row>
    <row r="512" spans="5:5">
      <c r="E512" s="19"/>
    </row>
    <row r="513" spans="5:5">
      <c r="E513" s="19"/>
    </row>
    <row r="514" spans="5:5">
      <c r="E514" s="19"/>
    </row>
    <row r="515" spans="5:5">
      <c r="E515" s="19"/>
    </row>
    <row r="516" spans="5:5">
      <c r="E516" s="19"/>
    </row>
    <row r="517" spans="5:5">
      <c r="E517" s="19"/>
    </row>
    <row r="518" spans="5:5">
      <c r="E518" s="19"/>
    </row>
    <row r="519" spans="5:5">
      <c r="E519" s="19"/>
    </row>
    <row r="520" spans="5:5">
      <c r="E520" s="19"/>
    </row>
    <row r="521" spans="5:5">
      <c r="E521" s="19"/>
    </row>
    <row r="522" spans="5:5">
      <c r="E522" s="19"/>
    </row>
    <row r="523" spans="5:5">
      <c r="E523" s="19"/>
    </row>
    <row r="524" spans="5:5">
      <c r="E524" s="19"/>
    </row>
    <row r="525" spans="5:5">
      <c r="E525" s="19"/>
    </row>
    <row r="526" spans="5:5">
      <c r="E526" s="19"/>
    </row>
    <row r="527" spans="5:5">
      <c r="E527" s="19"/>
    </row>
    <row r="528" spans="5:5">
      <c r="E528" s="19"/>
    </row>
    <row r="529" spans="5:5">
      <c r="E529" s="19"/>
    </row>
    <row r="530" spans="5:5">
      <c r="E530" s="19"/>
    </row>
    <row r="531" spans="5:5">
      <c r="E531" s="19"/>
    </row>
    <row r="532" spans="5:5">
      <c r="E532" s="19"/>
    </row>
    <row r="533" spans="5:5">
      <c r="E533" s="19"/>
    </row>
    <row r="534" spans="5:5">
      <c r="E534" s="19"/>
    </row>
    <row r="535" spans="5:5">
      <c r="E535" s="19"/>
    </row>
    <row r="536" spans="5:5">
      <c r="E536" s="19"/>
    </row>
    <row r="537" spans="5:5">
      <c r="E537" s="19"/>
    </row>
    <row r="538" spans="5:5">
      <c r="E538" s="19"/>
    </row>
    <row r="539" spans="5:5">
      <c r="E539" s="19"/>
    </row>
    <row r="540" spans="5:5">
      <c r="E540" s="19"/>
    </row>
    <row r="541" spans="5:5">
      <c r="E541" s="19"/>
    </row>
    <row r="542" spans="5:5">
      <c r="E542" s="19"/>
    </row>
    <row r="543" spans="5:5">
      <c r="E543" s="19"/>
    </row>
    <row r="544" spans="5:5">
      <c r="E544" s="19"/>
    </row>
    <row r="545" spans="5:5">
      <c r="E545" s="19"/>
    </row>
    <row r="546" spans="5:5">
      <c r="E546" s="19"/>
    </row>
    <row r="547" spans="5:5">
      <c r="E547" s="19"/>
    </row>
    <row r="548" spans="5:5">
      <c r="E548" s="19"/>
    </row>
    <row r="549" spans="5:5">
      <c r="E549" s="19"/>
    </row>
    <row r="550" spans="5:5">
      <c r="E550" s="19"/>
    </row>
    <row r="551" spans="5:5">
      <c r="E551" s="19"/>
    </row>
    <row r="552" spans="5:5">
      <c r="E552" s="19"/>
    </row>
    <row r="553" spans="5:5">
      <c r="E553" s="19"/>
    </row>
    <row r="554" spans="5:5">
      <c r="E554" s="19"/>
    </row>
    <row r="555" spans="5:5">
      <c r="E555" s="19"/>
    </row>
    <row r="556" spans="5:5">
      <c r="E556" s="19"/>
    </row>
    <row r="557" spans="5:5">
      <c r="E557" s="19"/>
    </row>
    <row r="558" spans="5:5">
      <c r="E558" s="19"/>
    </row>
    <row r="559" spans="5:5">
      <c r="E559" s="19"/>
    </row>
    <row r="560" spans="5:5">
      <c r="E560" s="19"/>
    </row>
    <row r="561" spans="5:5">
      <c r="E561" s="19"/>
    </row>
    <row r="562" spans="5:5">
      <c r="E562" s="19"/>
    </row>
    <row r="563" spans="5:5">
      <c r="E563" s="19"/>
    </row>
    <row r="564" spans="5:5">
      <c r="E564" s="19"/>
    </row>
    <row r="565" spans="5:5">
      <c r="E565" s="19"/>
    </row>
    <row r="566" spans="5:5">
      <c r="E566" s="19"/>
    </row>
    <row r="567" spans="5:5">
      <c r="E567" s="19"/>
    </row>
    <row r="568" spans="5:5">
      <c r="E568" s="19"/>
    </row>
    <row r="569" spans="5:5">
      <c r="E569" s="19"/>
    </row>
    <row r="570" spans="5:5">
      <c r="E570" s="19"/>
    </row>
    <row r="571" spans="5:5">
      <c r="E571" s="19"/>
    </row>
    <row r="572" spans="5:5">
      <c r="E572" s="19"/>
    </row>
    <row r="573" spans="5:5">
      <c r="E573" s="19"/>
    </row>
    <row r="574" spans="5:5">
      <c r="E574" s="19"/>
    </row>
    <row r="575" spans="5:5">
      <c r="E575" s="19"/>
    </row>
    <row r="576" spans="5:5">
      <c r="E576" s="19"/>
    </row>
    <row r="577" spans="5:5">
      <c r="E577" s="19"/>
    </row>
    <row r="578" spans="5:5">
      <c r="E578" s="19"/>
    </row>
    <row r="579" spans="5:5">
      <c r="E579" s="19"/>
    </row>
    <row r="580" spans="5:5">
      <c r="E580" s="19"/>
    </row>
    <row r="581" spans="5:5">
      <c r="E581" s="19"/>
    </row>
    <row r="582" spans="5:5">
      <c r="E582" s="19"/>
    </row>
    <row r="583" spans="5:5">
      <c r="E583" s="19"/>
    </row>
    <row r="584" spans="5:5">
      <c r="E584" s="19"/>
    </row>
    <row r="585" spans="5:5">
      <c r="E585" s="19"/>
    </row>
    <row r="586" spans="5:5">
      <c r="E586" s="19"/>
    </row>
    <row r="587" spans="5:5">
      <c r="E587" s="19"/>
    </row>
    <row r="588" spans="5:5">
      <c r="E588" s="19"/>
    </row>
    <row r="589" spans="5:5">
      <c r="E589" s="19"/>
    </row>
    <row r="590" spans="5:5">
      <c r="E590" s="19"/>
    </row>
    <row r="591" spans="5:5">
      <c r="E591" s="19"/>
    </row>
    <row r="592" spans="5:5">
      <c r="E592" s="19"/>
    </row>
    <row r="593" spans="5:5">
      <c r="E593" s="19"/>
    </row>
    <row r="594" spans="5:5">
      <c r="E594" s="19"/>
    </row>
    <row r="595" spans="5:5">
      <c r="E595" s="19"/>
    </row>
    <row r="596" spans="5:5">
      <c r="E596" s="19"/>
    </row>
    <row r="597" spans="5:5">
      <c r="E597" s="19"/>
    </row>
    <row r="598" spans="5:5">
      <c r="E598" s="19"/>
    </row>
    <row r="599" spans="5:5">
      <c r="E599" s="19"/>
    </row>
    <row r="600" spans="5:5">
      <c r="E600" s="19"/>
    </row>
    <row r="601" spans="5:5">
      <c r="E601" s="19"/>
    </row>
    <row r="602" spans="5:5">
      <c r="E602" s="19"/>
    </row>
    <row r="603" spans="5:5">
      <c r="E603" s="19"/>
    </row>
    <row r="604" spans="5:5">
      <c r="E604" s="19"/>
    </row>
    <row r="605" spans="5:5">
      <c r="E605" s="19"/>
    </row>
    <row r="606" spans="5:5">
      <c r="E606" s="19"/>
    </row>
    <row r="607" spans="5:5">
      <c r="E607" s="19"/>
    </row>
    <row r="608" spans="5:5">
      <c r="E608" s="19"/>
    </row>
    <row r="609" spans="5:5">
      <c r="E609" s="19"/>
    </row>
    <row r="610" spans="5:5">
      <c r="E610" s="19"/>
    </row>
    <row r="611" spans="5:5">
      <c r="E611" s="19"/>
    </row>
    <row r="612" spans="5:5">
      <c r="E612" s="19"/>
    </row>
    <row r="613" spans="5:5">
      <c r="E613" s="19"/>
    </row>
    <row r="614" spans="5:5">
      <c r="E614" s="19"/>
    </row>
    <row r="615" spans="5:5">
      <c r="E615" s="19"/>
    </row>
    <row r="616" spans="5:5">
      <c r="E616" s="19"/>
    </row>
    <row r="617" spans="5:5">
      <c r="E617" s="19"/>
    </row>
    <row r="618" spans="5:5">
      <c r="E618" s="19"/>
    </row>
    <row r="619" spans="5:5">
      <c r="E619" s="19"/>
    </row>
    <row r="620" spans="5:5">
      <c r="E620" s="19"/>
    </row>
    <row r="621" spans="5:5">
      <c r="E621" s="19"/>
    </row>
    <row r="622" spans="5:5">
      <c r="E622" s="19"/>
    </row>
    <row r="623" spans="5:5">
      <c r="E623" s="19"/>
    </row>
    <row r="624" spans="5:5">
      <c r="E624" s="19"/>
    </row>
    <row r="625" spans="5:5">
      <c r="E625" s="19"/>
    </row>
    <row r="626" spans="5:5">
      <c r="E626" s="19"/>
    </row>
    <row r="627" spans="5:5">
      <c r="E627" s="19"/>
    </row>
    <row r="628" spans="5:5">
      <c r="E628" s="19"/>
    </row>
    <row r="629" spans="5:5">
      <c r="E629" s="19"/>
    </row>
    <row r="630" spans="5:5">
      <c r="E630" s="19"/>
    </row>
    <row r="631" spans="5:5">
      <c r="E631" s="19"/>
    </row>
    <row r="632" spans="5:5">
      <c r="E632" s="19"/>
    </row>
    <row r="633" spans="5:5">
      <c r="E633" s="19"/>
    </row>
    <row r="634" spans="5:5">
      <c r="E634" s="19"/>
    </row>
    <row r="635" spans="5:5">
      <c r="E635" s="19"/>
    </row>
    <row r="636" spans="5:5">
      <c r="E636" s="19"/>
    </row>
    <row r="637" spans="5:5">
      <c r="E637" s="19"/>
    </row>
    <row r="638" spans="5:5">
      <c r="E638" s="19"/>
    </row>
    <row r="639" spans="5:5">
      <c r="E639" s="19"/>
    </row>
    <row r="640" spans="5:5">
      <c r="E640" s="19"/>
    </row>
    <row r="641" spans="5:5">
      <c r="E641" s="19"/>
    </row>
    <row r="642" spans="5:5">
      <c r="E642" s="19"/>
    </row>
    <row r="643" spans="5:5">
      <c r="E643" s="19"/>
    </row>
    <row r="644" spans="5:5">
      <c r="E644" s="19"/>
    </row>
    <row r="645" spans="5:5">
      <c r="E645" s="19"/>
    </row>
    <row r="646" spans="5:5">
      <c r="E646" s="19"/>
    </row>
    <row r="647" spans="5:5">
      <c r="E647" s="19"/>
    </row>
    <row r="648" spans="5:5">
      <c r="E648" s="19"/>
    </row>
    <row r="649" spans="5:5">
      <c r="E649" s="19"/>
    </row>
    <row r="650" spans="5:5">
      <c r="E650" s="19"/>
    </row>
    <row r="651" spans="5:5">
      <c r="E651" s="19"/>
    </row>
    <row r="652" spans="5:5">
      <c r="E652" s="19"/>
    </row>
    <row r="653" spans="5:5">
      <c r="E653" s="19"/>
    </row>
    <row r="654" spans="5:5">
      <c r="E654" s="19"/>
    </row>
    <row r="655" spans="5:5">
      <c r="E655" s="19"/>
    </row>
    <row r="656" spans="5:5">
      <c r="E656" s="19"/>
    </row>
    <row r="657" spans="5:5">
      <c r="E657" s="19"/>
    </row>
    <row r="658" spans="5:5">
      <c r="E658" s="19"/>
    </row>
    <row r="659" spans="5:5">
      <c r="E659" s="19"/>
    </row>
    <row r="660" spans="5:5">
      <c r="E660" s="19"/>
    </row>
    <row r="661" spans="5:5">
      <c r="E661" s="19"/>
    </row>
    <row r="662" spans="5:5">
      <c r="E662" s="19"/>
    </row>
    <row r="663" spans="5:5">
      <c r="E663" s="19"/>
    </row>
    <row r="664" spans="5:5">
      <c r="E664" s="19"/>
    </row>
    <row r="665" spans="5:5">
      <c r="E665" s="19"/>
    </row>
    <row r="666" spans="5:5">
      <c r="E666" s="19"/>
    </row>
    <row r="667" spans="5:5">
      <c r="E667" s="19"/>
    </row>
    <row r="668" spans="5:5">
      <c r="E668" s="19"/>
    </row>
    <row r="669" spans="5:5">
      <c r="E669" s="19"/>
    </row>
    <row r="670" spans="5:5">
      <c r="E670" s="19"/>
    </row>
    <row r="671" spans="5:5">
      <c r="E671" s="19"/>
    </row>
    <row r="672" spans="5:5">
      <c r="E672" s="19"/>
    </row>
    <row r="673" spans="5:5">
      <c r="E673" s="19"/>
    </row>
    <row r="674" spans="5:5">
      <c r="E674" s="19"/>
    </row>
    <row r="675" spans="5:5">
      <c r="E675" s="19"/>
    </row>
    <row r="676" spans="5:5">
      <c r="E676" s="19"/>
    </row>
    <row r="677" spans="5:5">
      <c r="E677" s="19"/>
    </row>
    <row r="678" spans="5:5">
      <c r="E678" s="19"/>
    </row>
    <row r="679" spans="5:5">
      <c r="E679" s="19"/>
    </row>
    <row r="680" spans="5:5">
      <c r="E680" s="19"/>
    </row>
    <row r="681" spans="5:5">
      <c r="E681" s="19"/>
    </row>
    <row r="682" spans="5:5">
      <c r="E682" s="19"/>
    </row>
    <row r="683" spans="5:5">
      <c r="E683" s="19"/>
    </row>
    <row r="684" spans="5:5">
      <c r="E684" s="19"/>
    </row>
    <row r="685" spans="5:5">
      <c r="E685" s="19"/>
    </row>
    <row r="686" spans="5:5">
      <c r="E686" s="19"/>
    </row>
    <row r="687" spans="5:5">
      <c r="E687" s="19"/>
    </row>
    <row r="688" spans="5:5">
      <c r="E688" s="19"/>
    </row>
    <row r="689" spans="5:5">
      <c r="E689" s="19"/>
    </row>
    <row r="690" spans="5:5">
      <c r="E690" s="19"/>
    </row>
    <row r="691" spans="5:5">
      <c r="E691" s="19"/>
    </row>
    <row r="692" spans="5:5">
      <c r="E692" s="19"/>
    </row>
    <row r="693" spans="5:5">
      <c r="E693" s="19"/>
    </row>
    <row r="694" spans="5:5">
      <c r="E694" s="19"/>
    </row>
    <row r="695" spans="5:5">
      <c r="E695" s="19"/>
    </row>
    <row r="696" spans="5:5">
      <c r="E696" s="19"/>
    </row>
    <row r="697" spans="5:5">
      <c r="E697" s="19"/>
    </row>
    <row r="698" spans="5:5">
      <c r="E698" s="19"/>
    </row>
    <row r="699" spans="5:5">
      <c r="E699" s="19"/>
    </row>
    <row r="700" spans="5:5">
      <c r="E700" s="19"/>
    </row>
    <row r="701" spans="5:5">
      <c r="E701" s="19"/>
    </row>
    <row r="702" spans="5:5">
      <c r="E702" s="19"/>
    </row>
    <row r="703" spans="5:5">
      <c r="E703" s="19"/>
    </row>
    <row r="704" spans="5:5">
      <c r="E704" s="19"/>
    </row>
    <row r="705" spans="5:5">
      <c r="E705" s="19"/>
    </row>
    <row r="706" spans="5:5">
      <c r="E706" s="19"/>
    </row>
    <row r="707" spans="5:5">
      <c r="E707" s="19"/>
    </row>
    <row r="708" spans="5:5">
      <c r="E708" s="19"/>
    </row>
    <row r="709" spans="5:5">
      <c r="E709" s="19"/>
    </row>
    <row r="710" spans="5:5">
      <c r="E710" s="19"/>
    </row>
    <row r="711" spans="5:5">
      <c r="E711" s="19"/>
    </row>
    <row r="712" spans="5:5">
      <c r="E712" s="19"/>
    </row>
    <row r="713" spans="5:5">
      <c r="E713" s="19"/>
    </row>
    <row r="714" spans="5:5">
      <c r="E714" s="19"/>
    </row>
    <row r="715" spans="5:5">
      <c r="E715" s="19"/>
    </row>
    <row r="716" spans="5:5">
      <c r="E716" s="19"/>
    </row>
    <row r="717" spans="5:5">
      <c r="E717" s="19"/>
    </row>
    <row r="718" spans="5:5">
      <c r="E718" s="19"/>
    </row>
    <row r="719" spans="5:5">
      <c r="E719" s="19"/>
    </row>
    <row r="720" spans="5:5">
      <c r="E720" s="19"/>
    </row>
    <row r="721" spans="5:5">
      <c r="E721" s="19"/>
    </row>
    <row r="722" spans="5:5">
      <c r="E722" s="19"/>
    </row>
    <row r="723" spans="5:5">
      <c r="E723" s="19"/>
    </row>
    <row r="724" spans="5:5">
      <c r="E724" s="19"/>
    </row>
    <row r="725" spans="5:5">
      <c r="E725" s="19"/>
    </row>
    <row r="726" spans="5:5">
      <c r="E726" s="19"/>
    </row>
    <row r="727" spans="5:5">
      <c r="E727" s="19"/>
    </row>
    <row r="728" spans="5:5">
      <c r="E728" s="19"/>
    </row>
    <row r="729" spans="5:5">
      <c r="E729" s="19"/>
    </row>
    <row r="730" spans="5:5">
      <c r="E730" s="19"/>
    </row>
    <row r="731" spans="5:5">
      <c r="E731" s="19"/>
    </row>
    <row r="732" spans="5:5">
      <c r="E732" s="19"/>
    </row>
    <row r="733" spans="5:5">
      <c r="E733" s="19"/>
    </row>
    <row r="734" spans="5:5">
      <c r="E734" s="19"/>
    </row>
    <row r="735" spans="5:5">
      <c r="E735" s="19"/>
    </row>
    <row r="736" spans="5:5">
      <c r="E736" s="19"/>
    </row>
    <row r="737" spans="5:5">
      <c r="E737" s="19"/>
    </row>
    <row r="738" spans="5:5">
      <c r="E738" s="19"/>
    </row>
    <row r="739" spans="5:5">
      <c r="E739" s="19"/>
    </row>
    <row r="740" spans="5:5">
      <c r="E740" s="19"/>
    </row>
    <row r="741" spans="5:5">
      <c r="E741" s="19"/>
    </row>
    <row r="742" spans="5:5">
      <c r="E742" s="19"/>
    </row>
    <row r="743" spans="5:5">
      <c r="E743" s="19"/>
    </row>
    <row r="744" spans="5:5">
      <c r="E744" s="19"/>
    </row>
    <row r="745" spans="5:5">
      <c r="E745" s="19"/>
    </row>
    <row r="746" spans="5:5">
      <c r="E746" s="19"/>
    </row>
    <row r="747" spans="5:5">
      <c r="E747" s="19"/>
    </row>
    <row r="748" spans="5:5">
      <c r="E748" s="19"/>
    </row>
    <row r="749" spans="5:5">
      <c r="E749" s="19"/>
    </row>
    <row r="750" spans="5:5">
      <c r="E750" s="19"/>
    </row>
    <row r="751" spans="5:5">
      <c r="E751" s="19"/>
    </row>
    <row r="752" spans="5:5">
      <c r="E752" s="19"/>
    </row>
    <row r="753" spans="5:5">
      <c r="E753" s="19"/>
    </row>
    <row r="754" spans="5:5">
      <c r="E754" s="19"/>
    </row>
    <row r="755" spans="5:5">
      <c r="E755" s="19"/>
    </row>
    <row r="756" spans="5:5">
      <c r="E756" s="19"/>
    </row>
    <row r="757" spans="5:5">
      <c r="E757" s="19"/>
    </row>
    <row r="758" spans="5:5">
      <c r="E758" s="19"/>
    </row>
    <row r="759" spans="5:5">
      <c r="E759" s="19"/>
    </row>
    <row r="760" spans="5:5">
      <c r="E760" s="19"/>
    </row>
    <row r="761" spans="5:5">
      <c r="E761" s="19"/>
    </row>
    <row r="762" spans="5:5">
      <c r="E762" s="19"/>
    </row>
    <row r="763" spans="5:5">
      <c r="E763" s="19"/>
    </row>
    <row r="764" spans="5:5">
      <c r="E764" s="19"/>
    </row>
    <row r="765" spans="5:5">
      <c r="E765" s="19"/>
    </row>
    <row r="766" spans="5:5">
      <c r="E766" s="19"/>
    </row>
    <row r="767" spans="5:5">
      <c r="E767" s="19"/>
    </row>
    <row r="768" spans="5:5">
      <c r="E768" s="19"/>
    </row>
    <row r="769" spans="5:5">
      <c r="E769" s="19"/>
    </row>
    <row r="770" spans="5:5">
      <c r="E770" s="19"/>
    </row>
    <row r="771" spans="5:5">
      <c r="E771" s="19"/>
    </row>
    <row r="772" spans="5:5">
      <c r="E772" s="19"/>
    </row>
    <row r="773" spans="5:5">
      <c r="E773" s="19"/>
    </row>
    <row r="774" spans="5:5">
      <c r="E774" s="19"/>
    </row>
    <row r="775" spans="5:5">
      <c r="E775" s="19"/>
    </row>
    <row r="776" spans="5:5">
      <c r="E776" s="19"/>
    </row>
    <row r="777" spans="5:5">
      <c r="E777" s="19"/>
    </row>
    <row r="778" spans="5:5">
      <c r="E778" s="19"/>
    </row>
    <row r="779" spans="5:5">
      <c r="E779" s="19"/>
    </row>
    <row r="780" spans="5:5">
      <c r="E780" s="19"/>
    </row>
    <row r="781" spans="5:5">
      <c r="E781" s="19"/>
    </row>
    <row r="782" spans="5:5">
      <c r="E782" s="19"/>
    </row>
    <row r="783" spans="5:5">
      <c r="E783" s="19"/>
    </row>
    <row r="784" spans="5:5">
      <c r="E784" s="19"/>
    </row>
    <row r="785" spans="5:5">
      <c r="E785" s="19"/>
    </row>
    <row r="786" spans="5:5">
      <c r="E786" s="19"/>
    </row>
    <row r="787" spans="5:5">
      <c r="E787" s="19"/>
    </row>
    <row r="788" spans="5:5">
      <c r="E788" s="19"/>
    </row>
    <row r="789" spans="5:5">
      <c r="E789" s="19"/>
    </row>
    <row r="790" spans="5:5">
      <c r="E790" s="19"/>
    </row>
    <row r="791" spans="5:5">
      <c r="E791" s="19"/>
    </row>
    <row r="792" spans="5:5">
      <c r="E792" s="19"/>
    </row>
    <row r="793" spans="5:5">
      <c r="E793" s="19"/>
    </row>
    <row r="794" spans="5:5">
      <c r="E794" s="19"/>
    </row>
    <row r="795" spans="5:5">
      <c r="E795" s="19"/>
    </row>
    <row r="796" spans="5:5">
      <c r="E796" s="19"/>
    </row>
    <row r="797" spans="5:5">
      <c r="E797" s="19"/>
    </row>
    <row r="798" spans="5:5">
      <c r="E798" s="19"/>
    </row>
    <row r="799" spans="5:5">
      <c r="E799" s="19"/>
    </row>
    <row r="800" spans="5:5">
      <c r="E800" s="19"/>
    </row>
    <row r="801" spans="5:5">
      <c r="E801" s="19"/>
    </row>
    <row r="802" spans="5:5">
      <c r="E802" s="19"/>
    </row>
    <row r="803" spans="5:5">
      <c r="E803" s="19"/>
    </row>
    <row r="804" spans="5:5">
      <c r="E804" s="19"/>
    </row>
    <row r="805" spans="5:5">
      <c r="E805" s="19"/>
    </row>
    <row r="806" spans="5:5">
      <c r="E806" s="19"/>
    </row>
    <row r="807" spans="5:5">
      <c r="E807" s="19"/>
    </row>
    <row r="808" spans="5:5">
      <c r="E808" s="19"/>
    </row>
    <row r="809" spans="5:5">
      <c r="E809" s="19"/>
    </row>
    <row r="810" spans="5:5">
      <c r="E810" s="19"/>
    </row>
    <row r="811" spans="5:5">
      <c r="E811" s="19"/>
    </row>
    <row r="812" spans="5:5">
      <c r="E812" s="19"/>
    </row>
    <row r="813" spans="5:5">
      <c r="E813" s="19"/>
    </row>
    <row r="814" spans="5:5">
      <c r="E814" s="19"/>
    </row>
    <row r="815" spans="5:5">
      <c r="E815" s="19"/>
    </row>
    <row r="816" spans="5:5">
      <c r="E816" s="19"/>
    </row>
    <row r="817" spans="5:5">
      <c r="E817" s="19"/>
    </row>
    <row r="818" spans="5:5">
      <c r="E818" s="19"/>
    </row>
    <row r="819" spans="5:5">
      <c r="E819" s="19"/>
    </row>
    <row r="820" spans="5:5">
      <c r="E820" s="19"/>
    </row>
    <row r="821" spans="5:5">
      <c r="E821" s="19"/>
    </row>
    <row r="822" spans="5:5">
      <c r="E822" s="19"/>
    </row>
    <row r="823" spans="5:5">
      <c r="E823" s="19"/>
    </row>
    <row r="824" spans="5:5">
      <c r="E824" s="19"/>
    </row>
    <row r="825" spans="5:5">
      <c r="E825" s="19"/>
    </row>
    <row r="826" spans="5:5">
      <c r="E826" s="19"/>
    </row>
    <row r="827" spans="5:5">
      <c r="E827" s="19"/>
    </row>
    <row r="828" spans="5:5">
      <c r="E828" s="19"/>
    </row>
    <row r="829" spans="5:5">
      <c r="E829" s="19"/>
    </row>
    <row r="830" spans="5:5">
      <c r="E830" s="19"/>
    </row>
    <row r="831" spans="5:5">
      <c r="E831" s="19"/>
    </row>
    <row r="832" spans="5:5">
      <c r="E832" s="19"/>
    </row>
    <row r="833" spans="5:5">
      <c r="E833" s="19"/>
    </row>
    <row r="834" spans="5:5">
      <c r="E834" s="19"/>
    </row>
    <row r="835" spans="5:5">
      <c r="E835" s="19"/>
    </row>
    <row r="836" spans="5:5">
      <c r="E836" s="19"/>
    </row>
    <row r="837" spans="5:5">
      <c r="E837" s="19"/>
    </row>
    <row r="838" spans="5:5">
      <c r="E838" s="19"/>
    </row>
    <row r="839" spans="5:5">
      <c r="E839" s="19"/>
    </row>
    <row r="840" spans="5:5">
      <c r="E840" s="19"/>
    </row>
    <row r="841" spans="5:5">
      <c r="E841" s="19"/>
    </row>
    <row r="842" spans="5:5">
      <c r="E842" s="19"/>
    </row>
    <row r="843" spans="5:5">
      <c r="E843" s="19"/>
    </row>
    <row r="844" spans="5:5">
      <c r="E844" s="19"/>
    </row>
    <row r="845" spans="5:5">
      <c r="E845" s="19"/>
    </row>
    <row r="846" spans="5:5">
      <c r="E846" s="19"/>
    </row>
    <row r="847" spans="5:5">
      <c r="E847" s="19"/>
    </row>
    <row r="848" spans="5:5">
      <c r="E848" s="19"/>
    </row>
    <row r="849" spans="5:5">
      <c r="E849" s="19"/>
    </row>
    <row r="850" spans="5:5">
      <c r="E850" s="19"/>
    </row>
    <row r="851" spans="5:5">
      <c r="E851" s="19"/>
    </row>
    <row r="852" spans="5:5">
      <c r="E852" s="19"/>
    </row>
    <row r="853" spans="5:5">
      <c r="E853" s="19"/>
    </row>
    <row r="854" spans="5:5">
      <c r="E854" s="19"/>
    </row>
    <row r="855" spans="5:5">
      <c r="E855" s="19"/>
    </row>
    <row r="856" spans="5:5">
      <c r="E856" s="19"/>
    </row>
    <row r="857" spans="5:5">
      <c r="E857" s="19"/>
    </row>
    <row r="858" spans="5:5">
      <c r="E858" s="19"/>
    </row>
  </sheetData>
  <conditionalFormatting sqref="G229:G237 F229:F234 F236:F237 F227:J227 H237:K237 H229:H231 E238:J238 H233:H236 I229:J236 F212:J220">
    <cfRule type="expression" dxfId="11" priority="1">
      <formula>#REF!=0</formula>
    </cfRule>
  </conditionalFormatting>
  <printOptions headings="1"/>
  <pageMargins left="0.23622047244094491" right="0.27559055118110237" top="0.74803149606299213" bottom="0.74803149606299213" header="0.31496062992125984" footer="0.31496062992125984"/>
  <pageSetup paperSize="8" scale="53" fitToHeight="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16</vt:i4>
      </vt:variant>
    </vt:vector>
  </HeadingPairs>
  <TitlesOfParts>
    <vt:vector size="37" baseType="lpstr">
      <vt:lpstr>Cover</vt:lpstr>
      <vt:lpstr>Inputs</vt:lpstr>
      <vt:lpstr>Results</vt:lpstr>
      <vt:lpstr>Timing Assumptions</vt:lpstr>
      <vt:lpstr>Alp</vt:lpstr>
      <vt:lpstr>Aur</vt:lpstr>
      <vt:lpstr>Ctl</vt:lpstr>
      <vt:lpstr>Est</vt:lpstr>
      <vt:lpstr>Ash</vt:lpstr>
      <vt:lpstr>Inv</vt:lpstr>
      <vt:lpstr>Hoz</vt:lpstr>
      <vt:lpstr>Nel</vt:lpstr>
      <vt:lpstr>Tas</vt:lpstr>
      <vt:lpstr>Ota</vt:lpstr>
      <vt:lpstr>Pco</vt:lpstr>
      <vt:lpstr>TLC</vt:lpstr>
      <vt:lpstr>Top</vt:lpstr>
      <vt:lpstr>Uni</vt:lpstr>
      <vt:lpstr>Vct</vt:lpstr>
      <vt:lpstr>Wel</vt:lpstr>
      <vt:lpstr>CPI</vt:lpstr>
      <vt:lpstr>BB_CommAssetsBlock</vt:lpstr>
      <vt:lpstr>BB_ConstPriceRevGrwth</vt:lpstr>
      <vt:lpstr>BB_InputsBlock</vt:lpstr>
      <vt:lpstr>BB_OpexBlock</vt:lpstr>
      <vt:lpstr>ChangeCode</vt:lpstr>
      <vt:lpstr>CommAssetsBlock</vt:lpstr>
      <vt:lpstr>ConstPriceRevGrwth</vt:lpstr>
      <vt:lpstr>Debt</vt:lpstr>
      <vt:lpstr>INDIRECTformula</vt:lpstr>
      <vt:lpstr>Inputs_Anchor</vt:lpstr>
      <vt:lpstr>InputsBlock</vt:lpstr>
      <vt:lpstr>Leverage</vt:lpstr>
      <vt:lpstr>OpexBlock</vt:lpstr>
      <vt:lpstr>ResultsAnchor</vt:lpstr>
      <vt:lpstr>WACC</vt:lpstr>
      <vt:lpstr>X_industry_wide</vt:lpstr>
    </vt:vector>
  </TitlesOfParts>
  <Company>Commerce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Ware</dc:creator>
  <cp:lastModifiedBy>John McLaren</cp:lastModifiedBy>
  <cp:lastPrinted>2012-11-29T23:26:34Z</cp:lastPrinted>
  <dcterms:created xsi:type="dcterms:W3CDTF">2012-02-27T22:04:54Z</dcterms:created>
  <dcterms:modified xsi:type="dcterms:W3CDTF">2012-11-29T23:57:50Z</dcterms:modified>
</cp:coreProperties>
</file>