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1" documentId="13_ncr:1_{22140A05-DB9C-4865-8C15-D0A129DEE2B0}" xr6:coauthVersionLast="47" xr6:coauthVersionMax="47" xr10:uidLastSave="{DF031B49-200C-41F0-B3B8-F55C30A78F99}"/>
  <bookViews>
    <workbookView xWindow="-28920" yWindow="-120" windowWidth="29040" windowHeight="15840" tabRatio="909" xr2:uid="{00000000-000D-0000-FFFF-FFFF00000000}"/>
  </bookViews>
  <sheets>
    <sheet name="Description" sheetId="10" r:id="rId1"/>
    <sheet name="LFC inputs" sheetId="151" r:id="rId2"/>
    <sheet name="Model inputs" sheetId="84" r:id="rId3"/>
    <sheet name="DCF" sheetId="150" r:id="rId4"/>
  </sheets>
  <definedNames>
    <definedName name="company">'Model inputs'!$A$110:$A$112</definedName>
    <definedName name="_xlnm.Print_Area" localSheetId="3">DCF!$A$1:$Q$346</definedName>
    <definedName name="_xlnm.Print_Area" localSheetId="0">Description!$A$1:$F$11</definedName>
    <definedName name="_xlnm.Print_Area" localSheetId="1">'LFC inputs'!$A$1:$O$36</definedName>
    <definedName name="_xlnm.Print_Area" localSheetId="2">'Model inputs'!$A$1:$O$109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 i="150" l="1"/>
  <c r="D121" i="150"/>
  <c r="E121" i="150"/>
  <c r="F121" i="150"/>
  <c r="G121" i="150"/>
  <c r="H121" i="150" l="1"/>
  <c r="I121" i="150"/>
  <c r="J121" i="150"/>
  <c r="K121" i="150"/>
  <c r="L121" i="150"/>
  <c r="M121" i="150"/>
  <c r="N121" i="150"/>
  <c r="E65" i="84" l="1"/>
  <c r="F65" i="84"/>
  <c r="G65" i="84"/>
  <c r="H65" i="84"/>
  <c r="I65" i="84"/>
  <c r="J65" i="84"/>
  <c r="K65" i="84"/>
  <c r="L65" i="84"/>
  <c r="M65" i="84"/>
  <c r="N65" i="84"/>
  <c r="D65" i="84"/>
  <c r="E66" i="84"/>
  <c r="F66" i="84"/>
  <c r="G66" i="84"/>
  <c r="H66" i="84"/>
  <c r="I66" i="84"/>
  <c r="J66" i="84"/>
  <c r="K66" i="84"/>
  <c r="L66" i="84"/>
  <c r="M66" i="84"/>
  <c r="N66" i="84"/>
  <c r="D66" i="84"/>
  <c r="E108" i="84" l="1"/>
  <c r="F108" i="84"/>
  <c r="G108" i="84"/>
  <c r="H108" i="84"/>
  <c r="I108" i="84"/>
  <c r="J108" i="84"/>
  <c r="K108" i="84"/>
  <c r="L108" i="84"/>
  <c r="M108" i="84"/>
  <c r="N108" i="84"/>
  <c r="E63" i="84" l="1"/>
  <c r="F63" i="84"/>
  <c r="G63" i="84"/>
  <c r="H63" i="84"/>
  <c r="I63" i="84"/>
  <c r="J63" i="84"/>
  <c r="K63" i="84"/>
  <c r="L63" i="84"/>
  <c r="M63" i="84"/>
  <c r="N63" i="84"/>
  <c r="E64" i="84"/>
  <c r="F64" i="84"/>
  <c r="G64" i="84"/>
  <c r="H64" i="84"/>
  <c r="I64" i="84"/>
  <c r="J64" i="84"/>
  <c r="K64" i="84"/>
  <c r="L64" i="84"/>
  <c r="M64" i="84"/>
  <c r="N64" i="84"/>
  <c r="D64" i="84"/>
  <c r="D63" i="84"/>
  <c r="C90" i="150"/>
  <c r="C91" i="150" s="1"/>
  <c r="D89" i="150" s="1"/>
  <c r="C76" i="150"/>
  <c r="C77" i="150" s="1"/>
  <c r="D75" i="150" s="1"/>
  <c r="D100" i="84" l="1"/>
  <c r="F11" i="84"/>
  <c r="E9" i="84"/>
  <c r="I22" i="84"/>
  <c r="E22" i="84"/>
  <c r="E11" i="84"/>
  <c r="E101" i="84"/>
  <c r="F101" i="84"/>
  <c r="G101" i="84"/>
  <c r="H101" i="84"/>
  <c r="I101" i="84"/>
  <c r="J101" i="84"/>
  <c r="K101" i="84"/>
  <c r="L101" i="84"/>
  <c r="M101" i="84"/>
  <c r="N101" i="84"/>
  <c r="D101" i="84"/>
  <c r="F22" i="84"/>
  <c r="G22" i="84"/>
  <c r="H22" i="84"/>
  <c r="J22" i="84"/>
  <c r="K22" i="84"/>
  <c r="L22" i="84"/>
  <c r="M22" i="84"/>
  <c r="N22" i="84"/>
  <c r="D22" i="84"/>
  <c r="C21" i="84"/>
  <c r="C20" i="84"/>
  <c r="D11" i="84"/>
  <c r="D9" i="84"/>
  <c r="C10" i="84"/>
  <c r="C8" i="84"/>
  <c r="E17" i="84" l="1"/>
  <c r="E100" i="84"/>
  <c r="D17" i="84"/>
  <c r="D26" i="84"/>
  <c r="D16" i="84"/>
  <c r="E16" i="84"/>
  <c r="E26" i="84"/>
  <c r="G9" i="84"/>
  <c r="F9" i="84"/>
  <c r="C50" i="150"/>
  <c r="C22" i="150" s="1"/>
  <c r="C43" i="150"/>
  <c r="C104" i="150"/>
  <c r="C141" i="150"/>
  <c r="C59" i="150"/>
  <c r="F16" i="84" l="1"/>
  <c r="F46" i="150" s="1"/>
  <c r="G11" i="84"/>
  <c r="G52" i="150" s="1"/>
  <c r="F26" i="84"/>
  <c r="F108" i="150" s="1"/>
  <c r="F17" i="84"/>
  <c r="F53" i="150" s="1"/>
  <c r="F265" i="150" s="1"/>
  <c r="F100" i="84"/>
  <c r="H9" i="84"/>
  <c r="H45" i="150" s="1"/>
  <c r="E103" i="84"/>
  <c r="D102" i="84"/>
  <c r="E102" i="84"/>
  <c r="D103" i="84"/>
  <c r="C158" i="150"/>
  <c r="C160" i="150" s="1"/>
  <c r="D157" i="150" s="1"/>
  <c r="N104" i="150"/>
  <c r="N141" i="150" s="1"/>
  <c r="M104" i="150"/>
  <c r="M141" i="150" s="1"/>
  <c r="L104" i="150"/>
  <c r="L141" i="150" s="1"/>
  <c r="K104" i="150"/>
  <c r="K141" i="150" s="1"/>
  <c r="J104" i="150"/>
  <c r="J141" i="150" s="1"/>
  <c r="I104" i="150"/>
  <c r="I141" i="150" s="1"/>
  <c r="H104" i="150"/>
  <c r="H141" i="150" s="1"/>
  <c r="G104" i="150"/>
  <c r="G141" i="150" s="1"/>
  <c r="F104" i="150"/>
  <c r="F141" i="150" s="1"/>
  <c r="E104" i="150"/>
  <c r="E141" i="150" s="1"/>
  <c r="D104" i="150"/>
  <c r="D141" i="150" s="1"/>
  <c r="D112" i="150"/>
  <c r="E108" i="150"/>
  <c r="D108" i="150"/>
  <c r="N107" i="150"/>
  <c r="M107" i="150"/>
  <c r="L107" i="150"/>
  <c r="K107" i="150"/>
  <c r="J107" i="150"/>
  <c r="I107" i="150"/>
  <c r="H107" i="150"/>
  <c r="G107" i="150"/>
  <c r="F107" i="150"/>
  <c r="E107" i="150"/>
  <c r="D107" i="150"/>
  <c r="D106" i="150"/>
  <c r="E62" i="150"/>
  <c r="E66" i="150" s="1"/>
  <c r="D62" i="150"/>
  <c r="D66" i="150" s="1"/>
  <c r="C62" i="150"/>
  <c r="E53" i="150"/>
  <c r="D53" i="150"/>
  <c r="F52" i="150"/>
  <c r="E52" i="150"/>
  <c r="E325" i="150" s="1"/>
  <c r="D52" i="150"/>
  <c r="E46" i="150"/>
  <c r="D46" i="150"/>
  <c r="G45" i="150"/>
  <c r="F45" i="150"/>
  <c r="E45" i="150"/>
  <c r="D45" i="150"/>
  <c r="C47" i="150"/>
  <c r="D44" i="150" s="1"/>
  <c r="N40" i="150"/>
  <c r="M40" i="150"/>
  <c r="L40" i="150"/>
  <c r="K40" i="150"/>
  <c r="J40" i="150"/>
  <c r="I40" i="150"/>
  <c r="H40" i="150"/>
  <c r="G40" i="150"/>
  <c r="F40" i="150"/>
  <c r="E40" i="150"/>
  <c r="D40" i="150"/>
  <c r="C40" i="150"/>
  <c r="F26" i="150"/>
  <c r="E26" i="150"/>
  <c r="D26" i="150"/>
  <c r="N15" i="150"/>
  <c r="M15" i="150"/>
  <c r="L15" i="150"/>
  <c r="K15" i="150"/>
  <c r="J15" i="150"/>
  <c r="I15" i="150"/>
  <c r="H15" i="150"/>
  <c r="G15" i="150"/>
  <c r="F15" i="150"/>
  <c r="E15" i="150"/>
  <c r="D15" i="150"/>
  <c r="C15" i="150"/>
  <c r="D90" i="150" l="1"/>
  <c r="D91" i="150" s="1"/>
  <c r="E89" i="150" s="1"/>
  <c r="E76" i="150"/>
  <c r="E80" i="150" s="1"/>
  <c r="D76" i="150"/>
  <c r="D80" i="150" s="1"/>
  <c r="F62" i="150"/>
  <c r="F66" i="150" s="1"/>
  <c r="E90" i="150"/>
  <c r="E94" i="150" s="1"/>
  <c r="D77" i="150"/>
  <c r="E75" i="150" s="1"/>
  <c r="E77" i="150" s="1"/>
  <c r="F75" i="150" s="1"/>
  <c r="G26" i="150"/>
  <c r="H11" i="84"/>
  <c r="G17" i="84"/>
  <c r="G53" i="150" s="1"/>
  <c r="G265" i="150" s="1"/>
  <c r="G26" i="84"/>
  <c r="G108" i="150" s="1"/>
  <c r="G16" i="84"/>
  <c r="G46" i="150" s="1"/>
  <c r="F103" i="84"/>
  <c r="F102" i="84"/>
  <c r="G100" i="84"/>
  <c r="I9" i="84"/>
  <c r="I45" i="150" s="1"/>
  <c r="L273" i="150"/>
  <c r="L59" i="150"/>
  <c r="E273" i="150"/>
  <c r="E59" i="150"/>
  <c r="M273" i="150"/>
  <c r="M59" i="150"/>
  <c r="F273" i="150"/>
  <c r="F59" i="150"/>
  <c r="N273" i="150"/>
  <c r="N59" i="150"/>
  <c r="G273" i="150"/>
  <c r="G59" i="150"/>
  <c r="H273" i="150"/>
  <c r="H59" i="150"/>
  <c r="I273" i="150"/>
  <c r="I59" i="150"/>
  <c r="J273" i="150"/>
  <c r="J59" i="150"/>
  <c r="D273" i="150"/>
  <c r="D59" i="150"/>
  <c r="K273" i="150"/>
  <c r="K59" i="150"/>
  <c r="D47" i="150"/>
  <c r="D12" i="84" s="1"/>
  <c r="D109" i="150"/>
  <c r="D28" i="84" s="1"/>
  <c r="C63" i="150"/>
  <c r="D61" i="150" s="1"/>
  <c r="D63" i="150" s="1"/>
  <c r="G325" i="150"/>
  <c r="D265" i="150"/>
  <c r="D325" i="150"/>
  <c r="C55" i="150"/>
  <c r="D51" i="150" s="1"/>
  <c r="F325" i="150"/>
  <c r="E265" i="150"/>
  <c r="D94" i="150" l="1"/>
  <c r="E91" i="150"/>
  <c r="F89" i="150" s="1"/>
  <c r="F76" i="150"/>
  <c r="F80" i="150" s="1"/>
  <c r="F90" i="150"/>
  <c r="F94" i="150" s="1"/>
  <c r="D151" i="150"/>
  <c r="D159" i="150" s="1"/>
  <c r="D264" i="150" s="1"/>
  <c r="H26" i="150"/>
  <c r="H52" i="150"/>
  <c r="H325" i="150" s="1"/>
  <c r="H26" i="84"/>
  <c r="H108" i="150" s="1"/>
  <c r="H16" i="84"/>
  <c r="H46" i="150" s="1"/>
  <c r="I11" i="84"/>
  <c r="H100" i="84"/>
  <c r="H17" i="84"/>
  <c r="H53" i="150" s="1"/>
  <c r="H265" i="150" s="1"/>
  <c r="G62" i="150"/>
  <c r="G66" i="150" s="1"/>
  <c r="G102" i="84"/>
  <c r="G103" i="84"/>
  <c r="J9" i="84"/>
  <c r="J45" i="150" s="1"/>
  <c r="E106" i="150"/>
  <c r="E109" i="150" s="1"/>
  <c r="E28" i="84" s="1"/>
  <c r="E44" i="150"/>
  <c r="E47" i="150" s="1"/>
  <c r="E61" i="150"/>
  <c r="E63" i="150" s="1"/>
  <c r="F61" i="150" s="1"/>
  <c r="F63" i="150" s="1"/>
  <c r="G61" i="150" s="1"/>
  <c r="C329" i="150"/>
  <c r="D324" i="150" s="1"/>
  <c r="C277" i="150"/>
  <c r="F91" i="150" l="1"/>
  <c r="G89" i="150" s="1"/>
  <c r="F77" i="150"/>
  <c r="G75" i="150" s="1"/>
  <c r="G90" i="150"/>
  <c r="G94" i="150" s="1"/>
  <c r="G76" i="150"/>
  <c r="G80" i="150" s="1"/>
  <c r="I26" i="84"/>
  <c r="I108" i="150" s="1"/>
  <c r="I16" i="84"/>
  <c r="I46" i="150" s="1"/>
  <c r="I26" i="150"/>
  <c r="I52" i="150"/>
  <c r="I325" i="150" s="1"/>
  <c r="J11" i="84"/>
  <c r="G63" i="150"/>
  <c r="H61" i="150" s="1"/>
  <c r="H103" i="84"/>
  <c r="H102" i="84"/>
  <c r="H62" i="150"/>
  <c r="H66" i="150" s="1"/>
  <c r="I100" i="84"/>
  <c r="K9" i="84"/>
  <c r="K45" i="150" s="1"/>
  <c r="F44" i="150"/>
  <c r="F47" i="150" s="1"/>
  <c r="E12" i="84"/>
  <c r="F106" i="150"/>
  <c r="F109" i="150" s="1"/>
  <c r="F28" i="84" s="1"/>
  <c r="D160" i="150"/>
  <c r="E157" i="150" s="1"/>
  <c r="D326" i="150"/>
  <c r="C309" i="150"/>
  <c r="C321" i="150" s="1"/>
  <c r="G77" i="150" l="1"/>
  <c r="H75" i="150" s="1"/>
  <c r="H76" i="150"/>
  <c r="H80" i="150" s="1"/>
  <c r="H90" i="150"/>
  <c r="H94" i="150" s="1"/>
  <c r="G91" i="150"/>
  <c r="H89" i="150" s="1"/>
  <c r="F12" i="84"/>
  <c r="I17" i="84"/>
  <c r="I53" i="150" s="1"/>
  <c r="I265" i="150" s="1"/>
  <c r="J26" i="150"/>
  <c r="J52" i="150"/>
  <c r="J325" i="150" s="1"/>
  <c r="J26" i="84"/>
  <c r="J108" i="150" s="1"/>
  <c r="J16" i="84"/>
  <c r="J46" i="150" s="1"/>
  <c r="K11" i="84"/>
  <c r="H63" i="150"/>
  <c r="I61" i="150" s="1"/>
  <c r="J100" i="84"/>
  <c r="J17" i="84"/>
  <c r="J53" i="150" s="1"/>
  <c r="J265" i="150" s="1"/>
  <c r="I103" i="84"/>
  <c r="I102" i="84"/>
  <c r="I62" i="150"/>
  <c r="I66" i="150" s="1"/>
  <c r="L9" i="84"/>
  <c r="L45" i="150" s="1"/>
  <c r="G44" i="150"/>
  <c r="G47" i="150" s="1"/>
  <c r="G12" i="84" s="1"/>
  <c r="E54" i="150"/>
  <c r="G106" i="150"/>
  <c r="G109" i="150" s="1"/>
  <c r="G28" i="84" s="1"/>
  <c r="D39" i="84"/>
  <c r="E39" i="84"/>
  <c r="E107" i="84" s="1"/>
  <c r="E95" i="150" s="1"/>
  <c r="E96" i="150" s="1"/>
  <c r="F39" i="84"/>
  <c r="F107" i="84" s="1"/>
  <c r="F95" i="150" s="1"/>
  <c r="F96" i="150" s="1"/>
  <c r="G39" i="84"/>
  <c r="G107" i="84" s="1"/>
  <c r="G95" i="150" s="1"/>
  <c r="G96" i="150" s="1"/>
  <c r="H39" i="84"/>
  <c r="H107" i="84" s="1"/>
  <c r="H95" i="150" s="1"/>
  <c r="I39" i="84"/>
  <c r="I107" i="84" s="1"/>
  <c r="I95" i="150" s="1"/>
  <c r="J39" i="84"/>
  <c r="J107" i="84" s="1"/>
  <c r="J95" i="150" s="1"/>
  <c r="K39" i="84"/>
  <c r="K107" i="84" s="1"/>
  <c r="K95" i="150" s="1"/>
  <c r="L39" i="84"/>
  <c r="L107" i="84" s="1"/>
  <c r="L95" i="150" s="1"/>
  <c r="M39" i="84"/>
  <c r="M107" i="84" s="1"/>
  <c r="M95" i="150" s="1"/>
  <c r="N39" i="84"/>
  <c r="N107" i="84" s="1"/>
  <c r="N95" i="150" s="1"/>
  <c r="C39" i="84"/>
  <c r="H96" i="150" l="1"/>
  <c r="H77" i="150"/>
  <c r="I75" i="150" s="1"/>
  <c r="H91" i="150"/>
  <c r="I89" i="150" s="1"/>
  <c r="I76" i="150"/>
  <c r="I80" i="150" s="1"/>
  <c r="I90" i="150"/>
  <c r="I94" i="150" s="1"/>
  <c r="I96" i="150" s="1"/>
  <c r="F54" i="150"/>
  <c r="F28" i="150" s="1"/>
  <c r="L11" i="84"/>
  <c r="K17" i="84"/>
  <c r="K53" i="150" s="1"/>
  <c r="K265" i="150" s="1"/>
  <c r="K26" i="84"/>
  <c r="K108" i="150" s="1"/>
  <c r="K16" i="84"/>
  <c r="K46" i="150" s="1"/>
  <c r="K26" i="150"/>
  <c r="K52" i="150"/>
  <c r="K325" i="150" s="1"/>
  <c r="I63" i="150"/>
  <c r="J61" i="150" s="1"/>
  <c r="K100" i="84"/>
  <c r="J102" i="84"/>
  <c r="J62" i="150"/>
  <c r="J66" i="150" s="1"/>
  <c r="J103" i="84"/>
  <c r="N9" i="84"/>
  <c r="N45" i="150" s="1"/>
  <c r="M9" i="84"/>
  <c r="M45" i="150" s="1"/>
  <c r="H44" i="150"/>
  <c r="H47" i="150" s="1"/>
  <c r="H12" i="84" s="1"/>
  <c r="E176" i="150"/>
  <c r="E178" i="150" s="1"/>
  <c r="F175" i="150" s="1"/>
  <c r="E28" i="150"/>
  <c r="G54" i="150"/>
  <c r="H106" i="150"/>
  <c r="H109" i="150" s="1"/>
  <c r="H28" i="84" s="1"/>
  <c r="C32" i="84"/>
  <c r="J90" i="150" l="1"/>
  <c r="J94" i="150" s="1"/>
  <c r="J96" i="150" s="1"/>
  <c r="J76" i="150"/>
  <c r="J80" i="150" s="1"/>
  <c r="I77" i="150"/>
  <c r="J75" i="150" s="1"/>
  <c r="I91" i="150"/>
  <c r="J89" i="150" s="1"/>
  <c r="F185" i="150"/>
  <c r="F187" i="150" s="1"/>
  <c r="G184" i="150" s="1"/>
  <c r="H54" i="150"/>
  <c r="H28" i="150" s="1"/>
  <c r="F327" i="150"/>
  <c r="L26" i="84"/>
  <c r="L108" i="150" s="1"/>
  <c r="L16" i="84"/>
  <c r="L46" i="150" s="1"/>
  <c r="L26" i="150"/>
  <c r="L52" i="150"/>
  <c r="L325" i="150" s="1"/>
  <c r="M11" i="84"/>
  <c r="L100" i="84"/>
  <c r="L17" i="84"/>
  <c r="L53" i="150" s="1"/>
  <c r="L265" i="150" s="1"/>
  <c r="K102" i="84"/>
  <c r="K103" i="84"/>
  <c r="K62" i="150"/>
  <c r="K66" i="150" s="1"/>
  <c r="J63" i="150"/>
  <c r="K61" i="150" s="1"/>
  <c r="I44" i="150"/>
  <c r="I47" i="150" s="1"/>
  <c r="G28" i="150"/>
  <c r="G327" i="150" s="1"/>
  <c r="G194" i="150"/>
  <c r="G196" i="150" s="1"/>
  <c r="H193" i="150" s="1"/>
  <c r="E327" i="150"/>
  <c r="I106" i="150"/>
  <c r="I109" i="150" s="1"/>
  <c r="N54" i="84"/>
  <c r="N143" i="150" s="1"/>
  <c r="N146" i="150" s="1"/>
  <c r="M54" i="84"/>
  <c r="M143" i="150" s="1"/>
  <c r="M146" i="150" s="1"/>
  <c r="J77" i="150" l="1"/>
  <c r="K75" i="150" s="1"/>
  <c r="J91" i="150"/>
  <c r="K89" i="150" s="1"/>
  <c r="K76" i="150"/>
  <c r="K80" i="150" s="1"/>
  <c r="K90" i="150"/>
  <c r="K94" i="150" s="1"/>
  <c r="K96" i="150" s="1"/>
  <c r="H203" i="150"/>
  <c r="H205" i="150" s="1"/>
  <c r="I202" i="150" s="1"/>
  <c r="K63" i="150"/>
  <c r="L61" i="150" s="1"/>
  <c r="I28" i="84"/>
  <c r="I12" i="84"/>
  <c r="M26" i="150"/>
  <c r="M52" i="150"/>
  <c r="M325" i="150" s="1"/>
  <c r="N100" i="84"/>
  <c r="N11" i="84"/>
  <c r="M26" i="84"/>
  <c r="M108" i="150" s="1"/>
  <c r="M16" i="84"/>
  <c r="M46" i="150" s="1"/>
  <c r="M100" i="84"/>
  <c r="L103" i="84"/>
  <c r="L62" i="150"/>
  <c r="L66" i="150" s="1"/>
  <c r="L102" i="84"/>
  <c r="J44" i="150"/>
  <c r="J47" i="150" s="1"/>
  <c r="J106" i="150"/>
  <c r="J109" i="150" s="1"/>
  <c r="H327" i="150"/>
  <c r="N57" i="84"/>
  <c r="N144" i="150" s="1"/>
  <c r="N147" i="150" s="1"/>
  <c r="K77" i="150" l="1"/>
  <c r="L75" i="150" s="1"/>
  <c r="L76" i="150"/>
  <c r="L80" i="150" s="1"/>
  <c r="L90" i="150"/>
  <c r="L94" i="150" s="1"/>
  <c r="L96" i="150" s="1"/>
  <c r="K91" i="150"/>
  <c r="L89" i="150" s="1"/>
  <c r="I54" i="150"/>
  <c r="I28" i="150" s="1"/>
  <c r="I327" i="150" s="1"/>
  <c r="N26" i="150"/>
  <c r="N52" i="150"/>
  <c r="N325" i="150" s="1"/>
  <c r="N102" i="84"/>
  <c r="N62" i="150"/>
  <c r="N66" i="150" s="1"/>
  <c r="N103" i="84"/>
  <c r="N17" i="84"/>
  <c r="N53" i="150" s="1"/>
  <c r="N265" i="150" s="1"/>
  <c r="N16" i="84"/>
  <c r="N46" i="150" s="1"/>
  <c r="N26" i="84"/>
  <c r="N108" i="150" s="1"/>
  <c r="M17" i="84"/>
  <c r="M53" i="150" s="1"/>
  <c r="M265" i="150" s="1"/>
  <c r="L63" i="150"/>
  <c r="M61" i="150" s="1"/>
  <c r="M62" i="150"/>
  <c r="M66" i="150" s="1"/>
  <c r="M103" i="84"/>
  <c r="M102" i="84"/>
  <c r="K44" i="150"/>
  <c r="K47" i="150" s="1"/>
  <c r="K106" i="150"/>
  <c r="K109" i="150" s="1"/>
  <c r="N58" i="84"/>
  <c r="L77" i="150" l="1"/>
  <c r="M75" i="150" s="1"/>
  <c r="N76" i="150"/>
  <c r="N80" i="150" s="1"/>
  <c r="M90" i="150"/>
  <c r="M94" i="150" s="1"/>
  <c r="M96" i="150" s="1"/>
  <c r="L91" i="150"/>
  <c r="M89" i="150" s="1"/>
  <c r="M76" i="150"/>
  <c r="M80" i="150" s="1"/>
  <c r="N90" i="150"/>
  <c r="N94" i="150" s="1"/>
  <c r="N96" i="150" s="1"/>
  <c r="I212" i="150"/>
  <c r="I214" i="150" s="1"/>
  <c r="J211" i="150" s="1"/>
  <c r="J28" i="84"/>
  <c r="J12" i="84"/>
  <c r="M63" i="150"/>
  <c r="N61" i="150" s="1"/>
  <c r="N63" i="150" s="1"/>
  <c r="L44" i="150"/>
  <c r="L47" i="150" s="1"/>
  <c r="L106" i="150"/>
  <c r="L109" i="150" s="1"/>
  <c r="N59" i="84"/>
  <c r="D54" i="84"/>
  <c r="D143" i="150" s="1"/>
  <c r="D146" i="150" s="1"/>
  <c r="E159" i="150" s="1"/>
  <c r="E160" i="150" s="1"/>
  <c r="F157" i="150" s="1"/>
  <c r="M91" i="150" l="1"/>
  <c r="N89" i="150" s="1"/>
  <c r="N91" i="150" s="1"/>
  <c r="M77" i="150"/>
  <c r="N75" i="150" s="1"/>
  <c r="N77" i="150" s="1"/>
  <c r="J54" i="150"/>
  <c r="J221" i="150"/>
  <c r="J223" i="150" s="1"/>
  <c r="K220" i="150" s="1"/>
  <c r="J28" i="150"/>
  <c r="M44" i="150"/>
  <c r="M47" i="150" s="1"/>
  <c r="M106" i="150"/>
  <c r="M109" i="150" s="1"/>
  <c r="F159" i="150"/>
  <c r="F160" i="150" s="1"/>
  <c r="G157" i="150" s="1"/>
  <c r="E152" i="150"/>
  <c r="D107" i="84"/>
  <c r="D95" i="150" s="1"/>
  <c r="D96" i="150" s="1"/>
  <c r="K28" i="84" l="1"/>
  <c r="K12" i="84"/>
  <c r="J327" i="150"/>
  <c r="N44" i="150"/>
  <c r="N47" i="150" s="1"/>
  <c r="N106" i="150"/>
  <c r="N109" i="150" s="1"/>
  <c r="G159" i="150"/>
  <c r="G160" i="150" s="1"/>
  <c r="H157" i="150" s="1"/>
  <c r="F153" i="150"/>
  <c r="C42" i="84"/>
  <c r="C45" i="84" s="1"/>
  <c r="C149" i="150" s="1"/>
  <c r="K54" i="150" l="1"/>
  <c r="L28" i="84"/>
  <c r="L12" i="84"/>
  <c r="K230" i="150"/>
  <c r="K232" i="150" s="1"/>
  <c r="L229" i="150" s="1"/>
  <c r="K28" i="150"/>
  <c r="H159" i="150"/>
  <c r="H160" i="150" s="1"/>
  <c r="I157" i="150" s="1"/>
  <c r="D161" i="150"/>
  <c r="D163" i="150" s="1"/>
  <c r="C50" i="84"/>
  <c r="L54" i="150" l="1"/>
  <c r="L239" i="150" s="1"/>
  <c r="L241" i="150" s="1"/>
  <c r="M238" i="150" s="1"/>
  <c r="K327" i="150"/>
  <c r="L28" i="150"/>
  <c r="I159" i="150"/>
  <c r="I160" i="150" s="1"/>
  <c r="J157" i="150" s="1"/>
  <c r="J159" i="150" s="1"/>
  <c r="J160" i="150" s="1"/>
  <c r="K157" i="150" s="1"/>
  <c r="K159" i="150" s="1"/>
  <c r="K160" i="150" s="1"/>
  <c r="L157" i="150" s="1"/>
  <c r="L159" i="150" s="1"/>
  <c r="L160" i="150" s="1"/>
  <c r="M157" i="150" s="1"/>
  <c r="G153" i="150"/>
  <c r="D57" i="84"/>
  <c r="D144" i="150" s="1"/>
  <c r="D147" i="150" s="1"/>
  <c r="L327" i="150" l="1"/>
  <c r="M28" i="84"/>
  <c r="M12" i="84"/>
  <c r="M159" i="150"/>
  <c r="M160" i="150" s="1"/>
  <c r="N157" i="150" s="1"/>
  <c r="N161" i="150" s="1"/>
  <c r="N163" i="150" s="1"/>
  <c r="M161" i="150"/>
  <c r="M163" i="150" s="1"/>
  <c r="D58" i="84"/>
  <c r="M54" i="150" l="1"/>
  <c r="M28" i="150"/>
  <c r="M248" i="150"/>
  <c r="M250" i="150" s="1"/>
  <c r="N247" i="150" s="1"/>
  <c r="N159" i="150"/>
  <c r="N160" i="150" s="1"/>
  <c r="D59" i="84"/>
  <c r="H153" i="150"/>
  <c r="C80" i="84"/>
  <c r="N28" i="84" l="1"/>
  <c r="N12" i="84"/>
  <c r="M327" i="150"/>
  <c r="N98" i="84"/>
  <c r="E98" i="84"/>
  <c r="D98" i="84"/>
  <c r="C98" i="84"/>
  <c r="N54" i="150" l="1"/>
  <c r="N28" i="150"/>
  <c r="N257" i="150"/>
  <c r="N259" i="150" s="1"/>
  <c r="J153" i="150"/>
  <c r="I153" i="150"/>
  <c r="G42" i="84"/>
  <c r="G45" i="84" s="1"/>
  <c r="H42" i="84"/>
  <c r="H45" i="84" s="1"/>
  <c r="I42" i="84"/>
  <c r="I45" i="84" s="1"/>
  <c r="J42" i="84"/>
  <c r="J45" i="84" s="1"/>
  <c r="K42" i="84"/>
  <c r="K45" i="84" s="1"/>
  <c r="L42" i="84"/>
  <c r="L45" i="84" s="1"/>
  <c r="M42" i="84"/>
  <c r="M45" i="84" s="1"/>
  <c r="N42" i="84"/>
  <c r="N45" i="84" s="1"/>
  <c r="N106" i="84" s="1"/>
  <c r="I149" i="150" l="1"/>
  <c r="I106" i="84"/>
  <c r="M149" i="150"/>
  <c r="N252" i="150" s="1"/>
  <c r="M106" i="84"/>
  <c r="J149" i="150"/>
  <c r="M225" i="150" s="1"/>
  <c r="J106" i="84"/>
  <c r="N81" i="150"/>
  <c r="N82" i="150" s="1"/>
  <c r="N67" i="150"/>
  <c r="N150" i="150"/>
  <c r="H149" i="150"/>
  <c r="H106" i="84"/>
  <c r="G149" i="150"/>
  <c r="G106" i="84"/>
  <c r="L149" i="150"/>
  <c r="M242" i="150" s="1"/>
  <c r="L106" i="84"/>
  <c r="K149" i="150"/>
  <c r="N234" i="150" s="1"/>
  <c r="K106" i="84"/>
  <c r="N327" i="150"/>
  <c r="N50" i="84"/>
  <c r="N149" i="150"/>
  <c r="J50" i="84"/>
  <c r="M50" i="84"/>
  <c r="L50" i="84"/>
  <c r="K50" i="84"/>
  <c r="I50" i="84"/>
  <c r="H50" i="84"/>
  <c r="G50" i="84"/>
  <c r="N198" i="150" l="1"/>
  <c r="M198" i="150"/>
  <c r="M207" i="150"/>
  <c r="N207" i="150"/>
  <c r="M216" i="150"/>
  <c r="N216" i="150"/>
  <c r="N251" i="150"/>
  <c r="M234" i="150"/>
  <c r="M243" i="150"/>
  <c r="L97" i="150"/>
  <c r="L83" i="150"/>
  <c r="N243" i="150"/>
  <c r="M81" i="150"/>
  <c r="M82" i="150" s="1"/>
  <c r="M150" i="150"/>
  <c r="M67" i="150"/>
  <c r="M83" i="150"/>
  <c r="M97" i="150"/>
  <c r="L81" i="150"/>
  <c r="L82" i="150" s="1"/>
  <c r="L150" i="150"/>
  <c r="L67" i="150"/>
  <c r="G97" i="150"/>
  <c r="G83" i="150"/>
  <c r="N225" i="150"/>
  <c r="H81" i="150"/>
  <c r="H82" i="150" s="1"/>
  <c r="H150" i="150"/>
  <c r="H67" i="150"/>
  <c r="J97" i="150"/>
  <c r="J83" i="150"/>
  <c r="J81" i="150"/>
  <c r="J82" i="150" s="1"/>
  <c r="J150" i="150"/>
  <c r="J67" i="150"/>
  <c r="N97" i="150"/>
  <c r="N83" i="150"/>
  <c r="I97" i="150"/>
  <c r="I83" i="150"/>
  <c r="I81" i="150"/>
  <c r="I82" i="150" s="1"/>
  <c r="I150" i="150"/>
  <c r="I67" i="150"/>
  <c r="G81" i="150"/>
  <c r="G82" i="150" s="1"/>
  <c r="G150" i="150"/>
  <c r="G67" i="150"/>
  <c r="H83" i="150"/>
  <c r="H97" i="150"/>
  <c r="K83" i="150"/>
  <c r="K97" i="150"/>
  <c r="K81" i="150"/>
  <c r="K82" i="150" s="1"/>
  <c r="K150" i="150"/>
  <c r="K67" i="150"/>
  <c r="N260" i="150"/>
  <c r="N261" i="150"/>
  <c r="N69" i="150"/>
  <c r="N70" i="150" s="1"/>
  <c r="L69" i="150"/>
  <c r="L70" i="150" s="1"/>
  <c r="J69" i="150"/>
  <c r="J70" i="150" s="1"/>
  <c r="K153" i="150"/>
  <c r="M69" i="150"/>
  <c r="M70" i="150" s="1"/>
  <c r="G69" i="150"/>
  <c r="G70" i="150" s="1"/>
  <c r="H69" i="150"/>
  <c r="H70" i="150" s="1"/>
  <c r="I69" i="150"/>
  <c r="I70" i="150" s="1"/>
  <c r="K69" i="150"/>
  <c r="K70" i="150" s="1"/>
  <c r="C5" i="84"/>
  <c r="C69" i="84"/>
  <c r="C70" i="84" s="1"/>
  <c r="H84" i="150" l="1"/>
  <c r="H98" i="150"/>
  <c r="N98" i="150"/>
  <c r="N84" i="150"/>
  <c r="K84" i="150"/>
  <c r="K98" i="150"/>
  <c r="G84" i="150"/>
  <c r="G98" i="150"/>
  <c r="J84" i="150"/>
  <c r="J98" i="150"/>
  <c r="I98" i="150"/>
  <c r="I84" i="150"/>
  <c r="M84" i="150"/>
  <c r="M98" i="150"/>
  <c r="L98" i="150"/>
  <c r="L84" i="150"/>
  <c r="C89" i="84"/>
  <c r="M153" i="150" l="1"/>
  <c r="L153" i="150"/>
  <c r="C71" i="84"/>
  <c r="C88" i="84" s="1"/>
  <c r="C90" i="84" s="1"/>
  <c r="C23" i="150" s="1"/>
  <c r="C24" i="150" s="1"/>
  <c r="C35" i="150" l="1"/>
  <c r="E54" i="84"/>
  <c r="E143" i="150" s="1"/>
  <c r="E146" i="150" s="1"/>
  <c r="E161" i="150" s="1"/>
  <c r="E163" i="150" s="1"/>
  <c r="F42" i="84"/>
  <c r="E42" i="84"/>
  <c r="D42" i="84"/>
  <c r="D45" i="84" s="1"/>
  <c r="N5" i="84"/>
  <c r="E5" i="84"/>
  <c r="D5" i="84"/>
  <c r="D75" i="84" s="1"/>
  <c r="D76" i="84" l="1"/>
  <c r="D77" i="84" s="1"/>
  <c r="N153" i="150"/>
  <c r="D149" i="150"/>
  <c r="E75" i="84"/>
  <c r="E57" i="84"/>
  <c r="E144" i="150" s="1"/>
  <c r="E147" i="150" s="1"/>
  <c r="N75" i="84"/>
  <c r="D50" i="84"/>
  <c r="E45" i="84"/>
  <c r="F45" i="84"/>
  <c r="D106" i="84"/>
  <c r="D74" i="84"/>
  <c r="D145" i="150" s="1"/>
  <c r="D148" i="150" s="1"/>
  <c r="F98" i="84"/>
  <c r="F5" i="84"/>
  <c r="F54" i="84"/>
  <c r="F143" i="150" s="1"/>
  <c r="F146" i="150" s="1"/>
  <c r="F161" i="150" s="1"/>
  <c r="F163" i="150" s="1"/>
  <c r="M171" i="150" l="1"/>
  <c r="N171" i="150"/>
  <c r="E149" i="150"/>
  <c r="E106" i="84"/>
  <c r="D83" i="150"/>
  <c r="D97" i="150"/>
  <c r="D81" i="150"/>
  <c r="D82" i="150" s="1"/>
  <c r="D150" i="150"/>
  <c r="D108" i="84"/>
  <c r="F149" i="150"/>
  <c r="F106" i="84"/>
  <c r="E171" i="150"/>
  <c r="F171" i="150"/>
  <c r="D171" i="150"/>
  <c r="E58" i="84"/>
  <c r="E59" i="84" s="1"/>
  <c r="B332" i="150" a="1"/>
  <c r="B332" i="150" s="1"/>
  <c r="N76" i="84"/>
  <c r="E76" i="84"/>
  <c r="E77" i="84" s="1"/>
  <c r="E93" i="84" s="1"/>
  <c r="D69" i="150"/>
  <c r="D70" i="150" s="1"/>
  <c r="N253" i="150"/>
  <c r="E74" i="84"/>
  <c r="E145" i="150" s="1"/>
  <c r="E148" i="150" s="1"/>
  <c r="F57" i="84"/>
  <c r="E50" i="84"/>
  <c r="F50" i="84"/>
  <c r="F75" i="84"/>
  <c r="G98" i="84"/>
  <c r="M68" i="150"/>
  <c r="G5" i="84"/>
  <c r="D93" i="84"/>
  <c r="D84" i="84"/>
  <c r="D94" i="84"/>
  <c r="K84" i="84"/>
  <c r="K94" i="84"/>
  <c r="J84" i="84"/>
  <c r="J94" i="84"/>
  <c r="G84" i="84"/>
  <c r="G94" i="84"/>
  <c r="M84" i="84"/>
  <c r="M94" i="84"/>
  <c r="L94" i="84"/>
  <c r="L84" i="84"/>
  <c r="H94" i="84"/>
  <c r="H84" i="84"/>
  <c r="N94" i="84"/>
  <c r="N84" i="84"/>
  <c r="I94" i="84"/>
  <c r="I84" i="84"/>
  <c r="G54" i="84"/>
  <c r="G143" i="150" s="1"/>
  <c r="G146" i="150" s="1"/>
  <c r="G161" i="150" s="1"/>
  <c r="G163" i="150" s="1"/>
  <c r="M189" i="150" l="1"/>
  <c r="N189" i="150"/>
  <c r="F179" i="150"/>
  <c r="N180" i="150"/>
  <c r="M180" i="150"/>
  <c r="F180" i="150"/>
  <c r="E180" i="150"/>
  <c r="E179" i="150"/>
  <c r="D98" i="150"/>
  <c r="D84" i="150"/>
  <c r="G189" i="150"/>
  <c r="F97" i="150"/>
  <c r="F83" i="150"/>
  <c r="E32" i="84"/>
  <c r="E80" i="84" s="1"/>
  <c r="E83" i="150"/>
  <c r="E97" i="150"/>
  <c r="E81" i="150"/>
  <c r="E82" i="150" s="1"/>
  <c r="E67" i="150"/>
  <c r="E150" i="150"/>
  <c r="F81" i="150"/>
  <c r="F82" i="150" s="1"/>
  <c r="F67" i="150"/>
  <c r="F150" i="150"/>
  <c r="G171" i="150"/>
  <c r="G180" i="150"/>
  <c r="H68" i="150"/>
  <c r="K68" i="150"/>
  <c r="B277" i="150" a="1"/>
  <c r="B277" i="150" s="1"/>
  <c r="D277" i="150" s="1"/>
  <c r="F69" i="150"/>
  <c r="F70" i="150" s="1"/>
  <c r="F58" i="84"/>
  <c r="F144" i="150"/>
  <c r="F147" i="150" s="1"/>
  <c r="G188" i="150"/>
  <c r="E69" i="150"/>
  <c r="E70" i="150" s="1"/>
  <c r="B293" i="150" a="1"/>
  <c r="G57" i="84"/>
  <c r="G144" i="150" s="1"/>
  <c r="G147" i="150" s="1"/>
  <c r="F84" i="84"/>
  <c r="E94" i="84"/>
  <c r="E95" i="84" s="1"/>
  <c r="E18" i="150" s="1"/>
  <c r="E84" i="84"/>
  <c r="F94" i="84"/>
  <c r="L68" i="150"/>
  <c r="F74" i="84"/>
  <c r="F145" i="150" s="1"/>
  <c r="F148" i="150" s="1"/>
  <c r="F76" i="84"/>
  <c r="F77" i="84" s="1"/>
  <c r="F93" i="84" s="1"/>
  <c r="J68" i="150"/>
  <c r="I68" i="150"/>
  <c r="G68" i="150"/>
  <c r="G75" i="84"/>
  <c r="E60" i="84"/>
  <c r="H54" i="84"/>
  <c r="H143" i="150" s="1"/>
  <c r="H146" i="150" s="1"/>
  <c r="H5" i="84"/>
  <c r="H98" i="84"/>
  <c r="D95" i="84"/>
  <c r="D18" i="150" s="1"/>
  <c r="N268" i="150" l="1"/>
  <c r="E84" i="150"/>
  <c r="E85" i="150" s="1"/>
  <c r="E98" i="150"/>
  <c r="E99" i="150" s="1"/>
  <c r="F98" i="150"/>
  <c r="F84" i="150"/>
  <c r="E83" i="84"/>
  <c r="F188" i="150"/>
  <c r="F189" i="150"/>
  <c r="H161" i="150"/>
  <c r="H163" i="150" s="1"/>
  <c r="H198" i="150"/>
  <c r="H180" i="150"/>
  <c r="H189" i="150"/>
  <c r="H171" i="150"/>
  <c r="G197" i="150"/>
  <c r="G198" i="150"/>
  <c r="G268" i="150" s="1"/>
  <c r="F59" i="84"/>
  <c r="G76" i="84"/>
  <c r="G77" i="84" s="1"/>
  <c r="N262" i="150"/>
  <c r="F32" i="84"/>
  <c r="F80" i="84" s="1"/>
  <c r="B293" i="150"/>
  <c r="M244" i="150"/>
  <c r="H197" i="150"/>
  <c r="E277" i="150"/>
  <c r="E309" i="150" s="1"/>
  <c r="D309" i="150"/>
  <c r="G58" i="84"/>
  <c r="E68" i="150"/>
  <c r="H57" i="84"/>
  <c r="H144" i="150" s="1"/>
  <c r="H147" i="150" s="1"/>
  <c r="H207" i="150" s="1"/>
  <c r="F95" i="84"/>
  <c r="F18" i="150" s="1"/>
  <c r="E85" i="84"/>
  <c r="E31" i="150" s="1"/>
  <c r="F68" i="150"/>
  <c r="H75" i="84"/>
  <c r="G74" i="84"/>
  <c r="G145" i="150" s="1"/>
  <c r="G148" i="150" s="1"/>
  <c r="I54" i="84"/>
  <c r="I143" i="150" s="1"/>
  <c r="I146" i="150" s="1"/>
  <c r="I207" i="150" s="1"/>
  <c r="I98" i="84"/>
  <c r="I5" i="84"/>
  <c r="H268" i="150" l="1"/>
  <c r="F60" i="84"/>
  <c r="I198" i="150"/>
  <c r="I180" i="150"/>
  <c r="I171" i="150"/>
  <c r="I189" i="150"/>
  <c r="G199" i="150"/>
  <c r="H76" i="84"/>
  <c r="G59" i="84"/>
  <c r="I161" i="150"/>
  <c r="I163" i="150" s="1"/>
  <c r="E71" i="150"/>
  <c r="H199" i="150"/>
  <c r="F71" i="150"/>
  <c r="F181" i="150"/>
  <c r="H206" i="150"/>
  <c r="I206" i="150"/>
  <c r="F277" i="150"/>
  <c r="F309" i="150" s="1"/>
  <c r="G190" i="150"/>
  <c r="G32" i="84"/>
  <c r="G80" i="84" s="1"/>
  <c r="H58" i="84"/>
  <c r="I57" i="84"/>
  <c r="I144" i="150" s="1"/>
  <c r="I147" i="150" s="1"/>
  <c r="I216" i="150" s="1"/>
  <c r="I268" i="150" s="1"/>
  <c r="I75" i="84"/>
  <c r="F83" i="84"/>
  <c r="F85" i="84" s="1"/>
  <c r="F31" i="150" s="1"/>
  <c r="H74" i="84"/>
  <c r="H145" i="150" s="1"/>
  <c r="H148" i="150" s="1"/>
  <c r="G93" i="84"/>
  <c r="G95" i="84" s="1"/>
  <c r="G18" i="150" s="1"/>
  <c r="J98" i="84"/>
  <c r="J54" i="84"/>
  <c r="J143" i="150" s="1"/>
  <c r="J146" i="150" s="1"/>
  <c r="J5" i="84"/>
  <c r="J216" i="150" l="1"/>
  <c r="J198" i="150"/>
  <c r="J207" i="150"/>
  <c r="J171" i="150"/>
  <c r="J189" i="150"/>
  <c r="J180" i="150"/>
  <c r="F99" i="150"/>
  <c r="F85" i="150"/>
  <c r="G60" i="84"/>
  <c r="I208" i="150"/>
  <c r="I76" i="84"/>
  <c r="H59" i="84"/>
  <c r="J161" i="150"/>
  <c r="J163" i="150" s="1"/>
  <c r="H32" i="84"/>
  <c r="H80" i="84" s="1"/>
  <c r="H208" i="150"/>
  <c r="E268" i="150"/>
  <c r="E181" i="150"/>
  <c r="F268" i="150"/>
  <c r="F190" i="150"/>
  <c r="G71" i="150"/>
  <c r="G277" i="150"/>
  <c r="J215" i="150"/>
  <c r="I215" i="150"/>
  <c r="I58" i="84"/>
  <c r="J57" i="84"/>
  <c r="J144" i="150" s="1"/>
  <c r="J147" i="150" s="1"/>
  <c r="J225" i="150" s="1"/>
  <c r="J75" i="84"/>
  <c r="I74" i="84"/>
  <c r="I145" i="150" s="1"/>
  <c r="I148" i="150" s="1"/>
  <c r="H77" i="84"/>
  <c r="G83" i="84"/>
  <c r="G85" i="84" s="1"/>
  <c r="G31" i="150" s="1"/>
  <c r="K5" i="84"/>
  <c r="K54" i="84"/>
  <c r="K143" i="150" s="1"/>
  <c r="K146" i="150" s="1"/>
  <c r="K98" i="84"/>
  <c r="J268" i="150" l="1"/>
  <c r="K198" i="150"/>
  <c r="K216" i="150"/>
  <c r="K207" i="150"/>
  <c r="K171" i="150"/>
  <c r="K189" i="150"/>
  <c r="K180" i="150"/>
  <c r="G99" i="150"/>
  <c r="G85" i="150"/>
  <c r="H60" i="84"/>
  <c r="K161" i="150"/>
  <c r="K163" i="150" s="1"/>
  <c r="K225" i="150"/>
  <c r="I59" i="84"/>
  <c r="J217" i="150"/>
  <c r="I32" i="84"/>
  <c r="I80" i="84" s="1"/>
  <c r="I217" i="150"/>
  <c r="G309" i="150"/>
  <c r="H277" i="150"/>
  <c r="K224" i="150"/>
  <c r="J224" i="150"/>
  <c r="H71" i="150"/>
  <c r="J58" i="84"/>
  <c r="K57" i="84"/>
  <c r="K144" i="150" s="1"/>
  <c r="K147" i="150" s="1"/>
  <c r="K234" i="150" s="1"/>
  <c r="K268" i="150" s="1"/>
  <c r="J74" i="84"/>
  <c r="J145" i="150" s="1"/>
  <c r="J148" i="150" s="1"/>
  <c r="J76" i="84"/>
  <c r="J77" i="84" s="1"/>
  <c r="H83" i="84"/>
  <c r="H85" i="84" s="1"/>
  <c r="H31" i="150" s="1"/>
  <c r="K75" i="84"/>
  <c r="I77" i="84"/>
  <c r="H93" i="84"/>
  <c r="H95" i="84" s="1"/>
  <c r="H18" i="150" s="1"/>
  <c r="L98" i="84"/>
  <c r="L5" i="84"/>
  <c r="L54" i="84"/>
  <c r="L143" i="150" s="1"/>
  <c r="L146" i="150" s="1"/>
  <c r="L198" i="150" l="1"/>
  <c r="L216" i="150"/>
  <c r="L207" i="150"/>
  <c r="L171" i="150"/>
  <c r="L189" i="150"/>
  <c r="L180" i="150"/>
  <c r="H99" i="150"/>
  <c r="H85" i="150"/>
  <c r="I60" i="84"/>
  <c r="L161" i="150"/>
  <c r="L163" i="150" s="1"/>
  <c r="L225" i="150"/>
  <c r="L234" i="150"/>
  <c r="K76" i="84"/>
  <c r="J59" i="84"/>
  <c r="I71" i="150"/>
  <c r="H309" i="150"/>
  <c r="L233" i="150"/>
  <c r="K226" i="150"/>
  <c r="K233" i="150"/>
  <c r="J226" i="150"/>
  <c r="I277" i="150"/>
  <c r="J32" i="84"/>
  <c r="J80" i="84" s="1"/>
  <c r="K58" i="84"/>
  <c r="L57" i="84"/>
  <c r="L144" i="150" s="1"/>
  <c r="L147" i="150" s="1"/>
  <c r="L243" i="150" s="1"/>
  <c r="L268" i="150" s="1"/>
  <c r="I83" i="84"/>
  <c r="I85" i="84" s="1"/>
  <c r="I31" i="150" s="1"/>
  <c r="L75" i="84"/>
  <c r="K74" i="84"/>
  <c r="K145" i="150" s="1"/>
  <c r="K148" i="150" s="1"/>
  <c r="J93" i="84"/>
  <c r="J95" i="84" s="1"/>
  <c r="J18" i="150" s="1"/>
  <c r="I93" i="84"/>
  <c r="I95" i="84" s="1"/>
  <c r="I18" i="150" s="1"/>
  <c r="M98" i="84"/>
  <c r="M5" i="84"/>
  <c r="M57" i="84"/>
  <c r="M144" i="150" s="1"/>
  <c r="M147" i="150" s="1"/>
  <c r="M252" i="150" s="1"/>
  <c r="M268" i="150" s="1"/>
  <c r="I99" i="150" l="1"/>
  <c r="I85" i="150"/>
  <c r="J60" i="84"/>
  <c r="K59" i="84"/>
  <c r="K235" i="150"/>
  <c r="J71" i="150"/>
  <c r="J277" i="150"/>
  <c r="J309" i="150" s="1"/>
  <c r="I309" i="150"/>
  <c r="M251" i="150"/>
  <c r="L242" i="150"/>
  <c r="L235" i="150"/>
  <c r="K32" i="84"/>
  <c r="K80" i="84" s="1"/>
  <c r="L58" i="84"/>
  <c r="L76" i="84"/>
  <c r="J83" i="84"/>
  <c r="J85" i="84" s="1"/>
  <c r="J31" i="150" s="1"/>
  <c r="M75" i="84"/>
  <c r="L74" i="84"/>
  <c r="L145" i="150" s="1"/>
  <c r="L148" i="150" s="1"/>
  <c r="N74" i="84"/>
  <c r="N145" i="150" s="1"/>
  <c r="N148" i="150" s="1"/>
  <c r="K77" i="84"/>
  <c r="M58" i="84"/>
  <c r="J99" i="150" l="1"/>
  <c r="J85" i="150"/>
  <c r="K60" i="84"/>
  <c r="M59" i="84"/>
  <c r="L59" i="84"/>
  <c r="M76" i="84"/>
  <c r="K277" i="150"/>
  <c r="K309" i="150" s="1"/>
  <c r="M253" i="150"/>
  <c r="L244" i="150"/>
  <c r="K71" i="150"/>
  <c r="L32" i="84"/>
  <c r="L80" i="84" s="1"/>
  <c r="L77" i="84"/>
  <c r="K83" i="84"/>
  <c r="K85" i="84" s="1"/>
  <c r="K31" i="150" s="1"/>
  <c r="K93" i="84"/>
  <c r="K95" i="84" s="1"/>
  <c r="K18" i="150" s="1"/>
  <c r="N77" i="84"/>
  <c r="M74" i="84"/>
  <c r="M145" i="150" s="1"/>
  <c r="M148" i="150" s="1"/>
  <c r="M32" i="84"/>
  <c r="K99" i="150" l="1"/>
  <c r="K85" i="150"/>
  <c r="L60" i="84"/>
  <c r="L277" i="150"/>
  <c r="L309" i="150" s="1"/>
  <c r="L71" i="150"/>
  <c r="L83" i="84"/>
  <c r="L85" i="84" s="1"/>
  <c r="L31" i="150" s="1"/>
  <c r="L93" i="84"/>
  <c r="L95" i="84" s="1"/>
  <c r="L18" i="150" s="1"/>
  <c r="M77" i="84"/>
  <c r="N93" i="84"/>
  <c r="N95" i="84" s="1"/>
  <c r="N18" i="150" s="1"/>
  <c r="M60" i="84"/>
  <c r="N32" i="84"/>
  <c r="M80" i="84"/>
  <c r="L99" i="150" l="1"/>
  <c r="L85" i="150"/>
  <c r="M277" i="150"/>
  <c r="N277" i="150" s="1"/>
  <c r="M71" i="150"/>
  <c r="M83" i="84"/>
  <c r="M85" i="84" s="1"/>
  <c r="M31" i="150" s="1"/>
  <c r="M93" i="84"/>
  <c r="M95" i="84" s="1"/>
  <c r="M18" i="150" s="1"/>
  <c r="N60" i="84"/>
  <c r="N80" i="84"/>
  <c r="M99" i="150" l="1"/>
  <c r="M85" i="150"/>
  <c r="M309" i="150"/>
  <c r="N309" i="150"/>
  <c r="N83" i="84"/>
  <c r="N85" i="84" s="1"/>
  <c r="N31" i="150" s="1"/>
  <c r="N99" i="150" l="1"/>
  <c r="N85" i="150"/>
  <c r="N68" i="150"/>
  <c r="N71" i="150" s="1"/>
  <c r="D60" i="84" l="1"/>
  <c r="D32" i="84"/>
  <c r="D83" i="84" l="1"/>
  <c r="D85" i="84" s="1"/>
  <c r="D31" i="150" s="1"/>
  <c r="D80" i="84"/>
  <c r="D99" i="150" l="1"/>
  <c r="N100" i="150" s="1"/>
  <c r="D85" i="150"/>
  <c r="N86" i="150" s="1"/>
  <c r="D67" i="150"/>
  <c r="D68" i="150" s="1"/>
  <c r="D71" i="150" s="1"/>
  <c r="N72" i="150" s="1"/>
  <c r="D268" i="150"/>
  <c r="D54" i="150"/>
  <c r="N9" i="150" l="1"/>
  <c r="D28" i="150"/>
  <c r="D167" i="150"/>
  <c r="D55" i="150"/>
  <c r="E151" i="150"/>
  <c r="E51" i="150" l="1"/>
  <c r="D170" i="150"/>
  <c r="D169" i="150"/>
  <c r="E166" i="150" s="1"/>
  <c r="E55" i="150"/>
  <c r="D327" i="150"/>
  <c r="F51" i="150" l="1"/>
  <c r="E170" i="150"/>
  <c r="E168" i="150"/>
  <c r="E264" i="150" s="1"/>
  <c r="D172" i="150"/>
  <c r="D270" i="150" s="1"/>
  <c r="D267" i="150"/>
  <c r="E326" i="150" l="1"/>
  <c r="F152" i="150"/>
  <c r="F151" i="150" s="1"/>
  <c r="F177" i="150" s="1"/>
  <c r="E169" i="150"/>
  <c r="F166" i="150" s="1"/>
  <c r="E267" i="150"/>
  <c r="E172" i="150"/>
  <c r="E270" i="150" s="1"/>
  <c r="F55" i="150"/>
  <c r="G51" i="150" l="1"/>
  <c r="F170" i="150"/>
  <c r="F168" i="150"/>
  <c r="F169" i="150" s="1"/>
  <c r="G166" i="150" s="1"/>
  <c r="F178" i="150"/>
  <c r="G175" i="150" s="1"/>
  <c r="F264" i="150" l="1"/>
  <c r="F326" i="150" s="1"/>
  <c r="G170" i="150"/>
  <c r="G172" i="150" s="1"/>
  <c r="G168" i="150"/>
  <c r="G169" i="150" s="1"/>
  <c r="H166" i="150" s="1"/>
  <c r="G179" i="150"/>
  <c r="G177" i="150"/>
  <c r="G178" i="150" s="1"/>
  <c r="H175" i="150" s="1"/>
  <c r="F172" i="150"/>
  <c r="F270" i="150" s="1"/>
  <c r="F267" i="150"/>
  <c r="G55" i="150"/>
  <c r="G267" i="150" l="1"/>
  <c r="G152" i="150"/>
  <c r="G151" i="150" s="1"/>
  <c r="G186" i="150" s="1"/>
  <c r="G187" i="150" s="1"/>
  <c r="H184" i="150" s="1"/>
  <c r="H179" i="150"/>
  <c r="H181" i="150" s="1"/>
  <c r="H177" i="150"/>
  <c r="H178" i="150" s="1"/>
  <c r="I175" i="150" s="1"/>
  <c r="H168" i="150"/>
  <c r="H169" i="150" s="1"/>
  <c r="I166" i="150" s="1"/>
  <c r="H170" i="150"/>
  <c r="H172" i="150" s="1"/>
  <c r="H51" i="150"/>
  <c r="G181" i="150"/>
  <c r="G270" i="150" s="1"/>
  <c r="G264" i="150" l="1"/>
  <c r="H152" i="150" s="1"/>
  <c r="H151" i="150" s="1"/>
  <c r="H195" i="150" s="1"/>
  <c r="I170" i="150"/>
  <c r="I172" i="150" s="1"/>
  <c r="I168" i="150"/>
  <c r="I169" i="150" s="1"/>
  <c r="J166" i="150" s="1"/>
  <c r="I179" i="150"/>
  <c r="I181" i="150" s="1"/>
  <c r="I177" i="150"/>
  <c r="I178" i="150" s="1"/>
  <c r="J175" i="150" s="1"/>
  <c r="H188" i="150"/>
  <c r="H186" i="150"/>
  <c r="H187" i="150" s="1"/>
  <c r="I184" i="150" s="1"/>
  <c r="H55" i="150"/>
  <c r="G326" i="150" l="1"/>
  <c r="J179" i="150"/>
  <c r="J181" i="150" s="1"/>
  <c r="J177" i="150"/>
  <c r="J178" i="150" s="1"/>
  <c r="K175" i="150" s="1"/>
  <c r="J170" i="150"/>
  <c r="J172" i="150" s="1"/>
  <c r="J168" i="150"/>
  <c r="J169" i="150" s="1"/>
  <c r="K166" i="150" s="1"/>
  <c r="I188" i="150"/>
  <c r="I190" i="150" s="1"/>
  <c r="I186" i="150"/>
  <c r="I187" i="150" s="1"/>
  <c r="J184" i="150" s="1"/>
  <c r="H196" i="150"/>
  <c r="I193" i="150" s="1"/>
  <c r="H264" i="150"/>
  <c r="H267" i="150"/>
  <c r="H190" i="150"/>
  <c r="H270" i="150" s="1"/>
  <c r="I51" i="150"/>
  <c r="K179" i="150" l="1"/>
  <c r="K181" i="150" s="1"/>
  <c r="K177" i="150"/>
  <c r="K178" i="150" s="1"/>
  <c r="L175" i="150" s="1"/>
  <c r="I152" i="150"/>
  <c r="I151" i="150" s="1"/>
  <c r="I204" i="150" s="1"/>
  <c r="H326" i="150"/>
  <c r="K170" i="150"/>
  <c r="K172" i="150" s="1"/>
  <c r="K168" i="150"/>
  <c r="K169" i="150" s="1"/>
  <c r="L166" i="150" s="1"/>
  <c r="I55" i="150"/>
  <c r="I197" i="150"/>
  <c r="I195" i="150"/>
  <c r="I196" i="150" s="1"/>
  <c r="J193" i="150" s="1"/>
  <c r="J186" i="150"/>
  <c r="J187" i="150" s="1"/>
  <c r="K184" i="150" s="1"/>
  <c r="J188" i="150"/>
  <c r="J190" i="150" s="1"/>
  <c r="L179" i="150" l="1"/>
  <c r="L181" i="150" s="1"/>
  <c r="L177" i="150"/>
  <c r="L178" i="150" s="1"/>
  <c r="M175" i="150" s="1"/>
  <c r="L170" i="150"/>
  <c r="L172" i="150" s="1"/>
  <c r="L168" i="150"/>
  <c r="L169" i="150" s="1"/>
  <c r="M166" i="150" s="1"/>
  <c r="J51" i="150"/>
  <c r="K188" i="150"/>
  <c r="K190" i="150" s="1"/>
  <c r="K186" i="150"/>
  <c r="K187" i="150" s="1"/>
  <c r="L184" i="150" s="1"/>
  <c r="I205" i="150"/>
  <c r="J202" i="150" s="1"/>
  <c r="I264" i="150"/>
  <c r="J197" i="150"/>
  <c r="J199" i="150" s="1"/>
  <c r="J195" i="150"/>
  <c r="J196" i="150" s="1"/>
  <c r="K193" i="150" s="1"/>
  <c r="I267" i="150"/>
  <c r="I199" i="150"/>
  <c r="I270" i="150" s="1"/>
  <c r="M168" i="150" l="1"/>
  <c r="M169" i="150" s="1"/>
  <c r="N166" i="150" s="1"/>
  <c r="M170" i="150"/>
  <c r="M172" i="150" s="1"/>
  <c r="M177" i="150"/>
  <c r="M178" i="150" s="1"/>
  <c r="N175" i="150" s="1"/>
  <c r="M179" i="150"/>
  <c r="M181" i="150" s="1"/>
  <c r="K197" i="150"/>
  <c r="K199" i="150" s="1"/>
  <c r="K195" i="150"/>
  <c r="K196" i="150" s="1"/>
  <c r="L193" i="150" s="1"/>
  <c r="J55" i="150"/>
  <c r="L186" i="150"/>
  <c r="L187" i="150" s="1"/>
  <c r="M184" i="150" s="1"/>
  <c r="L188" i="150"/>
  <c r="L190" i="150" s="1"/>
  <c r="J152" i="150"/>
  <c r="J151" i="150" s="1"/>
  <c r="J213" i="150" s="1"/>
  <c r="I326" i="150"/>
  <c r="J206" i="150"/>
  <c r="J204" i="150"/>
  <c r="J205" i="150" s="1"/>
  <c r="K202" i="150" s="1"/>
  <c r="K204" i="150" l="1"/>
  <c r="K205" i="150" s="1"/>
  <c r="L202" i="150" s="1"/>
  <c r="K206" i="150"/>
  <c r="K208" i="150" s="1"/>
  <c r="N168" i="150"/>
  <c r="N169" i="150" s="1"/>
  <c r="N170" i="150"/>
  <c r="N172" i="150" s="1"/>
  <c r="L197" i="150"/>
  <c r="L199" i="150" s="1"/>
  <c r="L195" i="150"/>
  <c r="L196" i="150" s="1"/>
  <c r="M193" i="150" s="1"/>
  <c r="M188" i="150"/>
  <c r="M190" i="150" s="1"/>
  <c r="M186" i="150"/>
  <c r="M187" i="150" s="1"/>
  <c r="N184" i="150" s="1"/>
  <c r="J208" i="150"/>
  <c r="J270" i="150" s="1"/>
  <c r="J267" i="150"/>
  <c r="N179" i="150"/>
  <c r="N181" i="150" s="1"/>
  <c r="N177" i="150"/>
  <c r="N178" i="150" s="1"/>
  <c r="J214" i="150"/>
  <c r="K211" i="150" s="1"/>
  <c r="J264" i="150"/>
  <c r="K51" i="150"/>
  <c r="L206" i="150" l="1"/>
  <c r="L208" i="150" s="1"/>
  <c r="L204" i="150"/>
  <c r="L205" i="150" s="1"/>
  <c r="M202" i="150" s="1"/>
  <c r="K55" i="150"/>
  <c r="M197" i="150"/>
  <c r="M199" i="150" s="1"/>
  <c r="M195" i="150"/>
  <c r="M196" i="150" s="1"/>
  <c r="N193" i="150" s="1"/>
  <c r="N188" i="150"/>
  <c r="N190" i="150" s="1"/>
  <c r="N186" i="150"/>
  <c r="N187" i="150" s="1"/>
  <c r="J326" i="150"/>
  <c r="K152" i="150"/>
  <c r="K151" i="150" s="1"/>
  <c r="K222" i="150" s="1"/>
  <c r="K213" i="150"/>
  <c r="K214" i="150" s="1"/>
  <c r="L211" i="150" s="1"/>
  <c r="K215" i="150"/>
  <c r="M206" i="150" l="1"/>
  <c r="M208" i="150" s="1"/>
  <c r="M204" i="150"/>
  <c r="M205" i="150" s="1"/>
  <c r="N202" i="150" s="1"/>
  <c r="L213" i="150"/>
  <c r="L214" i="150" s="1"/>
  <c r="M211" i="150" s="1"/>
  <c r="L215" i="150"/>
  <c r="L217" i="150" s="1"/>
  <c r="L51" i="150"/>
  <c r="K264" i="150"/>
  <c r="K223" i="150"/>
  <c r="L220" i="150" s="1"/>
  <c r="K267" i="150"/>
  <c r="K217" i="150"/>
  <c r="K270" i="150" s="1"/>
  <c r="N195" i="150"/>
  <c r="N196" i="150" s="1"/>
  <c r="N197" i="150"/>
  <c r="N199" i="150" s="1"/>
  <c r="M213" i="150" l="1"/>
  <c r="M214" i="150" s="1"/>
  <c r="N211" i="150" s="1"/>
  <c r="M215" i="150"/>
  <c r="M217" i="150" s="1"/>
  <c r="L224" i="150"/>
  <c r="L222" i="150"/>
  <c r="L223" i="150" s="1"/>
  <c r="M220" i="150" s="1"/>
  <c r="L55" i="150"/>
  <c r="L152" i="150"/>
  <c r="L151" i="150" s="1"/>
  <c r="L231" i="150" s="1"/>
  <c r="K326" i="150"/>
  <c r="N204" i="150"/>
  <c r="N205" i="150" s="1"/>
  <c r="N206" i="150"/>
  <c r="N208" i="150" s="1"/>
  <c r="M224" i="150" l="1"/>
  <c r="M226" i="150" s="1"/>
  <c r="M222" i="150"/>
  <c r="M223" i="150" s="1"/>
  <c r="N220" i="150" s="1"/>
  <c r="N213" i="150"/>
  <c r="N214" i="150" s="1"/>
  <c r="N215" i="150"/>
  <c r="N217" i="150" s="1"/>
  <c r="L226" i="150"/>
  <c r="L270" i="150" s="1"/>
  <c r="L267" i="150"/>
  <c r="L232" i="150"/>
  <c r="M229" i="150" s="1"/>
  <c r="L264" i="150"/>
  <c r="M51" i="150"/>
  <c r="N224" i="150" l="1"/>
  <c r="N226" i="150" s="1"/>
  <c r="N222" i="150"/>
  <c r="N223" i="150" s="1"/>
  <c r="M152" i="150"/>
  <c r="M151" i="150" s="1"/>
  <c r="M240" i="150" s="1"/>
  <c r="L326" i="150"/>
  <c r="M55" i="150"/>
  <c r="M231" i="150"/>
  <c r="M232" i="150" s="1"/>
  <c r="N229" i="150" s="1"/>
  <c r="M233" i="150"/>
  <c r="M264" i="150" l="1"/>
  <c r="M326" i="150" s="1"/>
  <c r="M241" i="150"/>
  <c r="N238" i="150" s="1"/>
  <c r="N233" i="150"/>
  <c r="N235" i="150" s="1"/>
  <c r="N231" i="150"/>
  <c r="M235" i="150"/>
  <c r="M270" i="150" s="1"/>
  <c r="M267" i="150"/>
  <c r="N51" i="150"/>
  <c r="N242" i="150" l="1"/>
  <c r="N240" i="150"/>
  <c r="N241" i="150" s="1"/>
  <c r="N232" i="150"/>
  <c r="N55" i="150"/>
  <c r="N152" i="150" l="1"/>
  <c r="N151" i="150" s="1"/>
  <c r="N249" i="150" s="1"/>
  <c r="N244" i="150"/>
  <c r="N270" i="150" s="1"/>
  <c r="N267" i="150"/>
  <c r="N8" i="150"/>
  <c r="N264" i="150" l="1"/>
  <c r="N326" i="150" s="1"/>
  <c r="N250" i="150"/>
  <c r="D115" i="150" l="1"/>
  <c r="H115" i="150" l="1"/>
  <c r="L115" i="150"/>
  <c r="J115" i="150"/>
  <c r="G115" i="150"/>
  <c r="F115" i="150"/>
  <c r="K115" i="150"/>
  <c r="M115" i="150"/>
  <c r="N115" i="150"/>
  <c r="E115" i="150"/>
  <c r="I115" i="150"/>
  <c r="N13" i="84" l="1"/>
  <c r="N27" i="150" s="1"/>
  <c r="N275" i="150" s="1"/>
  <c r="E7" i="84" l="1"/>
  <c r="E17" i="150" s="1"/>
  <c r="E19" i="150" s="1"/>
  <c r="H7" i="84"/>
  <c r="H17" i="150" s="1"/>
  <c r="H19" i="150" s="1"/>
  <c r="D7" i="84" l="1"/>
  <c r="D17" i="150" s="1"/>
  <c r="D19" i="150" s="1"/>
  <c r="L7" i="84" l="1"/>
  <c r="L17" i="150" s="1"/>
  <c r="L19" i="150" s="1"/>
  <c r="M13" i="84"/>
  <c r="M27" i="150" s="1"/>
  <c r="M275" i="150" s="1"/>
  <c r="F13" i="84" l="1"/>
  <c r="F27" i="150" s="1"/>
  <c r="F275" i="150" s="1"/>
  <c r="L13" i="84"/>
  <c r="L27" i="150" s="1"/>
  <c r="L275" i="150" s="1"/>
  <c r="I7" i="84"/>
  <c r="I17" i="150" s="1"/>
  <c r="I19" i="150" s="1"/>
  <c r="F7" i="84"/>
  <c r="F17" i="150" s="1"/>
  <c r="E13" i="84"/>
  <c r="E27" i="150" s="1"/>
  <c r="E275" i="150" s="1"/>
  <c r="J7" i="84"/>
  <c r="J17" i="150" s="1"/>
  <c r="J19" i="150" s="1"/>
  <c r="H13" i="84"/>
  <c r="H27" i="150" s="1"/>
  <c r="H275" i="150" s="1"/>
  <c r="J13" i="84"/>
  <c r="J27" i="150" s="1"/>
  <c r="J275" i="150" s="1"/>
  <c r="D13" i="84"/>
  <c r="D27" i="150" s="1"/>
  <c r="D275" i="150" s="1"/>
  <c r="I13" i="84"/>
  <c r="I27" i="150" s="1"/>
  <c r="I275" i="150" s="1"/>
  <c r="G13" i="84"/>
  <c r="G27" i="150" s="1"/>
  <c r="G275" i="150" s="1"/>
  <c r="F19" i="150" l="1"/>
  <c r="G7" i="84" l="1"/>
  <c r="G17" i="150" s="1"/>
  <c r="G19" i="150" l="1"/>
  <c r="K7" i="84" l="1"/>
  <c r="K17" i="150" s="1"/>
  <c r="K19" i="150" l="1"/>
  <c r="K13" i="84"/>
  <c r="K27" i="150" s="1"/>
  <c r="K275" i="150" s="1"/>
  <c r="C278" i="150" s="1" a="1"/>
  <c r="N288" i="150" l="1"/>
  <c r="C278" i="150"/>
  <c r="F280" i="150"/>
  <c r="G280" i="150" s="1"/>
  <c r="H282" i="150"/>
  <c r="I282" i="150" s="1"/>
  <c r="G281" i="150"/>
  <c r="K285" i="150"/>
  <c r="L285" i="150" s="1"/>
  <c r="L286" i="150"/>
  <c r="M286" i="150" s="1"/>
  <c r="N286" i="150" s="1"/>
  <c r="I283" i="150"/>
  <c r="J284" i="150"/>
  <c r="E279" i="150"/>
  <c r="M287" i="150"/>
  <c r="N287" i="150" s="1"/>
  <c r="H281" i="150" l="1"/>
  <c r="I281" i="150" s="1"/>
  <c r="F279" i="150"/>
  <c r="K284" i="150"/>
  <c r="C289" i="150"/>
  <c r="D278" i="150"/>
  <c r="D289" i="150" s="1"/>
  <c r="J283" i="150"/>
  <c r="M285" i="150"/>
  <c r="N285" i="150" s="1"/>
  <c r="H280" i="150"/>
  <c r="J282" i="150"/>
  <c r="K282" i="150" s="1"/>
  <c r="J281" i="150" l="1"/>
  <c r="K281" i="150" s="1"/>
  <c r="L284" i="150"/>
  <c r="M284" i="150" s="1"/>
  <c r="G279" i="150"/>
  <c r="H279" i="150" s="1"/>
  <c r="I279" i="150" s="1"/>
  <c r="E278" i="150"/>
  <c r="L282" i="150"/>
  <c r="I280" i="150"/>
  <c r="K283" i="150"/>
  <c r="L283" i="150" s="1"/>
  <c r="M283" i="150" l="1"/>
  <c r="L281" i="150"/>
  <c r="M281" i="150" s="1"/>
  <c r="N281" i="150" s="1"/>
  <c r="N284" i="150"/>
  <c r="J279" i="150"/>
  <c r="M282" i="150"/>
  <c r="E289" i="150"/>
  <c r="F278" i="150"/>
  <c r="J280" i="150"/>
  <c r="N283" i="150" l="1"/>
  <c r="N282" i="150"/>
  <c r="K279" i="150"/>
  <c r="L279" i="150" s="1"/>
  <c r="M279" i="150" s="1"/>
  <c r="F289" i="150"/>
  <c r="G278" i="150"/>
  <c r="K280" i="150"/>
  <c r="L280" i="150" s="1"/>
  <c r="N279" i="150" l="1"/>
  <c r="H278" i="150"/>
  <c r="G289" i="150"/>
  <c r="M280" i="150"/>
  <c r="N280" i="150" s="1"/>
  <c r="H289" i="150" l="1"/>
  <c r="I278" i="150"/>
  <c r="J278" i="150" s="1"/>
  <c r="J289" i="150" s="1"/>
  <c r="K278" i="150" l="1"/>
  <c r="I289" i="150"/>
  <c r="K289" i="150" l="1"/>
  <c r="L278" i="150"/>
  <c r="M278" i="150" l="1"/>
  <c r="L289" i="150"/>
  <c r="M289" i="150" l="1"/>
  <c r="N278" i="150"/>
  <c r="N289" i="150" l="1"/>
  <c r="N23" i="84" l="1"/>
  <c r="N113" i="150" s="1"/>
  <c r="L27" i="84" l="1"/>
  <c r="L114" i="150" s="1"/>
  <c r="L122" i="150" s="1"/>
  <c r="E27" i="84" l="1"/>
  <c r="E114" i="150" s="1"/>
  <c r="E122" i="150" s="1"/>
  <c r="D23" i="84"/>
  <c r="D113" i="150" s="1"/>
  <c r="D27" i="84" l="1"/>
  <c r="D114" i="150" s="1"/>
  <c r="D122" i="150" s="1"/>
  <c r="D116" i="150" l="1"/>
  <c r="E112" i="150" s="1"/>
  <c r="F27" i="84"/>
  <c r="F114" i="150" s="1"/>
  <c r="F122" i="150" s="1"/>
  <c r="H27" i="84" l="1"/>
  <c r="H114" i="150" s="1"/>
  <c r="H122" i="150" s="1"/>
  <c r="I27" i="84" l="1"/>
  <c r="I114" i="150" s="1"/>
  <c r="I122" i="150" s="1"/>
  <c r="K27" i="84" l="1"/>
  <c r="K114" i="150" s="1"/>
  <c r="K122" i="150" s="1"/>
  <c r="J27" i="84" l="1"/>
  <c r="J114" i="150" s="1"/>
  <c r="J122" i="150" s="1"/>
  <c r="I23" i="84"/>
  <c r="I113" i="150" s="1"/>
  <c r="K23" i="84" l="1"/>
  <c r="K113" i="150" s="1"/>
  <c r="J23" i="84" l="1"/>
  <c r="J113" i="150" s="1"/>
  <c r="F23" i="84" l="1"/>
  <c r="F113" i="150" s="1"/>
  <c r="E23" i="84" l="1"/>
  <c r="E113" i="150" s="1"/>
  <c r="E116" i="150" s="1"/>
  <c r="F112" i="150" s="1"/>
  <c r="F116" i="150" s="1"/>
  <c r="G112" i="150" s="1"/>
  <c r="G23" i="84"/>
  <c r="G113" i="150" s="1"/>
  <c r="G27" i="84" l="1"/>
  <c r="G114" i="150" s="1"/>
  <c r="G122" i="150" s="1"/>
  <c r="G116" i="150" l="1"/>
  <c r="H112" i="150" s="1"/>
  <c r="H23" i="84"/>
  <c r="H113" i="150" s="1"/>
  <c r="H116" i="150" s="1"/>
  <c r="I112" i="150" s="1"/>
  <c r="I116" i="150" s="1"/>
  <c r="J112" i="150" s="1"/>
  <c r="J116" i="150" s="1"/>
  <c r="K112" i="150" s="1"/>
  <c r="K116" i="150" s="1"/>
  <c r="L112" i="150" s="1"/>
  <c r="N25" i="84" l="1"/>
  <c r="N120" i="150" s="1"/>
  <c r="D25" i="84" l="1"/>
  <c r="D120" i="150" s="1"/>
  <c r="D24" i="84" l="1"/>
  <c r="D119" i="150" s="1"/>
  <c r="E24" i="84"/>
  <c r="E119" i="150" s="1"/>
  <c r="H24" i="84"/>
  <c r="H119" i="150" s="1"/>
  <c r="M25" i="84" l="1"/>
  <c r="M120" i="150" s="1"/>
  <c r="L24" i="84"/>
  <c r="L119" i="150" s="1"/>
  <c r="I24" i="84" l="1"/>
  <c r="I119" i="150" s="1"/>
  <c r="L25" i="84"/>
  <c r="L120" i="150" s="1"/>
  <c r="I25" i="84"/>
  <c r="I120" i="150" s="1"/>
  <c r="J25" i="84"/>
  <c r="J120" i="150" s="1"/>
  <c r="F24" i="84"/>
  <c r="F119" i="150" s="1"/>
  <c r="J24" i="84"/>
  <c r="J119" i="150" s="1"/>
  <c r="G25" i="84"/>
  <c r="G120" i="150" s="1"/>
  <c r="H25" i="84"/>
  <c r="H120" i="150" s="1"/>
  <c r="F25" i="84"/>
  <c r="F120" i="150" s="1"/>
  <c r="E25" i="84"/>
  <c r="E120" i="150" s="1"/>
  <c r="G24" i="84" l="1"/>
  <c r="G119" i="150" s="1"/>
  <c r="K24" i="84" l="1"/>
  <c r="K119" i="150" s="1"/>
  <c r="K25" i="84" l="1"/>
  <c r="K120" i="150" s="1"/>
  <c r="M27" i="84" l="1"/>
  <c r="M114" i="150" s="1"/>
  <c r="M122" i="150" s="1"/>
  <c r="L23" i="84" l="1"/>
  <c r="L113" i="150" s="1"/>
  <c r="L116" i="150" s="1"/>
  <c r="M112" i="150" s="1"/>
  <c r="M23" i="84" l="1"/>
  <c r="M113" i="150" s="1"/>
  <c r="M116" i="150" s="1"/>
  <c r="N112" i="150" s="1"/>
  <c r="N27" i="84" l="1"/>
  <c r="N114" i="150" s="1"/>
  <c r="N122" i="150"/>
  <c r="N116" i="150"/>
  <c r="M7" i="84" l="1"/>
  <c r="M17" i="150" s="1"/>
  <c r="M19" i="150" s="1"/>
  <c r="N7" i="84" l="1"/>
  <c r="N17" i="150" s="1"/>
  <c r="N19" i="150" s="1"/>
  <c r="C294" i="150" a="1"/>
  <c r="C294" i="150" l="1"/>
  <c r="L302" i="150"/>
  <c r="M302" i="150" s="1"/>
  <c r="M318" i="150" s="1"/>
  <c r="K301" i="150"/>
  <c r="L301" i="150" s="1"/>
  <c r="M301" i="150" s="1"/>
  <c r="N301" i="150" s="1"/>
  <c r="E295" i="150"/>
  <c r="F295" i="150" s="1"/>
  <c r="F311" i="150" s="1"/>
  <c r="F296" i="150"/>
  <c r="G296" i="150" s="1"/>
  <c r="H296" i="150" s="1"/>
  <c r="I296" i="150" s="1"/>
  <c r="I299" i="150"/>
  <c r="J299" i="150" s="1"/>
  <c r="K299" i="150" s="1"/>
  <c r="L299" i="150" s="1"/>
  <c r="M299" i="150" s="1"/>
  <c r="N299" i="150" s="1"/>
  <c r="N315" i="150" s="1"/>
  <c r="H298" i="150"/>
  <c r="I298" i="150" s="1"/>
  <c r="J298" i="150" s="1"/>
  <c r="K298" i="150" s="1"/>
  <c r="L298" i="150" s="1"/>
  <c r="M298" i="150" s="1"/>
  <c r="M314" i="150" s="1"/>
  <c r="N304" i="150"/>
  <c r="N320" i="150" s="1"/>
  <c r="J300" i="150"/>
  <c r="K300" i="150" s="1"/>
  <c r="G297" i="150"/>
  <c r="H297" i="150" s="1"/>
  <c r="I297" i="150" s="1"/>
  <c r="M303" i="150"/>
  <c r="N303" i="150" s="1"/>
  <c r="N319" i="150" s="1"/>
  <c r="L318" i="150"/>
  <c r="M317" i="150"/>
  <c r="N317" i="150" l="1"/>
  <c r="J316" i="150"/>
  <c r="N302" i="150"/>
  <c r="N318" i="150" s="1"/>
  <c r="J297" i="150"/>
  <c r="K297" i="150" s="1"/>
  <c r="L297" i="150" s="1"/>
  <c r="M297" i="150" s="1"/>
  <c r="K317" i="150"/>
  <c r="J314" i="150"/>
  <c r="H314" i="150"/>
  <c r="I315" i="150"/>
  <c r="J315" i="150"/>
  <c r="L314" i="150"/>
  <c r="K314" i="150"/>
  <c r="L315" i="150"/>
  <c r="K315" i="150"/>
  <c r="I314" i="150"/>
  <c r="N24" i="84"/>
  <c r="N119" i="150" s="1"/>
  <c r="N298" i="150"/>
  <c r="N314" i="150" s="1"/>
  <c r="L317" i="150"/>
  <c r="M24" i="84"/>
  <c r="M119" i="150" s="1"/>
  <c r="M319" i="150"/>
  <c r="J296" i="150"/>
  <c r="K296" i="150" s="1"/>
  <c r="I312" i="150"/>
  <c r="G312" i="150"/>
  <c r="M315" i="150"/>
  <c r="H313" i="150"/>
  <c r="L300" i="150"/>
  <c r="G295" i="150"/>
  <c r="K316" i="150"/>
  <c r="C305" i="150"/>
  <c r="D294" i="150"/>
  <c r="D305" i="150" s="1"/>
  <c r="F312" i="150"/>
  <c r="G313" i="150"/>
  <c r="H312" i="150"/>
  <c r="I313" i="150"/>
  <c r="E311" i="150"/>
  <c r="J313" i="150" l="1"/>
  <c r="K313" i="150"/>
  <c r="E294" i="150"/>
  <c r="E305" i="150" s="1"/>
  <c r="E310" i="150"/>
  <c r="E321" i="150" s="1"/>
  <c r="D310" i="150"/>
  <c r="D321" i="150" s="1"/>
  <c r="D328" i="150" s="1"/>
  <c r="D329" i="150" s="1"/>
  <c r="E324" i="150" s="1"/>
  <c r="F294" i="150"/>
  <c r="F310" i="150" s="1"/>
  <c r="F321" i="150" s="1"/>
  <c r="N297" i="150"/>
  <c r="N313" i="150" s="1"/>
  <c r="M300" i="150"/>
  <c r="N300" i="150" s="1"/>
  <c r="N316" i="150" s="1"/>
  <c r="L316" i="150"/>
  <c r="G311" i="150"/>
  <c r="H295" i="150"/>
  <c r="H311" i="150" s="1"/>
  <c r="M313" i="150"/>
  <c r="J312" i="150"/>
  <c r="L296" i="150"/>
  <c r="K312" i="150"/>
  <c r="L313" i="150"/>
  <c r="E328" i="150" l="1"/>
  <c r="E329" i="150" s="1"/>
  <c r="F324" i="150" s="1"/>
  <c r="F305" i="150"/>
  <c r="G294" i="150"/>
  <c r="G310" i="150" s="1"/>
  <c r="G321" i="150" s="1"/>
  <c r="M316" i="150"/>
  <c r="F328" i="150"/>
  <c r="F329" i="150" s="1"/>
  <c r="G324" i="150" s="1"/>
  <c r="I295" i="150"/>
  <c r="I311" i="150" s="1"/>
  <c r="M296" i="150"/>
  <c r="N296" i="150" s="1"/>
  <c r="N312" i="150" s="1"/>
  <c r="L312" i="150"/>
  <c r="H294" i="150" l="1"/>
  <c r="G305" i="150"/>
  <c r="G328" i="150"/>
  <c r="G329" i="150" s="1"/>
  <c r="H324" i="150" s="1"/>
  <c r="M312" i="150"/>
  <c r="H305" i="150"/>
  <c r="H310" i="150"/>
  <c r="H321" i="150" s="1"/>
  <c r="I294" i="150"/>
  <c r="J295" i="150"/>
  <c r="K295" i="150" s="1"/>
  <c r="K311" i="150" s="1"/>
  <c r="H328" i="150" l="1"/>
  <c r="H329" i="150" s="1"/>
  <c r="I324" i="150" s="1"/>
  <c r="J311" i="150"/>
  <c r="J294" i="150"/>
  <c r="I305" i="150"/>
  <c r="I310" i="150"/>
  <c r="I321" i="150" s="1"/>
  <c r="I328" i="150" s="1"/>
  <c r="I329" i="150" s="1"/>
  <c r="J324" i="150" s="1"/>
  <c r="L295" i="150"/>
  <c r="M295" i="150" s="1"/>
  <c r="M311" i="150" s="1"/>
  <c r="J305" i="150" l="1"/>
  <c r="L311" i="150"/>
  <c r="N295" i="150"/>
  <c r="N311" i="150" s="1"/>
  <c r="K294" i="150"/>
  <c r="K305" i="150" s="1"/>
  <c r="J310" i="150"/>
  <c r="J321" i="150" s="1"/>
  <c r="J328" i="150" s="1"/>
  <c r="J329" i="150" s="1"/>
  <c r="K324" i="150" s="1"/>
  <c r="L294" i="150" l="1"/>
  <c r="L305" i="150" s="1"/>
  <c r="K310" i="150"/>
  <c r="K321" i="150" s="1"/>
  <c r="K328" i="150" s="1"/>
  <c r="K329" i="150" s="1"/>
  <c r="L324" i="150" s="1"/>
  <c r="M294" i="150" l="1"/>
  <c r="L310" i="150"/>
  <c r="L321" i="150" s="1"/>
  <c r="L328" i="150" s="1"/>
  <c r="L329" i="150" s="1"/>
  <c r="M324" i="150" s="1"/>
  <c r="M305" i="150"/>
  <c r="N294" i="150"/>
  <c r="M310" i="150"/>
  <c r="M321" i="150" s="1"/>
  <c r="M328" i="150" l="1"/>
  <c r="M329" i="150" s="1"/>
  <c r="N324" i="150" s="1"/>
  <c r="N305" i="150"/>
  <c r="N310" i="150"/>
  <c r="N321" i="150" s="1"/>
  <c r="N328" i="150" l="1"/>
  <c r="C332" i="150" s="1" a="1"/>
  <c r="J336" i="150" s="1"/>
  <c r="N329" i="150"/>
  <c r="K333" i="150"/>
  <c r="J338" i="150"/>
  <c r="L334" i="150"/>
  <c r="H333" i="150"/>
  <c r="L335" i="150"/>
  <c r="M341" i="150"/>
  <c r="N333" i="150"/>
  <c r="H334" i="150"/>
  <c r="H335" i="150"/>
  <c r="N337" i="150"/>
  <c r="K337" i="150"/>
  <c r="E333" i="150"/>
  <c r="I333" i="150"/>
  <c r="L336" i="150"/>
  <c r="N339" i="150"/>
  <c r="M338" i="150"/>
  <c r="L333" i="150"/>
  <c r="K335" i="150"/>
  <c r="N335" i="150"/>
  <c r="L338" i="150"/>
  <c r="J334" i="150"/>
  <c r="M337" i="150"/>
  <c r="L339" i="150"/>
  <c r="N341" i="150"/>
  <c r="I336" i="150" l="1"/>
  <c r="K339" i="150"/>
  <c r="N336" i="150"/>
  <c r="I334" i="150"/>
  <c r="J333" i="150"/>
  <c r="F334" i="150"/>
  <c r="M339" i="150"/>
  <c r="M336" i="150"/>
  <c r="J335" i="150"/>
  <c r="K336" i="150"/>
  <c r="M340" i="150"/>
  <c r="K338" i="150"/>
  <c r="G334" i="150"/>
  <c r="M333" i="150"/>
  <c r="I337" i="150"/>
  <c r="M335" i="150"/>
  <c r="N334" i="150"/>
  <c r="C332" i="150"/>
  <c r="I332" i="150" s="1"/>
  <c r="F333" i="150"/>
  <c r="G333" i="150"/>
  <c r="L340" i="150"/>
  <c r="L337" i="150"/>
  <c r="I335" i="150"/>
  <c r="N340" i="150"/>
  <c r="G335" i="150"/>
  <c r="H336" i="150"/>
  <c r="N342" i="150"/>
  <c r="M334" i="150"/>
  <c r="J337" i="150"/>
  <c r="K334" i="150"/>
  <c r="N338" i="150"/>
  <c r="F332" i="150" l="1"/>
  <c r="F343" i="150"/>
  <c r="F345" i="150" s="1"/>
  <c r="E332" i="150"/>
  <c r="E343" i="150" s="1"/>
  <c r="E345" i="150" s="1"/>
  <c r="M332" i="150"/>
  <c r="M343" i="150" s="1"/>
  <c r="M345" i="150" s="1"/>
  <c r="K332" i="150"/>
  <c r="K343" i="150" s="1"/>
  <c r="K345" i="150" s="1"/>
  <c r="J332" i="150"/>
  <c r="J343" i="150" s="1"/>
  <c r="J345" i="150" s="1"/>
  <c r="H332" i="150"/>
  <c r="H343" i="150" s="1"/>
  <c r="H345" i="150" s="1"/>
  <c r="D332" i="150"/>
  <c r="D343" i="150" s="1"/>
  <c r="D345" i="150" s="1"/>
  <c r="L332" i="150"/>
  <c r="L343" i="150" s="1"/>
  <c r="L345" i="150" s="1"/>
  <c r="G332" i="150"/>
  <c r="G343" i="150" s="1"/>
  <c r="G345" i="150" s="1"/>
  <c r="N332" i="150"/>
  <c r="I343" i="150"/>
  <c r="I345" i="150" s="1"/>
  <c r="N343" i="150"/>
  <c r="N345" i="150" s="1"/>
  <c r="D123" i="150" l="1"/>
  <c r="F123" i="150"/>
  <c r="F124" i="150" s="1"/>
  <c r="F135" i="150" s="1"/>
  <c r="F136" i="150" s="1"/>
  <c r="F130" i="150" s="1"/>
  <c r="E123" i="150"/>
  <c r="E129" i="150" s="1"/>
  <c r="I123" i="150"/>
  <c r="I124" i="150" s="1"/>
  <c r="I135" i="150" s="1"/>
  <c r="I136" i="150" s="1"/>
  <c r="I130" i="150" s="1"/>
  <c r="D129" i="150"/>
  <c r="D124" i="150"/>
  <c r="D135" i="150" s="1"/>
  <c r="F129" i="150" l="1"/>
  <c r="D125" i="150"/>
  <c r="D29" i="150"/>
  <c r="D30" i="150" s="1"/>
  <c r="D32" i="150" s="1"/>
  <c r="D35" i="150" s="1"/>
  <c r="I129" i="150"/>
  <c r="L123" i="150"/>
  <c r="L124" i="150" s="1"/>
  <c r="L135" i="150" s="1"/>
  <c r="J123" i="150"/>
  <c r="J124" i="150" s="1"/>
  <c r="J135" i="150" s="1"/>
  <c r="G123" i="150"/>
  <c r="G124" i="150" s="1"/>
  <c r="M123" i="150"/>
  <c r="M124" i="150" s="1"/>
  <c r="M135" i="150" s="1"/>
  <c r="N123" i="150"/>
  <c r="N129" i="150" s="1"/>
  <c r="K123" i="150"/>
  <c r="K124" i="150" s="1"/>
  <c r="K135" i="150" s="1"/>
  <c r="E124" i="150"/>
  <c r="E135" i="150" s="1"/>
  <c r="E136" i="150" s="1"/>
  <c r="E130" i="150" s="1"/>
  <c r="H123" i="150"/>
  <c r="H129" i="150" s="1"/>
  <c r="F125" i="150"/>
  <c r="I125" i="150"/>
  <c r="N124" i="150"/>
  <c r="N135" i="150" s="1"/>
  <c r="L129" i="150"/>
  <c r="D136" i="150"/>
  <c r="D130" i="150" s="1"/>
  <c r="D131" i="150" s="1"/>
  <c r="E128" i="150" s="1"/>
  <c r="K129" i="150" l="1"/>
  <c r="M129" i="150"/>
  <c r="G129" i="150"/>
  <c r="E131" i="150"/>
  <c r="F128" i="150" s="1"/>
  <c r="F131" i="150" s="1"/>
  <c r="G128" i="150" s="1"/>
  <c r="J129" i="150"/>
  <c r="H124" i="150"/>
  <c r="H125" i="150" s="1"/>
  <c r="I29" i="150"/>
  <c r="I30" i="150" s="1"/>
  <c r="I32" i="150" s="1"/>
  <c r="I35" i="150" s="1"/>
  <c r="F29" i="150"/>
  <c r="F30" i="150" s="1"/>
  <c r="F32" i="150" s="1"/>
  <c r="F35" i="150" s="1"/>
  <c r="E125" i="150"/>
  <c r="D137" i="150"/>
  <c r="E134" i="150" s="1"/>
  <c r="E137" i="150" s="1"/>
  <c r="F134" i="150" s="1"/>
  <c r="F137" i="150" s="1"/>
  <c r="G134" i="150" s="1"/>
  <c r="G135" i="150"/>
  <c r="G136" i="150" s="1"/>
  <c r="G130" i="150" s="1"/>
  <c r="G131" i="150" s="1"/>
  <c r="H128" i="150" s="1"/>
  <c r="G125" i="150"/>
  <c r="H135" i="150" l="1"/>
  <c r="H136" i="150" s="1"/>
  <c r="H130" i="150" s="1"/>
  <c r="E29" i="150"/>
  <c r="E30" i="150" s="1"/>
  <c r="E32" i="150" s="1"/>
  <c r="E35" i="150" s="1"/>
  <c r="G29" i="150"/>
  <c r="G30" i="150" s="1"/>
  <c r="G32" i="150" s="1"/>
  <c r="G35" i="150" s="1"/>
  <c r="H29" i="150"/>
  <c r="H30" i="150" s="1"/>
  <c r="H32" i="150" s="1"/>
  <c r="H35" i="150" s="1"/>
  <c r="H131" i="150"/>
  <c r="I128" i="150" s="1"/>
  <c r="I131" i="150" s="1"/>
  <c r="J128" i="150" s="1"/>
  <c r="G137" i="150"/>
  <c r="H134" i="150" s="1"/>
  <c r="H137" i="150" s="1"/>
  <c r="I134" i="150" s="1"/>
  <c r="I137" i="150" s="1"/>
  <c r="J134" i="150" s="1"/>
  <c r="J136" i="150" l="1"/>
  <c r="J137" i="150" s="1"/>
  <c r="K134" i="150" s="1"/>
  <c r="K136" i="150" l="1"/>
  <c r="K137" i="150" s="1"/>
  <c r="L134" i="150" s="1"/>
  <c r="L136" i="150" s="1"/>
  <c r="L125" i="150" s="1"/>
  <c r="J130" i="150"/>
  <c r="J131" i="150" s="1"/>
  <c r="K128" i="150" s="1"/>
  <c r="J125" i="150"/>
  <c r="J29" i="150" l="1"/>
  <c r="J30" i="150" s="1"/>
  <c r="J32" i="150" s="1"/>
  <c r="J35" i="150" s="1"/>
  <c r="L29" i="150"/>
  <c r="L30" i="150" s="1"/>
  <c r="L32" i="150" s="1"/>
  <c r="L35" i="150" s="1"/>
  <c r="L130" i="150"/>
  <c r="L137" i="150"/>
  <c r="M134" i="150" s="1"/>
  <c r="M136" i="150" s="1"/>
  <c r="M125" i="150" s="1"/>
  <c r="K130" i="150"/>
  <c r="K131" i="150" s="1"/>
  <c r="L128" i="150" s="1"/>
  <c r="L131" i="150" s="1"/>
  <c r="M128" i="150" s="1"/>
  <c r="K125" i="150"/>
  <c r="M29" i="150" l="1"/>
  <c r="M30" i="150" s="1"/>
  <c r="M32" i="150" s="1"/>
  <c r="M35" i="150" s="1"/>
  <c r="K29" i="150"/>
  <c r="K30" i="150" s="1"/>
  <c r="K32" i="150" s="1"/>
  <c r="K35" i="150" s="1"/>
  <c r="M130" i="150"/>
  <c r="M131" i="150" s="1"/>
  <c r="N128" i="150" s="1"/>
  <c r="M137" i="150"/>
  <c r="N134" i="150" s="1"/>
  <c r="N136" i="150" s="1"/>
  <c r="N130" i="150" l="1"/>
  <c r="N131" i="150" s="1"/>
  <c r="N11" i="150" s="1"/>
  <c r="N125" i="150"/>
  <c r="N137" i="150"/>
  <c r="N29" i="150" l="1"/>
  <c r="N30" i="150" s="1"/>
  <c r="N32" i="150" s="1"/>
  <c r="N35" i="150" s="1"/>
  <c r="N36" i="150" s="1"/>
  <c r="N7" i="150" s="1"/>
  <c r="N10"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<sst xmlns="http://schemas.openxmlformats.org/spreadsheetml/2006/main" count="772" uniqueCount="224">
  <si>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</si>
  <si>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</si>
  <si>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</si>
  <si>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</si>
  <si>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</si>
  <si>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</si>
  <si>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</si>
  <si>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</si>
  <si>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</si>
  <si>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</si>
  <si>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</si>
  <si>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</si>
  <si>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</si>
  <si>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</si>
  <si>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</si>
  <si>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</si>
  <si>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</si>
  <si>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</si>
  <si>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</si>
  <si>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</si>
  <si>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</si>
  <si>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</si>
  <si>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</si>
  <si>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</si>
  <si>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</si>
  <si>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</si>
  <si>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</si>
  <si>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</si>
  <si>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</si>
  <si>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</si>
  <si>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</si>
  <si>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</si>
  <si>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</si>
  <si>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</si>
  <si>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</si>
  <si>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</si>
  <si>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</si>
  <si>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</si>
  <si>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</si>
  <si>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</si>
  <si>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</si>
  <si>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</si>
  <si>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</si>
  <si>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</si>
  <si>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</si>
  <si>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</si>
  <si>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</si>
  <si>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</si>
  <si>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</si>
  <si>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</si>
  <si>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</si>
  <si>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</si>
  <si>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</si>
  <si>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</si>
  <si>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</si>
  <si>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</si>
  <si>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</si>
  <si>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</si>
  <si>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</si>
  <si>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</si>
  <si>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</si>
  <si>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</si>
  <si>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</si>
  <si>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</si>
  <si>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</si>
  <si>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</si>
  <si>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</si>
  <si>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</si>
  <si>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</si>
  <si>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</si>
  <si>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</si>
  <si>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</si>
  <si>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</si>
  <si>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</si>
  <si>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Crown financing rate</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</si>
  <si>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</si>
  <si>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</si>
  <si>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</si>
  <si>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</si>
  <si>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</si>
  <si>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</si>
  <si>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</si>
  <si>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</si>
  <si>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</si>
  <si>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</si>
  <si>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</si>
  <si>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</si>
  <si>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</si>
  <si>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</si>
  <si>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</si>
  <si>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</si>
  <si>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</si>
  <si>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</si>
  <si>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Benefit of Crown debt financing</t>
  </si>
  <si>
    <t>Depreciation rate</t>
  </si>
  <si>
    <t>Historic depreciation</t>
  </si>
  <si>
    <t>Adjustment for partial depreciation</t>
  </si>
  <si>
    <t>Opening balance</t>
  </si>
  <si>
    <t>Total depreciation</t>
  </si>
  <si>
    <t>Closing balance</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</si>
  <si>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</si>
  <si>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</si>
  <si>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</si>
  <si>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</si>
  <si>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</si>
  <si>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</si>
  <si>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</si>
  <si>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</si>
  <si>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</si>
  <si>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</si>
  <si>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</si>
  <si>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</si>
  <si>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</si>
  <si>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</si>
  <si>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</si>
  <si>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</si>
  <si>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</si>
  <si>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</si>
  <si>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</si>
  <si>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</si>
  <si>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</si>
  <si>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</si>
  <si>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</si>
  <si>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</si>
  <si>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</si>
  <si>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</si>
  <si>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</si>
  <si>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</si>
  <si>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</si>
  <si>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</si>
  <si>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</si>
  <si>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</si>
  <si>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</si>
  <si>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</si>
  <si>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</si>
  <si>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</si>
  <si>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</si>
  <si>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</si>
  <si>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</si>
  <si>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</si>
  <si>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</si>
  <si>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</si>
  <si>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</si>
  <si>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</si>
  <si>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</si>
  <si>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</si>
  <si>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</si>
  <si>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</si>
  <si>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</si>
  <si>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</si>
  <si>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</si>
  <si>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</si>
  <si>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</si>
  <si>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</si>
  <si>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</si>
  <si>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</si>
  <si>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</si>
  <si>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</si>
  <si>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</si>
  <si>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</si>
  <si>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</si>
  <si>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</si>
  <si>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</si>
  <si>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</si>
  <si>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</si>
  <si>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</si>
  <si>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</si>
  <si>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</si>
  <si>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</si>
  <si>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</si>
  <si>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Net drawdown</t>
  </si>
  <si>
    <t>Crown debt finance rate</t>
  </si>
  <si>
    <t>Crown equity finance rate</t>
  </si>
  <si>
    <t>Gross cost of debt financing UFB assets</t>
  </si>
  <si>
    <t>UFB costs cash flows</t>
  </si>
  <si>
    <t>Total benefit of Crown debt financing</t>
  </si>
  <si>
    <t>Calculate debt financing cost of commissioned assets</t>
  </si>
  <si>
    <t>Add cost of debt financing losses</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</si>
  <si>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</si>
  <si>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</si>
  <si>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</si>
  <si>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</si>
  <si>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</si>
  <si>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</si>
  <si>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</si>
  <si>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</si>
  <si>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</si>
  <si>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</si>
  <si>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</si>
  <si>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</si>
  <si>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</si>
  <si>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</si>
  <si>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</si>
  <si>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</si>
  <si>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</si>
  <si>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</si>
  <si>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</si>
  <si>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</si>
  <si>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</si>
  <si>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</si>
  <si>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</si>
  <si>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</si>
  <si>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Proportion of net drawdowns which is, in substance, debt</t>
  </si>
  <si>
    <t>Proportion of net drawdowns which is, in subtance, debt</t>
  </si>
  <si>
    <t>Net drawdown in the financial loss year that is, in substance, debt</t>
  </si>
  <si>
    <t>Net drawdown in the financial loss year that is, in substance, equity</t>
  </si>
  <si>
    <t>Crown financing net drawn down</t>
  </si>
  <si>
    <t>Opening cost allocator value</t>
  </si>
  <si>
    <t>Closing cost allocator value</t>
  </si>
  <si>
    <t>Opening tax cost allocator value</t>
  </si>
  <si>
    <t>Closing tax cost allocator value</t>
  </si>
  <si>
    <t>Model Inputs</t>
  </si>
  <si>
    <t>Sum of UFB unallocated asset values opening values as of 1 December 2011</t>
  </si>
  <si>
    <t>Tuatahi First Fibre Limited - FINAL DRAFT Submission December 2022</t>
  </si>
  <si>
    <t>Present value benefit of Crown equity financing</t>
  </si>
  <si>
    <t>Present value benefit of Crown debt financing</t>
  </si>
  <si>
    <t>Roll forward of Crown debt financing</t>
  </si>
  <si>
    <t>Roll forward of Crown equity financing</t>
  </si>
  <si>
    <t>Mid-year date compounding for Crown financing</t>
  </si>
  <si>
    <t>Present value of annual benefits</t>
  </si>
  <si>
    <t>Initial ID RAB</t>
  </si>
  <si>
    <t>LFC Inputs - Tuatahi</t>
  </si>
  <si>
    <t>Tuatahi</t>
  </si>
  <si>
    <r>
      <t xml:space="preserve">This is a model of the “initial RAB value” of the financial loss asset for </t>
    </r>
    <r>
      <rPr>
        <b/>
        <sz val="11"/>
        <color theme="1"/>
        <rFont val="Calibri"/>
        <family val="2"/>
      </rPr>
      <t>Tuatahi First Fibre Limited's</t>
    </r>
    <r>
      <rPr>
        <sz val="11"/>
        <color theme="1"/>
        <rFont val="Calibri"/>
        <family val="2"/>
        <scheme val="minor"/>
      </rPr>
      <t xml:space="preserve"> information disclosure regulatory asset base (ID RAB) as of the implementation date under clause 2.2.4(1) of the Fibre Input Methodologies Determination 2020, including any amendment in effect at the date this model is published.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</si>
</sst>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
      <b/>
      <sz val="16"/>
      <color rgb="FF0070C0"/>
      <name val="Calibri"/>
      <family val="2"/>
      <scheme val="minor"/>
    </font>
    <font>
      <sz val="11"/>
      <color rgb="FF0070C0"/>
      <name val="Calibri"/>
      <family val="2"/>
      <scheme val="minor"/>
    </font>
    <font>
      <b/>
      <sz val="12"/>
      <color rgb="FF0070C0"/>
      <name val="Calibri"/>
      <family val="2"/>
      <scheme val="minor"/>
    </font>
    <font>
      <b/>
      <sz val="11"/>
      <color theme="1"/>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
      <patternFill patternType="solid">
        <fgColor theme="5" tint="0.79998168889431442"/>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5">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3" fontId="2" fillId="0" borderId="14" xfId="14" applyNumberFormat="1" applyFont="1" applyBorder="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0" fontId="52" fillId="0" borderId="0" xfId="0" applyFont="1"/>
    <xf numFmtId="185" fontId="53" fillId="0" borderId="0" xfId="13" applyNumberFormat="1" applyFont="1" applyBorder="1">
      <protection locked="0"/>
    </xf>
    <xf numFmtId="184" fontId="53" fillId="0" borderId="0" xfId="13" applyNumberFormat="1" applyFont="1" applyBorder="1">
      <protection locked="0"/>
    </xf>
    <xf numFmtId="0" fontId="53" fillId="0" borderId="0" xfId="0" applyFont="1"/>
    <xf numFmtId="184" fontId="22" fillId="42" borderId="10" xfId="13" applyNumberFormat="1" applyFill="1">
      <protection locked="0"/>
    </xf>
    <xf numFmtId="9" fontId="22" fillId="0" borderId="10" xfId="67" applyFont="1" applyFill="1" applyBorder="1"/>
    <xf numFmtId="0" fontId="0" fillId="0" borderId="14" xfId="14" applyFont="1" applyBorder="1" applyAlignment="1">
      <alignment vertical="top" wrapText="1"/>
    </xf>
    <xf numFmtId="0" fontId="1" fillId="0" borderId="14" xfId="14" applyBorder="1" applyAlignment="1">
      <alignment wrapText="1"/>
    </xf>
    <xf numFmtId="184" fontId="54" fillId="0" borderId="0" xfId="13" applyNumberFormat="1" applyFont="1" applyBorder="1" applyAlignment="1">
      <alignment horizontal="left" vertical="center"/>
      <protection locked="0"/>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0000FF"/>
      <color rgb="FFC9C4A3"/>
      <color rgb="FFB9FB25"/>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including any amendment in effect at the date this model is published.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11"/>
  <sheetViews>
    <sheetView showGridLines="0" tabSelected="1" zoomScaleNormal="100" zoomScaleSheetLayoutView="100" workbookViewId="0">
      <selection activeCell="J8" sqref="J8"/>
    </sheetView>
  </sheetViews>
  <sheetFormatPr defaultColWidth="9.140625" defaultRowHeight="15" x14ac:dyDescent="0.25"/>
  <cols>
    <col min="1" max="1" width="2.7109375" customWidth="1"/>
    <col min="2" max="2" width="34.7109375" customWidth="1"/>
    <col min="3" max="3" width="100.7109375" customWidth="1"/>
    <col min="4" max="5" width="14.7109375" customWidth="1"/>
    <col min="6" max="6" width="2.7109375" customWidth="1"/>
  </cols>
  <sheetData>
    <row r="1" spans="1:5" ht="26.25" x14ac:dyDescent="0.4">
      <c r="A1" s="1" t="s">
        <v>0</v>
      </c>
      <c r="C1" s="176"/>
    </row>
    <row r="2" spans="1:5" x14ac:dyDescent="0.25">
      <c r="A2" s="3"/>
    </row>
    <row r="4" spans="1:5" ht="23.25" x14ac:dyDescent="0.35">
      <c r="B4" s="47" t="s">
        <v>27</v>
      </c>
    </row>
    <row r="5" spans="1:5" ht="48" customHeight="1" x14ac:dyDescent="0.25">
      <c r="B5" s="182" t="s">
        <v>223</v>
      </c>
      <c r="C5" s="183"/>
      <c r="D5" s="183"/>
      <c r="E5" s="183"/>
    </row>
    <row r="6" spans="1:5" ht="9" customHeight="1" x14ac:dyDescent="0.25"/>
    <row r="7" spans="1:5" ht="23.25" x14ac:dyDescent="0.35">
      <c r="B7" s="44" t="s">
        <v>2</v>
      </c>
      <c r="C7" s="4"/>
      <c r="D7" s="5"/>
      <c r="E7" s="6"/>
    </row>
    <row r="8" spans="1:5" ht="216" customHeight="1" x14ac:dyDescent="0.25">
      <c r="B8" s="43"/>
      <c r="C8" s="7"/>
      <c r="D8" s="7"/>
      <c r="E8" s="7"/>
    </row>
    <row r="9" spans="1:5" x14ac:dyDescent="0.25">
      <c r="B9" s="9"/>
      <c r="C9" s="9"/>
      <c r="D9" s="9"/>
      <c r="E9" s="9"/>
    </row>
    <row r="10" spans="1:5" x14ac:dyDescent="0.25">
      <c r="B10" s="8"/>
      <c r="C10" s="8"/>
      <c r="D10" s="8"/>
      <c r="E10" s="8"/>
    </row>
    <row r="11" spans="1:5" x14ac:dyDescent="0.2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47F5-0BD8-4A4C-9205-55200C16C812}">
  <sheetPr>
    <tabColor theme="3" tint="-0.249977111117893"/>
    <pageSetUpPr fitToPage="1"/>
  </sheetPr>
  <dimension ref="A1:AC48"/>
  <sheetViews>
    <sheetView showGridLines="0" zoomScaleNormal="100" zoomScaleSheetLayoutView="120" workbookViewId="0">
      <pane xSplit="1" ySplit="6" topLeftCell="J7" activePane="bottomRight" state="frozen"/>
      <selection pane="topRight" activeCell="B1" sqref="B1"/>
      <selection pane="bottomLeft" activeCell="A7" sqref="A7"/>
      <selection pane="bottomRight" activeCell="A5" sqref="A5"/>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4" width="13.42578125" customWidth="1"/>
    <col min="15" max="15" width="13.42578125" style="179" customWidth="1"/>
  </cols>
  <sheetData>
    <row r="1" spans="1:29" ht="26.25" x14ac:dyDescent="0.4">
      <c r="A1" s="1" t="s">
        <v>221</v>
      </c>
      <c r="B1" s="176"/>
      <c r="D1" s="37"/>
      <c r="E1" s="37"/>
      <c r="F1" s="37"/>
      <c r="G1" s="37"/>
      <c r="H1" s="37"/>
      <c r="I1" s="37"/>
      <c r="J1" s="37"/>
      <c r="K1" s="37"/>
      <c r="L1" s="38"/>
      <c r="M1" s="38"/>
      <c r="N1" s="38"/>
      <c r="O1" s="177"/>
    </row>
    <row r="2" spans="1:29" x14ac:dyDescent="0.25">
      <c r="A2" s="64"/>
      <c r="D2" s="37"/>
      <c r="E2" s="37"/>
      <c r="F2" s="37"/>
      <c r="G2" s="37"/>
      <c r="H2" s="37"/>
      <c r="I2" s="37"/>
      <c r="J2" s="37"/>
      <c r="K2" s="37"/>
      <c r="L2" s="37"/>
      <c r="M2" s="37"/>
      <c r="N2" s="37"/>
      <c r="O2" s="178"/>
    </row>
    <row r="3" spans="1:29" x14ac:dyDescent="0.25">
      <c r="A3" s="45"/>
      <c r="D3" s="37"/>
      <c r="E3" s="37"/>
      <c r="F3" s="37"/>
      <c r="G3" s="37"/>
      <c r="H3" s="37"/>
      <c r="I3" s="37"/>
      <c r="J3" s="37"/>
      <c r="K3" s="37"/>
      <c r="L3" s="37"/>
      <c r="M3" s="37"/>
      <c r="N3" s="37"/>
      <c r="O3" s="178"/>
    </row>
    <row r="4" spans="1:29" ht="21" x14ac:dyDescent="0.35">
      <c r="A4" s="40"/>
      <c r="C4" s="62" t="s">
        <v>41</v>
      </c>
      <c r="D4" s="62" t="s">
        <v>64</v>
      </c>
      <c r="E4" s="62" t="s">
        <v>42</v>
      </c>
      <c r="F4" s="62" t="s">
        <v>42</v>
      </c>
      <c r="G4" s="62" t="s">
        <v>42</v>
      </c>
      <c r="H4" s="62" t="s">
        <v>42</v>
      </c>
      <c r="I4" s="62" t="s">
        <v>42</v>
      </c>
      <c r="J4" s="62" t="s">
        <v>42</v>
      </c>
      <c r="K4" s="62" t="s">
        <v>42</v>
      </c>
      <c r="L4" s="62" t="s">
        <v>42</v>
      </c>
      <c r="M4" s="62" t="s">
        <v>42</v>
      </c>
      <c r="N4" s="62" t="s">
        <v>65</v>
      </c>
      <c r="O4" s="184"/>
      <c r="P4" s="184"/>
      <c r="Q4" s="184"/>
    </row>
    <row r="5" spans="1:29" ht="18.75" x14ac:dyDescent="0.3">
      <c r="A5" s="49"/>
      <c r="B5" s="49"/>
      <c r="C5" s="63">
        <v>40878</v>
      </c>
      <c r="D5" s="63">
        <v>41090</v>
      </c>
      <c r="E5" s="63">
        <v>41455</v>
      </c>
      <c r="F5" s="63">
        <v>41820</v>
      </c>
      <c r="G5" s="63">
        <v>42185</v>
      </c>
      <c r="H5" s="63">
        <v>42551</v>
      </c>
      <c r="I5" s="63">
        <v>42916</v>
      </c>
      <c r="J5" s="63">
        <v>43281</v>
      </c>
      <c r="K5" s="63">
        <v>43646</v>
      </c>
      <c r="L5" s="63">
        <v>44012</v>
      </c>
      <c r="M5" s="63">
        <v>44377</v>
      </c>
      <c r="N5" s="63">
        <v>44561</v>
      </c>
      <c r="O5" s="184"/>
      <c r="P5" s="184"/>
      <c r="Q5" s="184"/>
    </row>
    <row r="6" spans="1:29" s="13" customFormat="1" ht="18.75" x14ac:dyDescent="0.3">
      <c r="A6" s="33" t="s">
        <v>37</v>
      </c>
      <c r="O6" s="178"/>
      <c r="P6"/>
      <c r="Q6"/>
      <c r="R6"/>
      <c r="S6"/>
      <c r="T6"/>
      <c r="U6"/>
      <c r="V6"/>
      <c r="W6"/>
      <c r="X6"/>
      <c r="Y6"/>
      <c r="Z6"/>
      <c r="AA6"/>
      <c r="AB6"/>
      <c r="AC6"/>
    </row>
    <row r="7" spans="1:29" x14ac:dyDescent="0.25">
      <c r="A7" s="35" t="s">
        <v>59</v>
      </c>
      <c r="B7" s="35" t="s">
        <v>15</v>
      </c>
      <c r="C7" s="14"/>
      <c r="D7" s="180">
        <v>26.556290000000001</v>
      </c>
      <c r="E7" s="180">
        <v>453.41291999999999</v>
      </c>
      <c r="F7" s="180">
        <v>2566.1678099999999</v>
      </c>
      <c r="G7" s="180">
        <v>8329.7640800000008</v>
      </c>
      <c r="H7" s="180">
        <v>21610.296129999999</v>
      </c>
      <c r="I7" s="180">
        <v>38868.445209999998</v>
      </c>
      <c r="J7" s="180">
        <v>52728.780570000003</v>
      </c>
      <c r="K7" s="180">
        <v>67063.193889999995</v>
      </c>
      <c r="L7" s="180">
        <v>83043.122449999995</v>
      </c>
      <c r="M7" s="180">
        <v>96889.203500000003</v>
      </c>
      <c r="N7" s="180">
        <v>51005.197540000001</v>
      </c>
      <c r="O7" s="178"/>
    </row>
    <row r="8" spans="1:29" ht="26.25" x14ac:dyDescent="0.25">
      <c r="A8" s="35" t="s">
        <v>212</v>
      </c>
      <c r="B8" s="35" t="s">
        <v>15</v>
      </c>
      <c r="C8" s="14">
        <v>0</v>
      </c>
      <c r="D8" s="14"/>
      <c r="E8" s="14"/>
      <c r="F8" s="14"/>
      <c r="G8" s="14"/>
      <c r="H8" s="14"/>
      <c r="I8" s="14"/>
      <c r="J8" s="14"/>
      <c r="K8" s="14"/>
      <c r="L8" s="14"/>
      <c r="M8" s="14"/>
      <c r="N8" s="14"/>
      <c r="O8" s="178"/>
    </row>
    <row r="9" spans="1:29" x14ac:dyDescent="0.25">
      <c r="A9" s="35" t="s">
        <v>179</v>
      </c>
      <c r="B9" s="35" t="s">
        <v>15</v>
      </c>
      <c r="C9" s="14"/>
      <c r="D9" s="14"/>
      <c r="E9" s="14"/>
      <c r="F9" s="14"/>
      <c r="G9" s="14"/>
      <c r="H9" s="14"/>
      <c r="I9" s="14"/>
      <c r="J9" s="14"/>
      <c r="K9" s="14"/>
      <c r="L9" s="14"/>
      <c r="M9" s="14"/>
      <c r="N9" s="14"/>
      <c r="O9" s="178"/>
    </row>
    <row r="10" spans="1:29" x14ac:dyDescent="0.25">
      <c r="A10" s="35" t="s">
        <v>180</v>
      </c>
      <c r="B10" s="35" t="s">
        <v>15</v>
      </c>
      <c r="C10" s="180">
        <v>1057.95234</v>
      </c>
      <c r="D10" s="14"/>
      <c r="E10" s="14"/>
      <c r="F10" s="14"/>
      <c r="G10" s="14"/>
      <c r="H10" s="14"/>
      <c r="I10" s="14"/>
      <c r="J10" s="14"/>
      <c r="K10" s="14"/>
      <c r="L10" s="14"/>
      <c r="M10" s="14"/>
      <c r="N10" s="14"/>
      <c r="O10" s="178"/>
    </row>
    <row r="11" spans="1:29" x14ac:dyDescent="0.25">
      <c r="A11" s="35" t="s">
        <v>198</v>
      </c>
      <c r="B11" s="35" t="s">
        <v>15</v>
      </c>
      <c r="C11" s="14"/>
      <c r="D11" s="180">
        <v>21821.85815</v>
      </c>
      <c r="E11" s="180">
        <v>67658.400109999944</v>
      </c>
      <c r="F11" s="180">
        <v>55787.785080000169</v>
      </c>
      <c r="G11" s="180">
        <v>74554.024309998451</v>
      </c>
      <c r="H11" s="180">
        <v>78255.582749989946</v>
      </c>
      <c r="I11" s="180">
        <v>104236.29303000245</v>
      </c>
      <c r="J11" s="180">
        <v>47701.611070005878</v>
      </c>
      <c r="K11" s="180">
        <v>91498.40410969709</v>
      </c>
      <c r="L11" s="180">
        <v>85077.7088193253</v>
      </c>
      <c r="M11" s="180">
        <v>44399.719847293374</v>
      </c>
      <c r="N11" s="180">
        <v>17681.592660153015</v>
      </c>
      <c r="O11" s="178"/>
    </row>
    <row r="12" spans="1:29" x14ac:dyDescent="0.25">
      <c r="A12" s="103" t="s">
        <v>57</v>
      </c>
      <c r="B12" s="35" t="s">
        <v>15</v>
      </c>
      <c r="C12" s="14"/>
      <c r="D12" s="180">
        <v>1351.5248200000001</v>
      </c>
      <c r="E12" s="180">
        <v>6979.6552300000003</v>
      </c>
      <c r="F12" s="180">
        <v>11858.16049</v>
      </c>
      <c r="G12" s="180">
        <v>13653.57669</v>
      </c>
      <c r="H12" s="180">
        <v>18101.736870000001</v>
      </c>
      <c r="I12" s="180">
        <v>23069.52074</v>
      </c>
      <c r="J12" s="180">
        <v>23788.089400000001</v>
      </c>
      <c r="K12" s="180">
        <v>25932.407190000002</v>
      </c>
      <c r="L12" s="180">
        <v>28182.756659999999</v>
      </c>
      <c r="M12" s="180">
        <v>31224.263480000001</v>
      </c>
      <c r="N12" s="180">
        <v>18931.197219999998</v>
      </c>
      <c r="O12" s="178"/>
    </row>
    <row r="13" spans="1:29" x14ac:dyDescent="0.25">
      <c r="A13" s="35" t="s">
        <v>207</v>
      </c>
      <c r="B13" s="35" t="s">
        <v>17</v>
      </c>
      <c r="C13" s="14"/>
      <c r="D13" s="164">
        <v>1</v>
      </c>
      <c r="E13" s="164">
        <v>1</v>
      </c>
      <c r="F13" s="164">
        <v>1</v>
      </c>
      <c r="G13" s="164">
        <v>1</v>
      </c>
      <c r="H13" s="164">
        <v>1</v>
      </c>
      <c r="I13" s="164">
        <v>1</v>
      </c>
      <c r="J13" s="164">
        <v>1</v>
      </c>
      <c r="K13" s="164">
        <v>1</v>
      </c>
      <c r="L13" s="164">
        <v>1</v>
      </c>
      <c r="M13" s="164">
        <v>1</v>
      </c>
      <c r="N13" s="164">
        <v>1</v>
      </c>
      <c r="O13" s="178"/>
    </row>
    <row r="14" spans="1:29" x14ac:dyDescent="0.25">
      <c r="A14" s="35" t="s">
        <v>208</v>
      </c>
      <c r="B14" s="35" t="s">
        <v>17</v>
      </c>
      <c r="C14" s="14"/>
      <c r="D14" s="164">
        <v>1</v>
      </c>
      <c r="E14" s="164">
        <v>1</v>
      </c>
      <c r="F14" s="164">
        <v>1</v>
      </c>
      <c r="G14" s="164">
        <v>1</v>
      </c>
      <c r="H14" s="164">
        <v>1</v>
      </c>
      <c r="I14" s="164">
        <v>1</v>
      </c>
      <c r="J14" s="164">
        <v>1</v>
      </c>
      <c r="K14" s="164">
        <v>1</v>
      </c>
      <c r="L14" s="164">
        <v>1</v>
      </c>
      <c r="M14" s="164">
        <v>1</v>
      </c>
      <c r="N14" s="164">
        <v>1</v>
      </c>
      <c r="O14" s="178"/>
      <c r="P14" s="20"/>
    </row>
    <row r="15" spans="1:29" x14ac:dyDescent="0.25">
      <c r="A15" s="23"/>
      <c r="B15" s="42"/>
      <c r="C15" s="91"/>
      <c r="O15" s="178"/>
    </row>
    <row r="16" spans="1:29" ht="18.75" x14ac:dyDescent="0.3">
      <c r="A16" s="28" t="s">
        <v>169</v>
      </c>
      <c r="B16" s="36"/>
      <c r="C16" s="36"/>
      <c r="D16" s="36"/>
      <c r="E16" s="36"/>
      <c r="F16" s="36"/>
      <c r="G16" s="36"/>
      <c r="H16" s="36"/>
      <c r="I16" s="36"/>
      <c r="J16" s="36"/>
      <c r="K16" s="36"/>
      <c r="O16" s="178"/>
    </row>
    <row r="17" spans="1:15" x14ac:dyDescent="0.25">
      <c r="A17" s="35" t="s">
        <v>83</v>
      </c>
      <c r="B17" s="35" t="s">
        <v>15</v>
      </c>
      <c r="C17" s="14"/>
      <c r="D17" s="14"/>
      <c r="E17" s="14"/>
      <c r="F17" s="14"/>
      <c r="G17" s="14"/>
      <c r="H17" s="14"/>
      <c r="I17" s="14"/>
      <c r="J17" s="14"/>
      <c r="K17" s="14"/>
      <c r="L17" s="14"/>
      <c r="M17" s="14"/>
      <c r="N17" s="14"/>
      <c r="O17" s="178"/>
    </row>
    <row r="18" spans="1:15" x14ac:dyDescent="0.25">
      <c r="A18" s="35" t="s">
        <v>69</v>
      </c>
      <c r="B18" s="35" t="s">
        <v>15</v>
      </c>
      <c r="C18" s="14"/>
      <c r="D18" s="180">
        <v>213.61006999999998</v>
      </c>
      <c r="E18" s="180">
        <v>2702.2073299999993</v>
      </c>
      <c r="F18" s="180">
        <v>4962.2337200000084</v>
      </c>
      <c r="G18" s="180">
        <v>7721.4352699999336</v>
      </c>
      <c r="H18" s="180">
        <v>11908.040249998949</v>
      </c>
      <c r="I18" s="180">
        <v>16440.877469998952</v>
      </c>
      <c r="J18" s="180">
        <v>19101.822690002129</v>
      </c>
      <c r="K18" s="180">
        <v>20813.847489999211</v>
      </c>
      <c r="L18" s="180">
        <v>25909.003210004568</v>
      </c>
      <c r="M18" s="180">
        <v>26528.31360000405</v>
      </c>
      <c r="N18" s="180">
        <v>14199.683609986043</v>
      </c>
      <c r="O18" s="178"/>
    </row>
    <row r="19" spans="1:15" x14ac:dyDescent="0.25">
      <c r="O19" s="178"/>
    </row>
    <row r="20" spans="1:15" ht="18.75" x14ac:dyDescent="0.3">
      <c r="A20" s="28" t="s">
        <v>168</v>
      </c>
      <c r="O20" s="178"/>
    </row>
    <row r="21" spans="1:15" x14ac:dyDescent="0.25">
      <c r="A21" s="35" t="s">
        <v>182</v>
      </c>
      <c r="B21" s="35" t="s">
        <v>15</v>
      </c>
      <c r="C21" s="14">
        <v>0</v>
      </c>
      <c r="D21" s="14"/>
      <c r="E21" s="14"/>
      <c r="F21" s="14"/>
      <c r="G21" s="14"/>
      <c r="H21" s="14"/>
      <c r="I21" s="14"/>
      <c r="J21" s="14"/>
      <c r="K21" s="14"/>
      <c r="L21" s="14"/>
      <c r="M21" s="14"/>
      <c r="N21" s="14"/>
      <c r="O21" s="178"/>
    </row>
    <row r="22" spans="1:15" x14ac:dyDescent="0.25">
      <c r="A22" s="35" t="s">
        <v>181</v>
      </c>
      <c r="B22" s="35" t="s">
        <v>15</v>
      </c>
      <c r="C22" s="180">
        <v>55.647300000000001</v>
      </c>
      <c r="D22" s="14"/>
      <c r="E22" s="14"/>
      <c r="F22" s="14"/>
      <c r="G22" s="14"/>
      <c r="H22" s="14"/>
      <c r="I22" s="14"/>
      <c r="J22" s="14"/>
      <c r="K22" s="14"/>
      <c r="L22" s="14"/>
      <c r="M22" s="14"/>
      <c r="N22" s="14"/>
      <c r="O22" s="178"/>
    </row>
    <row r="23" spans="1:15" x14ac:dyDescent="0.25">
      <c r="A23" s="35" t="s">
        <v>197</v>
      </c>
      <c r="B23" s="35" t="s">
        <v>15</v>
      </c>
      <c r="C23" s="14"/>
      <c r="D23" s="14"/>
      <c r="E23" s="14"/>
      <c r="F23" s="14"/>
      <c r="G23" s="14"/>
      <c r="H23" s="14"/>
      <c r="I23" s="14"/>
      <c r="J23" s="14"/>
      <c r="K23" s="14"/>
      <c r="L23" s="14"/>
      <c r="M23" s="14"/>
      <c r="N23" s="14"/>
      <c r="O23" s="178"/>
    </row>
    <row r="24" spans="1:15" x14ac:dyDescent="0.25">
      <c r="A24" s="35" t="s">
        <v>199</v>
      </c>
      <c r="B24" s="35" t="s">
        <v>15</v>
      </c>
      <c r="C24" s="14"/>
      <c r="D24" s="180">
        <v>21647.13493</v>
      </c>
      <c r="E24" s="180">
        <v>54818.26496</v>
      </c>
      <c r="F24" s="180">
        <v>58083.11318</v>
      </c>
      <c r="G24" s="180">
        <v>77476.762559999988</v>
      </c>
      <c r="H24" s="180">
        <v>73456.293699999995</v>
      </c>
      <c r="I24" s="180">
        <v>15303.258219999969</v>
      </c>
      <c r="J24" s="180">
        <v>148057.45971000011</v>
      </c>
      <c r="K24" s="180">
        <v>67797.890209999925</v>
      </c>
      <c r="L24" s="180">
        <v>103195.01507000011</v>
      </c>
      <c r="M24" s="180">
        <v>57569.572089999892</v>
      </c>
      <c r="N24" s="180">
        <v>25190.897089999915</v>
      </c>
      <c r="O24" s="178"/>
    </row>
    <row r="25" spans="1:15" x14ac:dyDescent="0.25">
      <c r="A25" s="35" t="s">
        <v>200</v>
      </c>
      <c r="B25" s="35" t="s">
        <v>15</v>
      </c>
      <c r="C25" s="14"/>
      <c r="D25" s="180">
        <v>35.596730000000001</v>
      </c>
      <c r="E25" s="180">
        <v>2083.924</v>
      </c>
      <c r="F25" s="180">
        <v>3772.3516400000003</v>
      </c>
      <c r="G25" s="180">
        <v>9675.6143000000011</v>
      </c>
      <c r="H25" s="180">
        <v>24249.238949999999</v>
      </c>
      <c r="I25" s="180">
        <v>42109.964838</v>
      </c>
      <c r="J25" s="180">
        <v>54832.258948000002</v>
      </c>
      <c r="K25" s="180">
        <v>69680.848107999991</v>
      </c>
      <c r="L25" s="180">
        <v>85491.768060000002</v>
      </c>
      <c r="M25" s="180">
        <v>99432.095694999996</v>
      </c>
      <c r="N25" s="180">
        <v>52229.675210000001</v>
      </c>
      <c r="O25" s="178"/>
    </row>
    <row r="26" spans="1:15" x14ac:dyDescent="0.25">
      <c r="A26" s="35" t="s">
        <v>201</v>
      </c>
      <c r="B26" s="35" t="s">
        <v>15</v>
      </c>
      <c r="C26" s="14"/>
      <c r="D26" s="180">
        <v>1327.4679400000002</v>
      </c>
      <c r="E26" s="180">
        <v>8159.7489050000004</v>
      </c>
      <c r="F26" s="180">
        <v>12758.516665000001</v>
      </c>
      <c r="G26" s="180">
        <v>15309.94189</v>
      </c>
      <c r="H26" s="180">
        <v>22392.638360000001</v>
      </c>
      <c r="I26" s="180">
        <v>24808.302345</v>
      </c>
      <c r="J26" s="180">
        <v>25967.833429999999</v>
      </c>
      <c r="K26" s="180">
        <v>29616.747070000001</v>
      </c>
      <c r="L26" s="180">
        <v>29300.660839999997</v>
      </c>
      <c r="M26" s="180">
        <v>31920.795383333334</v>
      </c>
      <c r="N26" s="180">
        <v>19384.758691666666</v>
      </c>
      <c r="O26" s="178"/>
    </row>
    <row r="27" spans="1:15" x14ac:dyDescent="0.25">
      <c r="A27" s="35" t="s">
        <v>80</v>
      </c>
      <c r="B27" s="35" t="s">
        <v>15</v>
      </c>
      <c r="C27" s="14"/>
      <c r="D27" s="14"/>
      <c r="E27" s="14"/>
      <c r="F27" s="14"/>
      <c r="G27" s="14"/>
      <c r="H27" s="14"/>
      <c r="I27" s="14"/>
      <c r="J27" s="14"/>
      <c r="K27" s="14"/>
      <c r="L27" s="14"/>
      <c r="M27" s="14"/>
      <c r="N27" s="14"/>
      <c r="O27" s="178"/>
    </row>
    <row r="28" spans="1:15" x14ac:dyDescent="0.25">
      <c r="A28" s="35" t="s">
        <v>81</v>
      </c>
      <c r="B28" s="35" t="s">
        <v>15</v>
      </c>
      <c r="C28" s="14"/>
      <c r="D28" s="180">
        <v>294.29651000000001</v>
      </c>
      <c r="E28" s="180">
        <v>6169.68019</v>
      </c>
      <c r="F28" s="180">
        <v>13761.880069999999</v>
      </c>
      <c r="G28" s="180">
        <v>22433.78945</v>
      </c>
      <c r="H28" s="180">
        <v>30024.665409999998</v>
      </c>
      <c r="I28" s="180">
        <v>20935.204300000027</v>
      </c>
      <c r="J28" s="180">
        <v>-20062.01450999999</v>
      </c>
      <c r="K28" s="180">
        <v>25265.77598999998</v>
      </c>
      <c r="L28" s="180">
        <v>21287.190489999997</v>
      </c>
      <c r="M28" s="180">
        <v>40811.610180000011</v>
      </c>
      <c r="N28" s="180">
        <v>16425.546539999963</v>
      </c>
      <c r="O28" s="178"/>
    </row>
    <row r="29" spans="1:15" x14ac:dyDescent="0.25">
      <c r="A29" s="35" t="s">
        <v>209</v>
      </c>
      <c r="B29" s="35" t="s">
        <v>17</v>
      </c>
      <c r="C29" s="14"/>
      <c r="D29" s="164">
        <v>1</v>
      </c>
      <c r="E29" s="164">
        <v>1</v>
      </c>
      <c r="F29" s="164">
        <v>1</v>
      </c>
      <c r="G29" s="164">
        <v>1</v>
      </c>
      <c r="H29" s="164">
        <v>1</v>
      </c>
      <c r="I29" s="164">
        <v>1</v>
      </c>
      <c r="J29" s="164">
        <v>1</v>
      </c>
      <c r="K29" s="164">
        <v>1</v>
      </c>
      <c r="L29" s="164">
        <v>1</v>
      </c>
      <c r="M29" s="164">
        <v>1</v>
      </c>
      <c r="N29" s="164">
        <v>1</v>
      </c>
      <c r="O29" s="178"/>
    </row>
    <row r="30" spans="1:15" x14ac:dyDescent="0.25">
      <c r="A30" s="35" t="s">
        <v>210</v>
      </c>
      <c r="B30" s="35" t="s">
        <v>17</v>
      </c>
      <c r="C30" s="14"/>
      <c r="D30" s="164">
        <v>1</v>
      </c>
      <c r="E30" s="164">
        <v>1</v>
      </c>
      <c r="F30" s="164">
        <v>1</v>
      </c>
      <c r="G30" s="164">
        <v>1</v>
      </c>
      <c r="H30" s="164">
        <v>1</v>
      </c>
      <c r="I30" s="164">
        <v>1</v>
      </c>
      <c r="J30" s="164">
        <v>1</v>
      </c>
      <c r="K30" s="164">
        <v>1</v>
      </c>
      <c r="L30" s="164">
        <v>1</v>
      </c>
      <c r="M30" s="164">
        <v>1</v>
      </c>
      <c r="N30" s="164">
        <v>1</v>
      </c>
      <c r="O30" s="178"/>
    </row>
    <row r="31" spans="1:15" x14ac:dyDescent="0.25">
      <c r="A31" s="35"/>
      <c r="B31" s="35"/>
      <c r="C31" s="35"/>
      <c r="D31" s="14"/>
      <c r="E31" s="14"/>
      <c r="F31" s="14"/>
      <c r="G31" s="14"/>
      <c r="H31" s="14"/>
      <c r="I31" s="14"/>
      <c r="J31" s="14"/>
      <c r="K31" s="14"/>
      <c r="L31" s="14"/>
      <c r="M31" s="14"/>
      <c r="N31" s="14"/>
      <c r="O31" s="178"/>
    </row>
    <row r="32" spans="1:15" ht="18.75" x14ac:dyDescent="0.3">
      <c r="A32" s="33" t="s">
        <v>119</v>
      </c>
      <c r="O32" s="178"/>
    </row>
    <row r="33" spans="1:15" x14ac:dyDescent="0.25">
      <c r="A33" s="102" t="s">
        <v>163</v>
      </c>
      <c r="B33" s="35" t="s">
        <v>15</v>
      </c>
      <c r="C33" s="14">
        <v>0</v>
      </c>
      <c r="D33" s="180">
        <v>21591.164000000001</v>
      </c>
      <c r="E33" s="180">
        <v>53712.439908000008</v>
      </c>
      <c r="F33" s="180">
        <v>43798.564149999977</v>
      </c>
      <c r="G33" s="180">
        <v>52569.838492999988</v>
      </c>
      <c r="H33" s="180">
        <v>25561.126</v>
      </c>
      <c r="I33" s="180">
        <v>0</v>
      </c>
      <c r="J33" s="180">
        <v>0</v>
      </c>
      <c r="K33" s="180">
        <v>0</v>
      </c>
      <c r="L33" s="180">
        <v>0</v>
      </c>
      <c r="M33" s="180">
        <v>0</v>
      </c>
      <c r="N33" s="180">
        <v>0</v>
      </c>
      <c r="O33" s="178"/>
    </row>
    <row r="34" spans="1:15" x14ac:dyDescent="0.25">
      <c r="A34" s="102" t="s">
        <v>60</v>
      </c>
      <c r="B34" s="35" t="s">
        <v>15</v>
      </c>
      <c r="C34" s="35"/>
      <c r="D34" s="180">
        <v>0</v>
      </c>
      <c r="E34" s="180">
        <v>579.04220000000294</v>
      </c>
      <c r="F34" s="180">
        <v>2536.3834200000019</v>
      </c>
      <c r="G34" s="180">
        <v>17003.491379999996</v>
      </c>
      <c r="H34" s="180">
        <v>36085.686000000002</v>
      </c>
      <c r="I34" s="180">
        <v>141028.52955099996</v>
      </c>
      <c r="J34" s="180">
        <v>0</v>
      </c>
      <c r="K34" s="180">
        <v>0</v>
      </c>
      <c r="L34" s="180">
        <v>0</v>
      </c>
      <c r="M34" s="180">
        <v>0</v>
      </c>
      <c r="N34" s="180">
        <v>0</v>
      </c>
      <c r="O34" s="178"/>
    </row>
    <row r="35" spans="1:15" x14ac:dyDescent="0.25">
      <c r="A35" s="102" t="s">
        <v>202</v>
      </c>
      <c r="B35" s="32" t="s">
        <v>17</v>
      </c>
      <c r="C35" s="59"/>
      <c r="D35" s="181">
        <v>0.5</v>
      </c>
      <c r="E35" s="181">
        <v>0.5</v>
      </c>
      <c r="F35" s="181">
        <v>0.5</v>
      </c>
      <c r="G35" s="181">
        <v>0.5</v>
      </c>
      <c r="H35" s="181">
        <v>0.5</v>
      </c>
      <c r="I35" s="181">
        <v>0.5</v>
      </c>
      <c r="J35" s="181">
        <v>0.5</v>
      </c>
      <c r="K35" s="181">
        <v>0.5</v>
      </c>
      <c r="L35" s="181">
        <v>0.5</v>
      </c>
      <c r="M35" s="181">
        <v>0.5</v>
      </c>
      <c r="N35" s="181">
        <v>0.5</v>
      </c>
      <c r="O35" s="178"/>
    </row>
    <row r="36" spans="1:15" x14ac:dyDescent="0.25">
      <c r="A36" s="102"/>
      <c r="B36" s="59"/>
      <c r="C36" s="59"/>
      <c r="D36" s="92"/>
      <c r="E36" s="92"/>
      <c r="F36" s="92"/>
      <c r="G36" s="92"/>
      <c r="H36" s="92"/>
      <c r="I36" s="92"/>
      <c r="J36" s="92"/>
      <c r="K36" s="92"/>
      <c r="L36" s="92"/>
      <c r="M36" s="92"/>
      <c r="N36" s="92"/>
      <c r="O36" s="178"/>
    </row>
    <row r="38" spans="1:15" x14ac:dyDescent="0.25">
      <c r="D38" s="20"/>
      <c r="E38" s="20"/>
      <c r="F38" s="20"/>
      <c r="G38" s="20"/>
      <c r="H38" s="20"/>
      <c r="I38" s="20"/>
      <c r="O38"/>
    </row>
    <row r="39" spans="1:15" s="179" customFormat="1" x14ac:dyDescent="0.25">
      <c r="A39"/>
      <c r="B39"/>
      <c r="C39"/>
      <c r="D39"/>
      <c r="E39"/>
      <c r="F39"/>
      <c r="G39"/>
      <c r="H39"/>
      <c r="I39"/>
      <c r="J39"/>
      <c r="K39"/>
      <c r="L39"/>
      <c r="M39"/>
      <c r="N39"/>
      <c r="O39"/>
    </row>
    <row r="40" spans="1:15" s="179" customFormat="1" x14ac:dyDescent="0.25">
      <c r="A40"/>
      <c r="B40"/>
      <c r="C40"/>
      <c r="D40"/>
      <c r="E40"/>
      <c r="F40"/>
      <c r="G40"/>
      <c r="H40"/>
      <c r="I40"/>
      <c r="J40"/>
      <c r="K40"/>
      <c r="L40"/>
      <c r="M40"/>
      <c r="N40"/>
      <c r="O40"/>
    </row>
    <row r="41" spans="1:15" s="179" customFormat="1" x14ac:dyDescent="0.25">
      <c r="A41"/>
      <c r="B41"/>
      <c r="C41"/>
      <c r="D41"/>
      <c r="E41"/>
      <c r="F41"/>
      <c r="G41"/>
      <c r="H41"/>
      <c r="I41"/>
      <c r="J41"/>
      <c r="K41"/>
      <c r="L41"/>
      <c r="M41"/>
      <c r="N41"/>
      <c r="O41"/>
    </row>
    <row r="42" spans="1:15" s="179" customFormat="1" x14ac:dyDescent="0.25">
      <c r="A42"/>
      <c r="B42"/>
      <c r="C42"/>
      <c r="D42"/>
      <c r="E42"/>
      <c r="F42"/>
      <c r="G42"/>
      <c r="H42"/>
      <c r="I42"/>
      <c r="J42"/>
      <c r="K42"/>
      <c r="L42"/>
      <c r="M42"/>
      <c r="N42"/>
      <c r="O42"/>
    </row>
    <row r="43" spans="1:15" s="179" customFormat="1" x14ac:dyDescent="0.25">
      <c r="A43"/>
      <c r="B43"/>
      <c r="C43"/>
      <c r="D43"/>
      <c r="E43"/>
      <c r="F43"/>
      <c r="G43"/>
      <c r="H43"/>
      <c r="I43"/>
      <c r="J43"/>
      <c r="K43"/>
      <c r="L43"/>
      <c r="M43"/>
      <c r="N43"/>
      <c r="O43"/>
    </row>
    <row r="44" spans="1:15" s="179" customFormat="1" x14ac:dyDescent="0.25">
      <c r="A44"/>
      <c r="B44"/>
      <c r="C44"/>
      <c r="D44"/>
      <c r="E44"/>
      <c r="F44"/>
      <c r="G44"/>
      <c r="H44"/>
      <c r="I44"/>
      <c r="J44"/>
      <c r="K44"/>
      <c r="L44"/>
      <c r="M44"/>
      <c r="N44"/>
      <c r="O44"/>
    </row>
    <row r="45" spans="1:15" s="179" customFormat="1" x14ac:dyDescent="0.25">
      <c r="A45"/>
      <c r="B45"/>
      <c r="C45"/>
      <c r="D45"/>
      <c r="E45"/>
      <c r="F45"/>
      <c r="G45"/>
      <c r="H45"/>
      <c r="I45"/>
      <c r="J45"/>
      <c r="K45"/>
      <c r="L45"/>
      <c r="M45"/>
      <c r="N45"/>
      <c r="O45"/>
    </row>
    <row r="46" spans="1:15" s="179" customFormat="1" x14ac:dyDescent="0.25">
      <c r="A46"/>
      <c r="B46"/>
      <c r="C46"/>
      <c r="D46"/>
      <c r="E46"/>
      <c r="F46"/>
      <c r="G46"/>
    </row>
    <row r="47" spans="1:15" x14ac:dyDescent="0.25">
      <c r="A47"/>
    </row>
    <row r="48" spans="1:15" x14ac:dyDescent="0.25">
      <c r="A48"/>
    </row>
  </sheetData>
  <mergeCells count="1">
    <mergeCell ref="O4:Q5"/>
  </mergeCells>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C109"/>
  <sheetViews>
    <sheetView showGridLines="0" zoomScale="120" zoomScaleNormal="120" zoomScaleSheetLayoutView="120" workbookViewId="0">
      <pane xSplit="1" ySplit="6" topLeftCell="J32" activePane="bottomRight" state="frozen"/>
      <selection pane="topRight" activeCell="B1" sqref="B1"/>
      <selection pane="bottomLeft" activeCell="A7" sqref="A7"/>
      <selection pane="bottomRight" activeCell="L18" sqref="L18"/>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211</v>
      </c>
      <c r="B1" s="176" t="s">
        <v>213</v>
      </c>
      <c r="D1" s="37"/>
      <c r="E1" s="37"/>
      <c r="F1" s="37"/>
      <c r="G1" s="37"/>
      <c r="H1" s="37"/>
      <c r="I1" s="37"/>
      <c r="J1" s="37"/>
      <c r="K1" s="37"/>
      <c r="L1" s="38"/>
      <c r="M1" s="38"/>
      <c r="N1" s="38"/>
      <c r="O1" s="38"/>
    </row>
    <row r="2" spans="1:29" x14ac:dyDescent="0.25">
      <c r="D2" s="37"/>
      <c r="E2" s="37"/>
      <c r="F2" s="37"/>
      <c r="G2" s="37"/>
      <c r="H2" s="37"/>
      <c r="I2" s="37"/>
      <c r="J2" s="37"/>
      <c r="K2" s="37"/>
      <c r="L2" s="37"/>
      <c r="M2" s="37"/>
      <c r="N2" s="37"/>
      <c r="O2" s="37"/>
    </row>
    <row r="3" spans="1:29" x14ac:dyDescent="0.25">
      <c r="A3" s="64"/>
      <c r="D3" s="37"/>
      <c r="E3" s="37"/>
      <c r="F3" s="37"/>
      <c r="G3" s="37"/>
      <c r="H3" s="37"/>
      <c r="I3" s="37"/>
      <c r="J3" s="37"/>
      <c r="K3" s="37"/>
      <c r="L3" s="37"/>
      <c r="M3" s="37"/>
      <c r="N3" s="37"/>
      <c r="O3" s="37"/>
    </row>
    <row r="4" spans="1:29" x14ac:dyDescent="0.25">
      <c r="A4" s="64"/>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62">
        <f>'LFC inputs'!D7</f>
        <v>26.556290000000001</v>
      </c>
      <c r="E7" s="162">
        <f>'LFC inputs'!E7</f>
        <v>453.41291999999999</v>
      </c>
      <c r="F7" s="162">
        <f>'LFC inputs'!F7</f>
        <v>2566.1678099999999</v>
      </c>
      <c r="G7" s="162">
        <f>'LFC inputs'!G7</f>
        <v>8329.7640800000008</v>
      </c>
      <c r="H7" s="162">
        <f>'LFC inputs'!H7</f>
        <v>21610.296129999999</v>
      </c>
      <c r="I7" s="162">
        <f>'LFC inputs'!I7</f>
        <v>38868.445209999998</v>
      </c>
      <c r="J7" s="162">
        <f>'LFC inputs'!J7</f>
        <v>52728.780570000003</v>
      </c>
      <c r="K7" s="162">
        <f>'LFC inputs'!K7</f>
        <v>67063.193889999995</v>
      </c>
      <c r="L7" s="162">
        <f>'LFC inputs'!L7</f>
        <v>83043.122449999995</v>
      </c>
      <c r="M7" s="162">
        <f>'LFC inputs'!M7</f>
        <v>96889.203500000003</v>
      </c>
      <c r="N7" s="162">
        <f>'LFC inputs'!N7</f>
        <v>51005.197540000001</v>
      </c>
      <c r="O7" s="37"/>
    </row>
    <row r="8" spans="1:29" ht="26.25" x14ac:dyDescent="0.25">
      <c r="A8" s="35" t="s">
        <v>178</v>
      </c>
      <c r="B8" s="35" t="s">
        <v>15</v>
      </c>
      <c r="C8" s="162">
        <f>'LFC inputs'!C8</f>
        <v>0</v>
      </c>
      <c r="D8" s="14"/>
      <c r="E8" s="14"/>
      <c r="F8" s="14"/>
      <c r="G8" s="14"/>
      <c r="H8" s="14"/>
      <c r="I8" s="14"/>
      <c r="J8" s="14"/>
      <c r="K8" s="14"/>
      <c r="L8" s="14"/>
      <c r="M8" s="14"/>
      <c r="N8" s="14"/>
      <c r="O8" s="37"/>
    </row>
    <row r="9" spans="1:29" x14ac:dyDescent="0.25">
      <c r="A9" s="35" t="s">
        <v>179</v>
      </c>
      <c r="B9" s="35" t="s">
        <v>15</v>
      </c>
      <c r="C9" s="14"/>
      <c r="D9" s="162">
        <f>'LFC inputs'!D9</f>
        <v>0</v>
      </c>
      <c r="E9" s="162">
        <f>'LFC inputs'!E9</f>
        <v>0</v>
      </c>
      <c r="F9" s="162">
        <f>'LFC inputs'!F9</f>
        <v>0</v>
      </c>
      <c r="G9" s="162">
        <f>'LFC inputs'!G9</f>
        <v>0</v>
      </c>
      <c r="H9" s="162">
        <f>'LFC inputs'!H9</f>
        <v>0</v>
      </c>
      <c r="I9" s="162">
        <f>'LFC inputs'!I9</f>
        <v>0</v>
      </c>
      <c r="J9" s="162">
        <f>'LFC inputs'!J9</f>
        <v>0</v>
      </c>
      <c r="K9" s="162">
        <f>'LFC inputs'!K9</f>
        <v>0</v>
      </c>
      <c r="L9" s="162">
        <f>'LFC inputs'!L9</f>
        <v>0</v>
      </c>
      <c r="M9" s="162">
        <f>'LFC inputs'!M9</f>
        <v>0</v>
      </c>
      <c r="N9" s="162">
        <f>'LFC inputs'!N9</f>
        <v>0</v>
      </c>
      <c r="O9" s="37"/>
    </row>
    <row r="10" spans="1:29" x14ac:dyDescent="0.25">
      <c r="A10" s="35" t="s">
        <v>180</v>
      </c>
      <c r="B10" s="35" t="s">
        <v>15</v>
      </c>
      <c r="C10" s="162">
        <f>'LFC inputs'!C10</f>
        <v>1057.95234</v>
      </c>
      <c r="D10" s="14"/>
      <c r="E10" s="14"/>
      <c r="F10" s="14"/>
      <c r="G10" s="14"/>
      <c r="H10" s="14"/>
      <c r="I10" s="14"/>
      <c r="J10" s="14"/>
      <c r="K10" s="14"/>
      <c r="L10" s="14"/>
      <c r="M10" s="14"/>
      <c r="N10" s="14"/>
      <c r="O10" s="37"/>
    </row>
    <row r="11" spans="1:29" x14ac:dyDescent="0.25">
      <c r="A11" s="35" t="s">
        <v>198</v>
      </c>
      <c r="B11" s="35" t="s">
        <v>15</v>
      </c>
      <c r="C11" s="14"/>
      <c r="D11" s="162">
        <f>'LFC inputs'!D11</f>
        <v>21821.85815</v>
      </c>
      <c r="E11" s="162">
        <f>'LFC inputs'!E11</f>
        <v>67658.400109999944</v>
      </c>
      <c r="F11" s="162">
        <f>'LFC inputs'!F11</f>
        <v>55787.785080000169</v>
      </c>
      <c r="G11" s="162">
        <f>'LFC inputs'!G11</f>
        <v>74554.024309998451</v>
      </c>
      <c r="H11" s="162">
        <f>'LFC inputs'!H11</f>
        <v>78255.582749989946</v>
      </c>
      <c r="I11" s="162">
        <f>'LFC inputs'!I11</f>
        <v>104236.29303000245</v>
      </c>
      <c r="J11" s="162">
        <f>'LFC inputs'!J11</f>
        <v>47701.611070005878</v>
      </c>
      <c r="K11" s="162">
        <f>'LFC inputs'!K11</f>
        <v>91498.40410969709</v>
      </c>
      <c r="L11" s="162">
        <f>'LFC inputs'!L11</f>
        <v>85077.7088193253</v>
      </c>
      <c r="M11" s="162">
        <f>'LFC inputs'!M11</f>
        <v>44399.719847293374</v>
      </c>
      <c r="N11" s="162">
        <f>'LFC inputs'!N11</f>
        <v>17681.592660153015</v>
      </c>
      <c r="O11" s="37"/>
    </row>
    <row r="12" spans="1:29" x14ac:dyDescent="0.25">
      <c r="A12" s="35" t="s">
        <v>56</v>
      </c>
      <c r="B12" s="35" t="s">
        <v>15</v>
      </c>
      <c r="C12" s="14"/>
      <c r="D12" s="162">
        <f>('LFC inputs'!D14-'LFC inputs'!D13)*DCF!D47</f>
        <v>0</v>
      </c>
      <c r="E12" s="162">
        <f>('LFC inputs'!E14-'LFC inputs'!E13)*DCF!E47</f>
        <v>0</v>
      </c>
      <c r="F12" s="162">
        <f>('LFC inputs'!F14-'LFC inputs'!F13)*DCF!F47</f>
        <v>0</v>
      </c>
      <c r="G12" s="162">
        <f>('LFC inputs'!G14-'LFC inputs'!G13)*DCF!G47</f>
        <v>0</v>
      </c>
      <c r="H12" s="162">
        <f>('LFC inputs'!H14-'LFC inputs'!H13)*DCF!H47</f>
        <v>0</v>
      </c>
      <c r="I12" s="162">
        <f>('LFC inputs'!I14-'LFC inputs'!I13)*DCF!I47</f>
        <v>0</v>
      </c>
      <c r="J12" s="162">
        <f>('LFC inputs'!J14-'LFC inputs'!J13)*DCF!J47</f>
        <v>0</v>
      </c>
      <c r="K12" s="162">
        <f>('LFC inputs'!K14-'LFC inputs'!K13)*DCF!K47</f>
        <v>0</v>
      </c>
      <c r="L12" s="162">
        <f>('LFC inputs'!L14-'LFC inputs'!L13)*DCF!L47</f>
        <v>0</v>
      </c>
      <c r="M12" s="162">
        <f>('LFC inputs'!M14-'LFC inputs'!M13)*DCF!M47</f>
        <v>0</v>
      </c>
      <c r="N12" s="162">
        <f>('LFC inputs'!N14-'LFC inputs'!N13)*DCF!N47</f>
        <v>0</v>
      </c>
      <c r="O12" s="37"/>
    </row>
    <row r="13" spans="1:29" x14ac:dyDescent="0.25">
      <c r="A13" s="103" t="s">
        <v>57</v>
      </c>
      <c r="B13" s="35" t="s">
        <v>15</v>
      </c>
      <c r="C13" s="14"/>
      <c r="D13" s="162">
        <f>'LFC inputs'!D12</f>
        <v>1351.5248200000001</v>
      </c>
      <c r="E13" s="162">
        <f>'LFC inputs'!E12</f>
        <v>6979.6552300000003</v>
      </c>
      <c r="F13" s="162">
        <f>'LFC inputs'!F12</f>
        <v>11858.16049</v>
      </c>
      <c r="G13" s="162">
        <f>'LFC inputs'!G12</f>
        <v>13653.57669</v>
      </c>
      <c r="H13" s="162">
        <f>'LFC inputs'!H12</f>
        <v>18101.736870000001</v>
      </c>
      <c r="I13" s="162">
        <f>'LFC inputs'!I12</f>
        <v>23069.52074</v>
      </c>
      <c r="J13" s="162">
        <f>'LFC inputs'!J12</f>
        <v>23788.089400000001</v>
      </c>
      <c r="K13" s="162">
        <f>'LFC inputs'!K12</f>
        <v>25932.407190000002</v>
      </c>
      <c r="L13" s="162">
        <f>'LFC inputs'!L12</f>
        <v>28182.756659999999</v>
      </c>
      <c r="M13" s="162">
        <f>'LFC inputs'!M12</f>
        <v>31224.263480000001</v>
      </c>
      <c r="N13" s="162">
        <f>'LFC inputs'!N12</f>
        <v>18931.197219999998</v>
      </c>
      <c r="O13" s="37"/>
    </row>
    <row r="14" spans="1:29" x14ac:dyDescent="0.25">
      <c r="A14" s="23"/>
      <c r="B14" s="42"/>
      <c r="C14" s="91"/>
      <c r="O14" s="37"/>
    </row>
    <row r="15" spans="1:29" ht="18.75" x14ac:dyDescent="0.3">
      <c r="A15" s="28" t="s">
        <v>169</v>
      </c>
      <c r="B15" s="36"/>
      <c r="C15" s="36"/>
      <c r="D15" s="36"/>
      <c r="E15" s="36"/>
      <c r="F15" s="36"/>
      <c r="G15" s="36"/>
      <c r="H15" s="36"/>
      <c r="I15" s="36"/>
      <c r="J15" s="36"/>
      <c r="K15" s="36"/>
      <c r="O15" s="37"/>
    </row>
    <row r="16" spans="1:29" x14ac:dyDescent="0.25">
      <c r="A16" s="35" t="s">
        <v>83</v>
      </c>
      <c r="B16" s="35" t="s">
        <v>15</v>
      </c>
      <c r="C16" s="14"/>
      <c r="D16" s="162">
        <f>'LFC inputs'!D17</f>
        <v>0</v>
      </c>
      <c r="E16" s="162">
        <f>'LFC inputs'!E17</f>
        <v>0</v>
      </c>
      <c r="F16" s="162">
        <f>'LFC inputs'!F17</f>
        <v>0</v>
      </c>
      <c r="G16" s="162">
        <f>'LFC inputs'!G17</f>
        <v>0</v>
      </c>
      <c r="H16" s="162">
        <f>'LFC inputs'!H17</f>
        <v>0</v>
      </c>
      <c r="I16" s="162">
        <f>'LFC inputs'!I17</f>
        <v>0</v>
      </c>
      <c r="J16" s="162">
        <f>'LFC inputs'!J17</f>
        <v>0</v>
      </c>
      <c r="K16" s="162">
        <f>'LFC inputs'!K17</f>
        <v>0</v>
      </c>
      <c r="L16" s="162">
        <f>'LFC inputs'!L17</f>
        <v>0</v>
      </c>
      <c r="M16" s="162">
        <f>'LFC inputs'!M17</f>
        <v>0</v>
      </c>
      <c r="N16" s="162">
        <f>'LFC inputs'!N17</f>
        <v>0</v>
      </c>
      <c r="O16" s="37"/>
    </row>
    <row r="17" spans="1:15" x14ac:dyDescent="0.25">
      <c r="A17" s="35" t="s">
        <v>69</v>
      </c>
      <c r="B17" s="35" t="s">
        <v>15</v>
      </c>
      <c r="C17" s="14"/>
      <c r="D17" s="162">
        <f>'LFC inputs'!D18</f>
        <v>213.61006999999998</v>
      </c>
      <c r="E17" s="162">
        <f>'LFC inputs'!E18</f>
        <v>2702.2073299999993</v>
      </c>
      <c r="F17" s="162">
        <f>'LFC inputs'!F18</f>
        <v>4962.2337200000084</v>
      </c>
      <c r="G17" s="162">
        <f>'LFC inputs'!G18</f>
        <v>7721.4352699999336</v>
      </c>
      <c r="H17" s="162">
        <f>'LFC inputs'!H18</f>
        <v>11908.040249998949</v>
      </c>
      <c r="I17" s="162">
        <f>'LFC inputs'!I18</f>
        <v>16440.877469998952</v>
      </c>
      <c r="J17" s="162">
        <f>'LFC inputs'!J18</f>
        <v>19101.822690002129</v>
      </c>
      <c r="K17" s="162">
        <f>'LFC inputs'!K18</f>
        <v>20813.847489999211</v>
      </c>
      <c r="L17" s="162">
        <f>'LFC inputs'!L18</f>
        <v>25909.003210004568</v>
      </c>
      <c r="M17" s="162">
        <f>'LFC inputs'!M18</f>
        <v>26528.31360000405</v>
      </c>
      <c r="N17" s="162">
        <f>'LFC inputs'!N18</f>
        <v>14199.683609986043</v>
      </c>
      <c r="O17" s="37"/>
    </row>
    <row r="18" spans="1:15" x14ac:dyDescent="0.25">
      <c r="O18" s="37"/>
    </row>
    <row r="19" spans="1:15" ht="18.75" x14ac:dyDescent="0.3">
      <c r="A19" s="28" t="s">
        <v>168</v>
      </c>
      <c r="O19" s="37"/>
    </row>
    <row r="20" spans="1:15" x14ac:dyDescent="0.25">
      <c r="A20" s="35" t="s">
        <v>182</v>
      </c>
      <c r="B20" s="35" t="s">
        <v>15</v>
      </c>
      <c r="C20" s="162">
        <f>'LFC inputs'!C21</f>
        <v>0</v>
      </c>
      <c r="D20" s="14"/>
      <c r="E20" s="14"/>
      <c r="F20" s="14"/>
      <c r="G20" s="14"/>
      <c r="H20" s="14"/>
      <c r="I20" s="14"/>
      <c r="J20" s="14"/>
      <c r="K20" s="14"/>
      <c r="L20" s="14"/>
      <c r="M20" s="14"/>
      <c r="N20" s="14"/>
      <c r="O20" s="37"/>
    </row>
    <row r="21" spans="1:15" x14ac:dyDescent="0.25">
      <c r="A21" s="35" t="s">
        <v>181</v>
      </c>
      <c r="B21" s="35" t="s">
        <v>15</v>
      </c>
      <c r="C21" s="162">
        <f>'LFC inputs'!C22</f>
        <v>55.647300000000001</v>
      </c>
      <c r="D21" s="14"/>
      <c r="E21" s="14"/>
      <c r="F21" s="14"/>
      <c r="G21" s="14"/>
      <c r="H21" s="14"/>
      <c r="I21" s="14"/>
      <c r="J21" s="14"/>
      <c r="K21" s="14"/>
      <c r="L21" s="14"/>
      <c r="M21" s="14"/>
      <c r="N21" s="14"/>
      <c r="O21" s="37"/>
    </row>
    <row r="22" spans="1:15" x14ac:dyDescent="0.25">
      <c r="A22" s="35" t="s">
        <v>197</v>
      </c>
      <c r="B22" s="35" t="s">
        <v>15</v>
      </c>
      <c r="C22" s="14"/>
      <c r="D22" s="162">
        <f>'LFC inputs'!D23</f>
        <v>0</v>
      </c>
      <c r="E22" s="162">
        <f>'LFC inputs'!E23</f>
        <v>0</v>
      </c>
      <c r="F22" s="162">
        <f>'LFC inputs'!F23</f>
        <v>0</v>
      </c>
      <c r="G22" s="162">
        <f>'LFC inputs'!G23</f>
        <v>0</v>
      </c>
      <c r="H22" s="162">
        <f>'LFC inputs'!H23</f>
        <v>0</v>
      </c>
      <c r="I22" s="162">
        <f>'LFC inputs'!I23</f>
        <v>0</v>
      </c>
      <c r="J22" s="162">
        <f>'LFC inputs'!J23</f>
        <v>0</v>
      </c>
      <c r="K22" s="162">
        <f>'LFC inputs'!K23</f>
        <v>0</v>
      </c>
      <c r="L22" s="162">
        <f>'LFC inputs'!L23</f>
        <v>0</v>
      </c>
      <c r="M22" s="162">
        <f>'LFC inputs'!M23</f>
        <v>0</v>
      </c>
      <c r="N22" s="162">
        <f>'LFC inputs'!N23</f>
        <v>0</v>
      </c>
      <c r="O22" s="37"/>
    </row>
    <row r="23" spans="1:15" x14ac:dyDescent="0.25">
      <c r="A23" s="35" t="s">
        <v>199</v>
      </c>
      <c r="B23" s="35" t="s">
        <v>15</v>
      </c>
      <c r="C23" s="14"/>
      <c r="D23" s="162">
        <f>'LFC inputs'!D24</f>
        <v>21647.13493</v>
      </c>
      <c r="E23" s="162">
        <f>'LFC inputs'!E24</f>
        <v>54818.26496</v>
      </c>
      <c r="F23" s="162">
        <f>'LFC inputs'!F24</f>
        <v>58083.11318</v>
      </c>
      <c r="G23" s="162">
        <f>'LFC inputs'!G24</f>
        <v>77476.762559999988</v>
      </c>
      <c r="H23" s="162">
        <f>'LFC inputs'!H24</f>
        <v>73456.293699999995</v>
      </c>
      <c r="I23" s="162">
        <f>'LFC inputs'!I24</f>
        <v>15303.258219999969</v>
      </c>
      <c r="J23" s="162">
        <f>'LFC inputs'!J24</f>
        <v>148057.45971000011</v>
      </c>
      <c r="K23" s="162">
        <f>'LFC inputs'!K24</f>
        <v>67797.890209999925</v>
      </c>
      <c r="L23" s="162">
        <f>'LFC inputs'!L24</f>
        <v>103195.01507000011</v>
      </c>
      <c r="M23" s="162">
        <f>'LFC inputs'!M24</f>
        <v>57569.572089999892</v>
      </c>
      <c r="N23" s="162">
        <f>'LFC inputs'!N24</f>
        <v>25190.897089999915</v>
      </c>
      <c r="O23" s="37"/>
    </row>
    <row r="24" spans="1:15" x14ac:dyDescent="0.25">
      <c r="A24" s="35" t="s">
        <v>200</v>
      </c>
      <c r="B24" s="35" t="s">
        <v>15</v>
      </c>
      <c r="C24" s="14"/>
      <c r="D24" s="162">
        <f>'LFC inputs'!D25</f>
        <v>35.596730000000001</v>
      </c>
      <c r="E24" s="162">
        <f>'LFC inputs'!E25</f>
        <v>2083.924</v>
      </c>
      <c r="F24" s="162">
        <f>'LFC inputs'!F25</f>
        <v>3772.3516400000003</v>
      </c>
      <c r="G24" s="162">
        <f>'LFC inputs'!G25</f>
        <v>9675.6143000000011</v>
      </c>
      <c r="H24" s="162">
        <f>'LFC inputs'!H25</f>
        <v>24249.238949999999</v>
      </c>
      <c r="I24" s="162">
        <f>'LFC inputs'!I25</f>
        <v>42109.964838</v>
      </c>
      <c r="J24" s="162">
        <f>'LFC inputs'!J25</f>
        <v>54832.258948000002</v>
      </c>
      <c r="K24" s="162">
        <f>'LFC inputs'!K25</f>
        <v>69680.848107999991</v>
      </c>
      <c r="L24" s="162">
        <f>'LFC inputs'!L25</f>
        <v>85491.768060000002</v>
      </c>
      <c r="M24" s="162">
        <f>'LFC inputs'!M25</f>
        <v>99432.095694999996</v>
      </c>
      <c r="N24" s="162">
        <f>'LFC inputs'!N25</f>
        <v>52229.675210000001</v>
      </c>
      <c r="O24" s="37"/>
    </row>
    <row r="25" spans="1:15" x14ac:dyDescent="0.25">
      <c r="A25" s="35" t="s">
        <v>201</v>
      </c>
      <c r="B25" s="35" t="s">
        <v>15</v>
      </c>
      <c r="C25" s="14"/>
      <c r="D25" s="162">
        <f>'LFC inputs'!D26</f>
        <v>1327.4679400000002</v>
      </c>
      <c r="E25" s="162">
        <f>'LFC inputs'!E26</f>
        <v>8159.7489050000004</v>
      </c>
      <c r="F25" s="162">
        <f>'LFC inputs'!F26</f>
        <v>12758.516665000001</v>
      </c>
      <c r="G25" s="162">
        <f>'LFC inputs'!G26</f>
        <v>15309.94189</v>
      </c>
      <c r="H25" s="162">
        <f>'LFC inputs'!H26</f>
        <v>22392.638360000001</v>
      </c>
      <c r="I25" s="162">
        <f>'LFC inputs'!I26</f>
        <v>24808.302345</v>
      </c>
      <c r="J25" s="162">
        <f>'LFC inputs'!J26</f>
        <v>25967.833429999999</v>
      </c>
      <c r="K25" s="162">
        <f>'LFC inputs'!K26</f>
        <v>29616.747070000001</v>
      </c>
      <c r="L25" s="162">
        <f>'LFC inputs'!L26</f>
        <v>29300.660839999997</v>
      </c>
      <c r="M25" s="162">
        <f>'LFC inputs'!M26</f>
        <v>31920.795383333334</v>
      </c>
      <c r="N25" s="162">
        <f>'LFC inputs'!N26</f>
        <v>19384.758691666666</v>
      </c>
      <c r="O25" s="37"/>
    </row>
    <row r="26" spans="1:15" x14ac:dyDescent="0.25">
      <c r="A26" s="35" t="s">
        <v>80</v>
      </c>
      <c r="B26" s="35" t="s">
        <v>15</v>
      </c>
      <c r="C26" s="14"/>
      <c r="D26" s="162">
        <f>'LFC inputs'!D27</f>
        <v>0</v>
      </c>
      <c r="E26" s="162">
        <f>'LFC inputs'!E27</f>
        <v>0</v>
      </c>
      <c r="F26" s="162">
        <f>'LFC inputs'!F27</f>
        <v>0</v>
      </c>
      <c r="G26" s="162">
        <f>'LFC inputs'!G27</f>
        <v>0</v>
      </c>
      <c r="H26" s="162">
        <f>'LFC inputs'!H27</f>
        <v>0</v>
      </c>
      <c r="I26" s="162">
        <f>'LFC inputs'!I27</f>
        <v>0</v>
      </c>
      <c r="J26" s="162">
        <f>'LFC inputs'!J27</f>
        <v>0</v>
      </c>
      <c r="K26" s="162">
        <f>'LFC inputs'!K27</f>
        <v>0</v>
      </c>
      <c r="L26" s="162">
        <f>'LFC inputs'!L27</f>
        <v>0</v>
      </c>
      <c r="M26" s="162">
        <f>'LFC inputs'!M27</f>
        <v>0</v>
      </c>
      <c r="N26" s="162">
        <f>'LFC inputs'!N27</f>
        <v>0</v>
      </c>
      <c r="O26" s="37"/>
    </row>
    <row r="27" spans="1:15" x14ac:dyDescent="0.25">
      <c r="A27" s="35" t="s">
        <v>81</v>
      </c>
      <c r="B27" s="35" t="s">
        <v>15</v>
      </c>
      <c r="C27" s="14"/>
      <c r="D27" s="162">
        <f>'LFC inputs'!D28</f>
        <v>294.29651000000001</v>
      </c>
      <c r="E27" s="162">
        <f>'LFC inputs'!E28</f>
        <v>6169.68019</v>
      </c>
      <c r="F27" s="162">
        <f>'LFC inputs'!F28</f>
        <v>13761.880069999999</v>
      </c>
      <c r="G27" s="162">
        <f>'LFC inputs'!G28</f>
        <v>22433.78945</v>
      </c>
      <c r="H27" s="162">
        <f>'LFC inputs'!H28</f>
        <v>30024.665409999998</v>
      </c>
      <c r="I27" s="162">
        <f>'LFC inputs'!I28</f>
        <v>20935.204300000027</v>
      </c>
      <c r="J27" s="162">
        <f>'LFC inputs'!J28</f>
        <v>-20062.01450999999</v>
      </c>
      <c r="K27" s="162">
        <f>'LFC inputs'!K28</f>
        <v>25265.77598999998</v>
      </c>
      <c r="L27" s="162">
        <f>'LFC inputs'!L28</f>
        <v>21287.190489999997</v>
      </c>
      <c r="M27" s="162">
        <f>'LFC inputs'!M28</f>
        <v>40811.610180000011</v>
      </c>
      <c r="N27" s="162">
        <f>'LFC inputs'!N28</f>
        <v>16425.546539999963</v>
      </c>
      <c r="O27" s="37"/>
    </row>
    <row r="28" spans="1:15" x14ac:dyDescent="0.25">
      <c r="A28" s="35" t="s">
        <v>138</v>
      </c>
      <c r="B28" s="35" t="s">
        <v>15</v>
      </c>
      <c r="D28" s="162">
        <f>('LFC inputs'!D30-'LFC inputs'!D29)*DCF!D109</f>
        <v>0</v>
      </c>
      <c r="E28" s="162">
        <f>('LFC inputs'!E30-'LFC inputs'!E29)*DCF!E109</f>
        <v>0</v>
      </c>
      <c r="F28" s="162">
        <f>('LFC inputs'!F30-'LFC inputs'!F29)*DCF!F109</f>
        <v>0</v>
      </c>
      <c r="G28" s="162">
        <f>('LFC inputs'!G30-'LFC inputs'!G29)*DCF!G109</f>
        <v>0</v>
      </c>
      <c r="H28" s="162">
        <f>('LFC inputs'!H30-'LFC inputs'!H29)*DCF!H109</f>
        <v>0</v>
      </c>
      <c r="I28" s="162">
        <f>('LFC inputs'!I30-'LFC inputs'!I29)*DCF!I109</f>
        <v>0</v>
      </c>
      <c r="J28" s="162">
        <f>('LFC inputs'!J30-'LFC inputs'!J29)*DCF!J109</f>
        <v>0</v>
      </c>
      <c r="K28" s="162">
        <f>('LFC inputs'!K30-'LFC inputs'!K29)*DCF!K109</f>
        <v>0</v>
      </c>
      <c r="L28" s="162">
        <f>('LFC inputs'!L30-'LFC inputs'!L29)*DCF!L109</f>
        <v>0</v>
      </c>
      <c r="M28" s="162">
        <f>('LFC inputs'!M30-'LFC inputs'!M29)*DCF!M109</f>
        <v>0</v>
      </c>
      <c r="N28" s="162">
        <f>('LFC inputs'!N30-'LFC inputs'!N29)*DCF!N109</f>
        <v>0</v>
      </c>
      <c r="O28" s="37"/>
    </row>
    <row r="29" spans="1:15" x14ac:dyDescent="0.25">
      <c r="A29" s="35" t="s">
        <v>25</v>
      </c>
      <c r="B29" s="15" t="s">
        <v>17</v>
      </c>
      <c r="C29" s="166">
        <v>0.28000000000000003</v>
      </c>
      <c r="D29" s="167">
        <v>0.28000000000000003</v>
      </c>
      <c r="E29" s="167">
        <v>0.28000000000000003</v>
      </c>
      <c r="F29" s="167">
        <v>0.28000000000000003</v>
      </c>
      <c r="G29" s="167">
        <v>0.28000000000000003</v>
      </c>
      <c r="H29" s="167">
        <v>0.28000000000000003</v>
      </c>
      <c r="I29" s="167">
        <v>0.28000000000000003</v>
      </c>
      <c r="J29" s="167">
        <v>0.28000000000000003</v>
      </c>
      <c r="K29" s="167">
        <v>0.28000000000000003</v>
      </c>
      <c r="L29" s="167">
        <v>0.28000000000000003</v>
      </c>
      <c r="M29" s="167">
        <v>0.28000000000000003</v>
      </c>
      <c r="N29" s="167">
        <v>0.28000000000000003</v>
      </c>
      <c r="O29" s="37"/>
    </row>
    <row r="30" spans="1:15" x14ac:dyDescent="0.25">
      <c r="O30" s="37"/>
    </row>
    <row r="31" spans="1:15" ht="21" x14ac:dyDescent="0.35">
      <c r="A31" s="40" t="s">
        <v>164</v>
      </c>
      <c r="C31" s="63"/>
      <c r="D31" s="63"/>
      <c r="E31" s="63"/>
      <c r="F31" s="63"/>
      <c r="G31" s="63"/>
      <c r="H31" s="63"/>
      <c r="I31" s="63"/>
      <c r="J31" s="63"/>
      <c r="K31" s="63"/>
      <c r="L31" s="63"/>
      <c r="M31" s="63"/>
      <c r="N31" s="63"/>
      <c r="O31" s="37"/>
    </row>
    <row r="32" spans="1:15" ht="18.75" x14ac:dyDescent="0.3">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x14ac:dyDescent="0.3">
      <c r="A33" s="33" t="s">
        <v>24</v>
      </c>
      <c r="O33" s="37"/>
    </row>
    <row r="34" spans="1:15" x14ac:dyDescent="0.25">
      <c r="A34" s="102" t="s">
        <v>183</v>
      </c>
      <c r="B34" s="39" t="s">
        <v>17</v>
      </c>
      <c r="C34" s="168">
        <v>3.4439355589869901E-2</v>
      </c>
      <c r="D34" s="168">
        <v>3.5926867547209723E-2</v>
      </c>
      <c r="E34" s="168">
        <v>2.9491233427637539E-2</v>
      </c>
      <c r="F34" s="168">
        <v>4.2810564262641598E-2</v>
      </c>
      <c r="G34" s="168">
        <v>3.7107340817272856E-2</v>
      </c>
      <c r="H34" s="168">
        <v>2.9666588558104414E-2</v>
      </c>
      <c r="I34" s="168">
        <v>2.7463493132139596E-2</v>
      </c>
      <c r="J34" s="168">
        <v>2.3080720370542783E-2</v>
      </c>
      <c r="K34" s="168">
        <v>2.0192888091034443E-2</v>
      </c>
      <c r="L34" s="168">
        <v>1.269775575319749E-2</v>
      </c>
      <c r="M34" s="168">
        <v>4.1481536760010857E-3</v>
      </c>
      <c r="N34" s="168">
        <v>1.552481461E-2</v>
      </c>
      <c r="O34" s="37"/>
    </row>
    <row r="35" spans="1:15" x14ac:dyDescent="0.25">
      <c r="A35" s="102" t="s">
        <v>4</v>
      </c>
      <c r="B35" s="39"/>
      <c r="C35" s="169">
        <v>0.5</v>
      </c>
      <c r="D35" s="169">
        <v>0.5</v>
      </c>
      <c r="E35" s="169">
        <v>0.5</v>
      </c>
      <c r="F35" s="169">
        <v>0.5</v>
      </c>
      <c r="G35" s="169">
        <v>0.5</v>
      </c>
      <c r="H35" s="169">
        <v>0.5</v>
      </c>
      <c r="I35" s="169">
        <v>0.5</v>
      </c>
      <c r="J35" s="169">
        <v>0.5</v>
      </c>
      <c r="K35" s="169">
        <v>0.5</v>
      </c>
      <c r="L35" s="169">
        <v>0.5</v>
      </c>
      <c r="M35" s="169">
        <v>0.5</v>
      </c>
      <c r="N35" s="169">
        <v>0.5</v>
      </c>
      <c r="O35" s="37"/>
    </row>
    <row r="36" spans="1:15" x14ac:dyDescent="0.25">
      <c r="A36" s="102" t="s">
        <v>5</v>
      </c>
      <c r="B36" s="16"/>
      <c r="C36" s="169">
        <v>0.7</v>
      </c>
      <c r="D36" s="169">
        <v>0.7</v>
      </c>
      <c r="E36" s="169">
        <v>0.7</v>
      </c>
      <c r="F36" s="169">
        <v>0.7</v>
      </c>
      <c r="G36" s="169">
        <v>0.7</v>
      </c>
      <c r="H36" s="169">
        <v>0.7</v>
      </c>
      <c r="I36" s="169">
        <v>0.7</v>
      </c>
      <c r="J36" s="169">
        <v>0.7</v>
      </c>
      <c r="K36" s="169">
        <v>0.7</v>
      </c>
      <c r="L36" s="169">
        <v>0.7</v>
      </c>
      <c r="M36" s="169">
        <v>0.7</v>
      </c>
      <c r="N36" s="169">
        <v>0.7</v>
      </c>
      <c r="O36" s="37"/>
    </row>
    <row r="37" spans="1:15" x14ac:dyDescent="0.25">
      <c r="A37" s="102" t="s">
        <v>6</v>
      </c>
      <c r="B37" s="39" t="s">
        <v>17</v>
      </c>
      <c r="C37" s="170">
        <v>7.0000000000000007E-2</v>
      </c>
      <c r="D37" s="170">
        <v>7.0000000000000007E-2</v>
      </c>
      <c r="E37" s="170">
        <v>7.0000000000000007E-2</v>
      </c>
      <c r="F37" s="170">
        <v>7.0000000000000007E-2</v>
      </c>
      <c r="G37" s="168">
        <v>7.0000000000000007E-2</v>
      </c>
      <c r="H37" s="168">
        <v>7.0000000000000007E-2</v>
      </c>
      <c r="I37" s="168">
        <v>7.0000000000000007E-2</v>
      </c>
      <c r="J37" s="168">
        <v>7.0000000000000007E-2</v>
      </c>
      <c r="K37" s="168">
        <v>7.0000000000000007E-2</v>
      </c>
      <c r="L37" s="168">
        <v>7.0000000000000007E-2</v>
      </c>
      <c r="M37" s="168">
        <v>7.3561643835616405E-2</v>
      </c>
      <c r="N37" s="168">
        <v>7.4999999999999997E-2</v>
      </c>
      <c r="O37" s="37"/>
    </row>
    <row r="38" spans="1:15" x14ac:dyDescent="0.25">
      <c r="A38" s="155" t="s">
        <v>7</v>
      </c>
      <c r="B38" s="57" t="s">
        <v>17</v>
      </c>
      <c r="C38" s="171">
        <v>0.28000000000000003</v>
      </c>
      <c r="D38" s="171">
        <v>0.28000000000000003</v>
      </c>
      <c r="E38" s="171">
        <v>0.28000000000000003</v>
      </c>
      <c r="F38" s="171">
        <v>0.28000000000000003</v>
      </c>
      <c r="G38" s="172">
        <v>0.28000000000000003</v>
      </c>
      <c r="H38" s="172">
        <v>0.28000000000000003</v>
      </c>
      <c r="I38" s="172">
        <v>0.28000000000000003</v>
      </c>
      <c r="J38" s="172">
        <v>0.28000000000000003</v>
      </c>
      <c r="K38" s="172">
        <v>0.28000000000000003</v>
      </c>
      <c r="L38" s="172">
        <v>0.28000000000000003</v>
      </c>
      <c r="M38" s="172">
        <v>0.28000000000000003</v>
      </c>
      <c r="N38" s="171">
        <v>0.28000000000000003</v>
      </c>
      <c r="O38" s="37"/>
    </row>
    <row r="39" spans="1:15" x14ac:dyDescent="0.25">
      <c r="A39" s="156" t="s">
        <v>24</v>
      </c>
      <c r="B39" s="55" t="s">
        <v>17</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x14ac:dyDescent="0.3">
      <c r="A40" s="33"/>
      <c r="O40" s="37"/>
    </row>
    <row r="41" spans="1:15" ht="18.75" x14ac:dyDescent="0.3">
      <c r="A41" s="33" t="s">
        <v>22</v>
      </c>
      <c r="C41" s="84"/>
      <c r="D41" s="84"/>
      <c r="E41" s="84"/>
      <c r="F41" s="84"/>
      <c r="G41" s="84"/>
      <c r="H41" s="84"/>
      <c r="I41" s="84"/>
      <c r="J41" s="84"/>
      <c r="K41" s="84"/>
      <c r="L41" s="84"/>
      <c r="M41" s="84"/>
      <c r="N41" s="84"/>
      <c r="O41" s="37"/>
    </row>
    <row r="42" spans="1:15" x14ac:dyDescent="0.25">
      <c r="A42" s="102" t="s">
        <v>183</v>
      </c>
      <c r="B42" s="39" t="s">
        <v>17</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25">
      <c r="A43" s="102" t="s">
        <v>184</v>
      </c>
      <c r="B43" s="39" t="s">
        <v>17</v>
      </c>
      <c r="C43" s="168">
        <v>2.6499999999999999E-2</v>
      </c>
      <c r="D43" s="168">
        <v>2.7E-2</v>
      </c>
      <c r="E43" s="168">
        <v>2.1500000000000019E-2</v>
      </c>
      <c r="F43" s="168">
        <v>2.1000000000000001E-2</v>
      </c>
      <c r="G43" s="168">
        <v>1.7500000000000002E-2</v>
      </c>
      <c r="H43" s="168">
        <v>1.7500000000000002E-2</v>
      </c>
      <c r="I43" s="168">
        <v>1.8499999999999999E-2</v>
      </c>
      <c r="J43" s="168">
        <v>1.7999999999999999E-2</v>
      </c>
      <c r="K43" s="168">
        <v>1.9E-2</v>
      </c>
      <c r="L43" s="168">
        <v>1.55E-2</v>
      </c>
      <c r="M43" s="168">
        <v>1.4500000000000001E-2</v>
      </c>
      <c r="N43" s="168">
        <v>0.01</v>
      </c>
      <c r="O43" s="37"/>
    </row>
    <row r="44" spans="1:15" x14ac:dyDescent="0.25">
      <c r="A44" s="155" t="s">
        <v>8</v>
      </c>
      <c r="B44" s="57" t="s">
        <v>17</v>
      </c>
      <c r="C44" s="173">
        <v>1.4E-3</v>
      </c>
      <c r="D44" s="173">
        <v>1.4E-3</v>
      </c>
      <c r="E44" s="173">
        <v>1.4E-3</v>
      </c>
      <c r="F44" s="173">
        <v>1.4E-3</v>
      </c>
      <c r="G44" s="173">
        <v>1.4E-3</v>
      </c>
      <c r="H44" s="173">
        <v>1.4E-3</v>
      </c>
      <c r="I44" s="173">
        <v>1.4E-3</v>
      </c>
      <c r="J44" s="173">
        <v>1.4E-3</v>
      </c>
      <c r="K44" s="173">
        <v>1.4E-3</v>
      </c>
      <c r="L44" s="173">
        <v>1.4E-3</v>
      </c>
      <c r="M44" s="173">
        <v>1.4E-3</v>
      </c>
      <c r="N44" s="173">
        <v>1.4E-3</v>
      </c>
      <c r="O44" s="37"/>
    </row>
    <row r="45" spans="1:15" x14ac:dyDescent="0.25">
      <c r="A45" s="156" t="s">
        <v>22</v>
      </c>
      <c r="B45" s="55" t="s">
        <v>17</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x14ac:dyDescent="0.3">
      <c r="A46" s="33"/>
      <c r="D46" s="29"/>
      <c r="E46" s="29"/>
      <c r="F46" s="29"/>
      <c r="G46" s="29"/>
      <c r="H46" s="29"/>
      <c r="I46" s="29"/>
      <c r="J46" s="29"/>
      <c r="K46" s="29"/>
      <c r="L46" s="29"/>
      <c r="M46" s="29"/>
      <c r="N46" s="29"/>
      <c r="O46" s="37"/>
    </row>
    <row r="47" spans="1:15" ht="18.75" x14ac:dyDescent="0.3">
      <c r="A47" s="33" t="s">
        <v>9</v>
      </c>
      <c r="O47" s="37"/>
    </row>
    <row r="48" spans="1:15" x14ac:dyDescent="0.25">
      <c r="A48" s="102" t="s">
        <v>10</v>
      </c>
      <c r="B48" s="34" t="s">
        <v>17</v>
      </c>
      <c r="C48" s="167">
        <v>0.28999999999999998</v>
      </c>
      <c r="D48" s="167">
        <v>0.28999999999999998</v>
      </c>
      <c r="E48" s="167">
        <v>0.28999999999999998</v>
      </c>
      <c r="F48" s="167">
        <v>0.28999999999999998</v>
      </c>
      <c r="G48" s="167">
        <v>0.28999999999999998</v>
      </c>
      <c r="H48" s="167">
        <v>0.28999999999999998</v>
      </c>
      <c r="I48" s="167">
        <v>0.28999999999999998</v>
      </c>
      <c r="J48" s="167">
        <v>0.28999999999999998</v>
      </c>
      <c r="K48" s="167">
        <v>0.28999999999999998</v>
      </c>
      <c r="L48" s="167">
        <v>0.28999999999999998</v>
      </c>
      <c r="M48" s="167">
        <v>0.28999999999999998</v>
      </c>
      <c r="N48" s="167">
        <v>0.28999999999999998</v>
      </c>
      <c r="O48" s="37"/>
    </row>
    <row r="49" spans="1:15" x14ac:dyDescent="0.25">
      <c r="A49" s="102"/>
      <c r="B49" s="34"/>
      <c r="C49" s="85"/>
      <c r="D49" s="85"/>
      <c r="E49" s="85"/>
      <c r="F49" s="85"/>
      <c r="G49" s="85"/>
      <c r="H49" s="85"/>
      <c r="I49" s="85"/>
      <c r="J49" s="85"/>
      <c r="K49" s="85"/>
      <c r="L49" s="85"/>
      <c r="M49" s="85"/>
      <c r="N49" s="85"/>
      <c r="O49" s="37"/>
    </row>
    <row r="50" spans="1:15" x14ac:dyDescent="0.25">
      <c r="A50" s="158" t="s">
        <v>164</v>
      </c>
      <c r="B50" s="39" t="s">
        <v>17</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25">
      <c r="A51"/>
      <c r="O51" s="37"/>
    </row>
    <row r="52" spans="1:15" ht="21" x14ac:dyDescent="0.35">
      <c r="A52" s="40" t="s">
        <v>124</v>
      </c>
      <c r="C52" s="62" t="s">
        <v>41</v>
      </c>
      <c r="D52" s="62" t="s">
        <v>64</v>
      </c>
      <c r="E52" s="62" t="s">
        <v>42</v>
      </c>
      <c r="F52" s="62" t="s">
        <v>42</v>
      </c>
      <c r="G52" s="62" t="s">
        <v>42</v>
      </c>
      <c r="H52" s="62" t="s">
        <v>42</v>
      </c>
      <c r="I52" s="62" t="s">
        <v>42</v>
      </c>
      <c r="J52" s="62" t="s">
        <v>42</v>
      </c>
      <c r="K52" s="62" t="s">
        <v>42</v>
      </c>
      <c r="L52" s="62" t="s">
        <v>42</v>
      </c>
      <c r="M52" s="62" t="s">
        <v>42</v>
      </c>
      <c r="N52" s="62" t="s">
        <v>65</v>
      </c>
      <c r="O52" s="37"/>
    </row>
    <row r="53" spans="1:15" ht="15.75" customHeight="1" x14ac:dyDescent="0.25">
      <c r="A53" s="124"/>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25">
      <c r="A54" s="102" t="s">
        <v>68</v>
      </c>
      <c r="B54" s="59" t="s">
        <v>26</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25">
      <c r="A55"/>
      <c r="E55" s="125"/>
      <c r="F55" s="125"/>
      <c r="G55" s="125"/>
      <c r="H55" s="125"/>
      <c r="I55" s="125"/>
      <c r="J55" s="125"/>
      <c r="K55" s="125"/>
      <c r="L55" s="125"/>
      <c r="M55" s="125"/>
      <c r="O55" s="37"/>
    </row>
    <row r="56" spans="1:15" ht="18.75" x14ac:dyDescent="0.3">
      <c r="A56" s="33" t="s">
        <v>47</v>
      </c>
      <c r="B56" s="157"/>
      <c r="C56" s="157"/>
      <c r="D56" s="157"/>
      <c r="E56" s="157"/>
      <c r="F56" s="157"/>
      <c r="G56" s="157"/>
      <c r="H56" s="157"/>
      <c r="I56" s="157"/>
      <c r="J56" s="157"/>
      <c r="K56" s="157"/>
      <c r="L56" s="157"/>
      <c r="M56" s="157"/>
      <c r="N56" s="157"/>
      <c r="O56" s="37"/>
    </row>
    <row r="57" spans="1:15" x14ac:dyDescent="0.25">
      <c r="A57" s="102" t="s">
        <v>11</v>
      </c>
      <c r="B57" s="59" t="s">
        <v>26</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25">
      <c r="A58" s="102" t="s">
        <v>13</v>
      </c>
      <c r="B58" s="59" t="s">
        <v>43</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25">
      <c r="A59" s="102" t="s">
        <v>44</v>
      </c>
      <c r="B59" s="59" t="s">
        <v>26</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25">
      <c r="A60" s="102" t="s">
        <v>50</v>
      </c>
      <c r="B60" s="59" t="s">
        <v>29</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x14ac:dyDescent="0.3">
      <c r="A61" s="33"/>
      <c r="E61" s="125"/>
      <c r="F61" s="125"/>
      <c r="G61" s="125"/>
      <c r="H61" s="125"/>
      <c r="I61" s="125"/>
      <c r="J61" s="125"/>
      <c r="K61" s="125"/>
      <c r="L61" s="125"/>
      <c r="M61" s="125"/>
      <c r="O61" s="37"/>
    </row>
    <row r="62" spans="1:15" ht="18.75" x14ac:dyDescent="0.3">
      <c r="A62" s="33" t="s">
        <v>218</v>
      </c>
      <c r="B62" s="157"/>
      <c r="C62" s="157"/>
      <c r="D62" s="157"/>
      <c r="E62" s="157"/>
      <c r="F62" s="157"/>
      <c r="G62" s="157"/>
      <c r="H62" s="157"/>
      <c r="I62" s="157"/>
      <c r="J62" s="157"/>
      <c r="K62" s="157"/>
      <c r="L62" s="157"/>
      <c r="M62" s="157"/>
      <c r="N62" s="157"/>
      <c r="O62" s="37"/>
    </row>
    <row r="63" spans="1:15" x14ac:dyDescent="0.25">
      <c r="A63" s="102" t="s">
        <v>11</v>
      </c>
      <c r="B63" s="59" t="s">
        <v>26</v>
      </c>
      <c r="C63" s="59"/>
      <c r="D63" s="82">
        <f>D57</f>
        <v>106</v>
      </c>
      <c r="E63" s="82">
        <f t="shared" ref="E63:N63" si="11">E57</f>
        <v>182</v>
      </c>
      <c r="F63" s="82">
        <f t="shared" si="11"/>
        <v>182</v>
      </c>
      <c r="G63" s="82">
        <f t="shared" si="11"/>
        <v>182</v>
      </c>
      <c r="H63" s="82">
        <f t="shared" si="11"/>
        <v>183</v>
      </c>
      <c r="I63" s="82">
        <f t="shared" si="11"/>
        <v>182</v>
      </c>
      <c r="J63" s="82">
        <f t="shared" si="11"/>
        <v>182</v>
      </c>
      <c r="K63" s="82">
        <f t="shared" si="11"/>
        <v>182</v>
      </c>
      <c r="L63" s="82">
        <f t="shared" si="11"/>
        <v>183</v>
      </c>
      <c r="M63" s="82">
        <f t="shared" si="11"/>
        <v>182</v>
      </c>
      <c r="N63" s="82">
        <f t="shared" si="11"/>
        <v>92</v>
      </c>
      <c r="O63" s="37"/>
    </row>
    <row r="64" spans="1:15" x14ac:dyDescent="0.25">
      <c r="A64" s="102" t="s">
        <v>13</v>
      </c>
      <c r="B64" s="59" t="s">
        <v>43</v>
      </c>
      <c r="C64" s="59"/>
      <c r="D64" s="114">
        <f>D58</f>
        <v>40985</v>
      </c>
      <c r="E64" s="114">
        <f t="shared" ref="E64:N64" si="12">E58</f>
        <v>41274</v>
      </c>
      <c r="F64" s="114">
        <f t="shared" si="12"/>
        <v>41639</v>
      </c>
      <c r="G64" s="114">
        <f t="shared" si="12"/>
        <v>42004</v>
      </c>
      <c r="H64" s="114">
        <f t="shared" si="12"/>
        <v>42369</v>
      </c>
      <c r="I64" s="114">
        <f t="shared" si="12"/>
        <v>42735</v>
      </c>
      <c r="J64" s="114">
        <f t="shared" si="12"/>
        <v>43100</v>
      </c>
      <c r="K64" s="114">
        <f t="shared" si="12"/>
        <v>43465</v>
      </c>
      <c r="L64" s="114">
        <f t="shared" si="12"/>
        <v>43830</v>
      </c>
      <c r="M64" s="114">
        <f t="shared" si="12"/>
        <v>44196</v>
      </c>
      <c r="N64" s="114">
        <f t="shared" si="12"/>
        <v>44470</v>
      </c>
      <c r="O64" s="37"/>
    </row>
    <row r="65" spans="1:15" x14ac:dyDescent="0.25">
      <c r="A65" s="102" t="s">
        <v>44</v>
      </c>
      <c r="B65" s="59" t="s">
        <v>26</v>
      </c>
      <c r="C65" s="59"/>
      <c r="D65" s="82">
        <f>$N$53-D64</f>
        <v>3576</v>
      </c>
      <c r="E65" s="82">
        <f t="shared" ref="E65:N65" si="13">$N$53-E64</f>
        <v>3287</v>
      </c>
      <c r="F65" s="82">
        <f t="shared" si="13"/>
        <v>2922</v>
      </c>
      <c r="G65" s="82">
        <f t="shared" si="13"/>
        <v>2557</v>
      </c>
      <c r="H65" s="82">
        <f t="shared" si="13"/>
        <v>2192</v>
      </c>
      <c r="I65" s="82">
        <f t="shared" si="13"/>
        <v>1826</v>
      </c>
      <c r="J65" s="82">
        <f t="shared" si="13"/>
        <v>1461</v>
      </c>
      <c r="K65" s="82">
        <f t="shared" si="13"/>
        <v>1096</v>
      </c>
      <c r="L65" s="82">
        <f t="shared" si="13"/>
        <v>731</v>
      </c>
      <c r="M65" s="82">
        <f t="shared" si="13"/>
        <v>365</v>
      </c>
      <c r="N65" s="82">
        <f t="shared" si="13"/>
        <v>91</v>
      </c>
      <c r="O65" s="37"/>
    </row>
    <row r="66" spans="1:15" x14ac:dyDescent="0.25">
      <c r="A66" s="102" t="s">
        <v>50</v>
      </c>
      <c r="B66" s="59" t="s">
        <v>29</v>
      </c>
      <c r="C66" s="59"/>
      <c r="D66" s="83">
        <f>D60</f>
        <v>9.7905544147843937</v>
      </c>
      <c r="E66" s="83">
        <f t="shared" ref="E66:N66" si="14">E60</f>
        <v>8.9993155373032163</v>
      </c>
      <c r="F66" s="83">
        <f t="shared" si="14"/>
        <v>8</v>
      </c>
      <c r="G66" s="83">
        <f t="shared" si="14"/>
        <v>7.0006844626967828</v>
      </c>
      <c r="H66" s="83">
        <f t="shared" si="14"/>
        <v>6.0013689253935665</v>
      </c>
      <c r="I66" s="83">
        <f t="shared" si="14"/>
        <v>4.9993155373032172</v>
      </c>
      <c r="J66" s="83">
        <f t="shared" si="14"/>
        <v>4</v>
      </c>
      <c r="K66" s="83">
        <f t="shared" si="14"/>
        <v>3.0006844626967832</v>
      </c>
      <c r="L66" s="83">
        <f t="shared" si="14"/>
        <v>2.001368925393566</v>
      </c>
      <c r="M66" s="83">
        <f t="shared" si="14"/>
        <v>0.99931553730321698</v>
      </c>
      <c r="N66" s="83">
        <f t="shared" si="14"/>
        <v>0.24914442162902123</v>
      </c>
      <c r="O66" s="37"/>
    </row>
    <row r="67" spans="1:15" x14ac:dyDescent="0.25">
      <c r="A67" s="102"/>
      <c r="B67" s="157"/>
      <c r="C67" s="157"/>
      <c r="D67" s="157"/>
      <c r="E67" s="157"/>
      <c r="F67" s="157"/>
      <c r="G67" s="157"/>
      <c r="H67" s="157"/>
      <c r="I67" s="157"/>
      <c r="J67" s="157"/>
      <c r="K67" s="157"/>
      <c r="L67" s="157"/>
      <c r="M67" s="157"/>
      <c r="N67" s="157"/>
      <c r="O67" s="37"/>
    </row>
    <row r="68" spans="1:15" ht="18.75" x14ac:dyDescent="0.3">
      <c r="A68" s="33" t="s">
        <v>66</v>
      </c>
      <c r="N68" s="126"/>
      <c r="O68" s="37"/>
    </row>
    <row r="69" spans="1:15" x14ac:dyDescent="0.25">
      <c r="A69" s="102" t="s">
        <v>41</v>
      </c>
      <c r="B69" s="59" t="s">
        <v>43</v>
      </c>
      <c r="C69" s="114">
        <f>C53</f>
        <v>40878</v>
      </c>
      <c r="D69" s="50"/>
      <c r="E69" s="58"/>
      <c r="F69" s="58"/>
      <c r="G69" s="58"/>
      <c r="H69" s="58"/>
      <c r="I69" s="58"/>
      <c r="J69" s="58"/>
      <c r="K69" s="58"/>
      <c r="L69" s="58"/>
      <c r="M69" s="58"/>
      <c r="N69" s="58"/>
      <c r="O69" s="37"/>
    </row>
    <row r="70" spans="1:15" x14ac:dyDescent="0.25">
      <c r="A70" s="102" t="s">
        <v>67</v>
      </c>
      <c r="B70" s="59" t="s">
        <v>26</v>
      </c>
      <c r="C70" s="82">
        <f>$N$53-C69+1</f>
        <v>3684</v>
      </c>
      <c r="D70" s="50"/>
      <c r="E70" s="58"/>
      <c r="F70" s="58"/>
      <c r="G70" s="58"/>
      <c r="H70" s="58"/>
      <c r="I70" s="58"/>
      <c r="J70" s="58"/>
      <c r="K70" s="58"/>
      <c r="L70" s="58"/>
      <c r="M70" s="58"/>
      <c r="N70" s="58"/>
      <c r="O70" s="37"/>
    </row>
    <row r="71" spans="1:15" x14ac:dyDescent="0.25">
      <c r="A71" s="102" t="s">
        <v>50</v>
      </c>
      <c r="B71" s="59" t="s">
        <v>29</v>
      </c>
      <c r="C71" s="83">
        <f>C70/365.25</f>
        <v>10.086242299794661</v>
      </c>
      <c r="D71" s="82"/>
      <c r="E71" s="58"/>
      <c r="F71" s="58"/>
      <c r="G71" s="58"/>
      <c r="H71" s="58"/>
      <c r="I71" s="58"/>
      <c r="J71" s="58"/>
      <c r="K71" s="58"/>
      <c r="L71" s="58"/>
      <c r="M71" s="58"/>
      <c r="N71" s="58"/>
      <c r="O71" s="37"/>
    </row>
    <row r="72" spans="1:15" ht="18.75" x14ac:dyDescent="0.3">
      <c r="A72" s="33"/>
      <c r="E72" s="125"/>
      <c r="F72" s="125"/>
      <c r="G72" s="125"/>
      <c r="H72" s="125"/>
      <c r="I72" s="125"/>
      <c r="J72" s="125"/>
      <c r="K72" s="125"/>
      <c r="L72" s="125"/>
      <c r="M72" s="125"/>
      <c r="O72" s="37"/>
    </row>
    <row r="73" spans="1:15" ht="18.75" x14ac:dyDescent="0.3">
      <c r="A73" s="33" t="s">
        <v>46</v>
      </c>
      <c r="N73" s="126"/>
      <c r="O73" s="37"/>
    </row>
    <row r="74" spans="1:15" x14ac:dyDescent="0.25">
      <c r="A74" s="102" t="s">
        <v>12</v>
      </c>
      <c r="B74" s="59" t="s">
        <v>26</v>
      </c>
      <c r="C74" s="59"/>
      <c r="D74" s="82">
        <f t="shared" ref="D74:N74" si="15">ROUNDDOWN((D53-D75),0)</f>
        <v>72</v>
      </c>
      <c r="E74" s="82">
        <f t="shared" si="15"/>
        <v>148</v>
      </c>
      <c r="F74" s="82">
        <f t="shared" si="15"/>
        <v>148</v>
      </c>
      <c r="G74" s="82">
        <f t="shared" si="15"/>
        <v>148</v>
      </c>
      <c r="H74" s="82">
        <f t="shared" si="15"/>
        <v>149</v>
      </c>
      <c r="I74" s="82">
        <f t="shared" si="15"/>
        <v>148</v>
      </c>
      <c r="J74" s="82">
        <f t="shared" si="15"/>
        <v>148</v>
      </c>
      <c r="K74" s="82">
        <f t="shared" si="15"/>
        <v>148</v>
      </c>
      <c r="L74" s="82">
        <f t="shared" si="15"/>
        <v>149</v>
      </c>
      <c r="M74" s="82">
        <f t="shared" si="15"/>
        <v>148</v>
      </c>
      <c r="N74" s="82">
        <f t="shared" si="15"/>
        <v>58</v>
      </c>
      <c r="O74" s="37"/>
    </row>
    <row r="75" spans="1:15" x14ac:dyDescent="0.25">
      <c r="A75" s="102" t="s">
        <v>14</v>
      </c>
      <c r="B75" s="59" t="s">
        <v>43</v>
      </c>
      <c r="C75" s="59"/>
      <c r="D75" s="114">
        <f t="shared" ref="D75:N75" si="16">D$5-(INT(D$54/2))+34</f>
        <v>41018</v>
      </c>
      <c r="E75" s="127">
        <f t="shared" si="16"/>
        <v>41307</v>
      </c>
      <c r="F75" s="127">
        <f t="shared" si="16"/>
        <v>41672</v>
      </c>
      <c r="G75" s="127">
        <f t="shared" si="16"/>
        <v>42037</v>
      </c>
      <c r="H75" s="127">
        <f t="shared" si="16"/>
        <v>42402</v>
      </c>
      <c r="I75" s="127">
        <f t="shared" si="16"/>
        <v>42768</v>
      </c>
      <c r="J75" s="127">
        <f t="shared" si="16"/>
        <v>43133</v>
      </c>
      <c r="K75" s="127">
        <f t="shared" si="16"/>
        <v>43498</v>
      </c>
      <c r="L75" s="127">
        <f t="shared" si="16"/>
        <v>43863</v>
      </c>
      <c r="M75" s="127">
        <f t="shared" si="16"/>
        <v>44229</v>
      </c>
      <c r="N75" s="127">
        <f t="shared" si="16"/>
        <v>44503</v>
      </c>
      <c r="O75" s="37"/>
    </row>
    <row r="76" spans="1:15" x14ac:dyDescent="0.25">
      <c r="A76" s="102" t="s">
        <v>45</v>
      </c>
      <c r="B76" s="59" t="s">
        <v>26</v>
      </c>
      <c r="C76" s="59"/>
      <c r="D76" s="82">
        <f t="shared" ref="D76:M76" si="17">$N$53-D75</f>
        <v>3543</v>
      </c>
      <c r="E76" s="82">
        <f t="shared" si="17"/>
        <v>3254</v>
      </c>
      <c r="F76" s="82">
        <f t="shared" si="17"/>
        <v>2889</v>
      </c>
      <c r="G76" s="82">
        <f t="shared" si="17"/>
        <v>2524</v>
      </c>
      <c r="H76" s="82">
        <f t="shared" si="17"/>
        <v>2159</v>
      </c>
      <c r="I76" s="82">
        <f t="shared" si="17"/>
        <v>1793</v>
      </c>
      <c r="J76" s="82">
        <f t="shared" si="17"/>
        <v>1428</v>
      </c>
      <c r="K76" s="82">
        <f t="shared" si="17"/>
        <v>1063</v>
      </c>
      <c r="L76" s="82">
        <f t="shared" si="17"/>
        <v>698</v>
      </c>
      <c r="M76" s="82">
        <f t="shared" si="17"/>
        <v>332</v>
      </c>
      <c r="N76" s="82">
        <f>$N$53-N75</f>
        <v>58</v>
      </c>
      <c r="O76" s="37"/>
    </row>
    <row r="77" spans="1:15" x14ac:dyDescent="0.25">
      <c r="A77" s="102" t="s">
        <v>50</v>
      </c>
      <c r="B77" s="59" t="s">
        <v>29</v>
      </c>
      <c r="C77" s="59"/>
      <c r="D77" s="83">
        <f>D76/365.25</f>
        <v>9.7002053388090346</v>
      </c>
      <c r="E77" s="83">
        <f t="shared" ref="E77:M77" si="18">E76/365.25</f>
        <v>8.9089664613278572</v>
      </c>
      <c r="F77" s="83">
        <f t="shared" si="18"/>
        <v>7.9096509240246409</v>
      </c>
      <c r="G77" s="83">
        <f t="shared" si="18"/>
        <v>6.9103353867214237</v>
      </c>
      <c r="H77" s="83">
        <f t="shared" si="18"/>
        <v>5.9110198494182065</v>
      </c>
      <c r="I77" s="83">
        <f t="shared" si="18"/>
        <v>4.9089664613278572</v>
      </c>
      <c r="J77" s="83">
        <f t="shared" si="18"/>
        <v>3.9096509240246409</v>
      </c>
      <c r="K77" s="83">
        <f t="shared" si="18"/>
        <v>2.9103353867214237</v>
      </c>
      <c r="L77" s="83">
        <f t="shared" si="18"/>
        <v>1.9110198494182067</v>
      </c>
      <c r="M77" s="83">
        <f t="shared" si="18"/>
        <v>0.90896646132785763</v>
      </c>
      <c r="N77" s="83">
        <f t="shared" ref="N77" si="19">N76/365.25</f>
        <v>0.15879534565366188</v>
      </c>
      <c r="O77" s="37"/>
    </row>
    <row r="78" spans="1:15" x14ac:dyDescent="0.25">
      <c r="A78" s="32"/>
      <c r="B78" s="59"/>
      <c r="C78" s="59"/>
      <c r="D78" s="59"/>
      <c r="E78" s="50"/>
      <c r="F78" s="59"/>
      <c r="G78" s="59"/>
      <c r="H78" s="59"/>
      <c r="I78" s="59"/>
      <c r="J78" s="59"/>
      <c r="K78" s="59"/>
      <c r="L78" s="59"/>
      <c r="M78" s="59"/>
      <c r="N78" s="59"/>
      <c r="O78" s="37"/>
    </row>
    <row r="79" spans="1:15" ht="21" x14ac:dyDescent="0.35">
      <c r="A79" s="40" t="s">
        <v>123</v>
      </c>
      <c r="C79" s="62"/>
      <c r="D79" s="62"/>
      <c r="E79" s="62"/>
      <c r="F79" s="62"/>
      <c r="G79" s="62"/>
      <c r="H79" s="62"/>
      <c r="I79" s="62"/>
      <c r="J79" s="62"/>
      <c r="K79" s="62"/>
      <c r="L79" s="62"/>
      <c r="M79" s="62"/>
      <c r="N79" s="62"/>
      <c r="O79" s="37"/>
    </row>
    <row r="80" spans="1:15" ht="18.75" x14ac:dyDescent="0.3">
      <c r="A80" s="33"/>
      <c r="C80" s="63">
        <f>C53</f>
        <v>40878</v>
      </c>
      <c r="D80" s="63">
        <f t="shared" ref="D80:N80" si="20">D32</f>
        <v>40985</v>
      </c>
      <c r="E80" s="63">
        <f t="shared" si="20"/>
        <v>41274</v>
      </c>
      <c r="F80" s="63">
        <f t="shared" si="20"/>
        <v>41639</v>
      </c>
      <c r="G80" s="63">
        <f t="shared" si="20"/>
        <v>42004</v>
      </c>
      <c r="H80" s="63">
        <f t="shared" si="20"/>
        <v>42369</v>
      </c>
      <c r="I80" s="63">
        <f t="shared" si="20"/>
        <v>42735</v>
      </c>
      <c r="J80" s="63">
        <f t="shared" si="20"/>
        <v>43100</v>
      </c>
      <c r="K80" s="63">
        <f t="shared" si="20"/>
        <v>43465</v>
      </c>
      <c r="L80" s="63">
        <f t="shared" si="20"/>
        <v>43830</v>
      </c>
      <c r="M80" s="63">
        <f t="shared" si="20"/>
        <v>44196</v>
      </c>
      <c r="N80" s="63">
        <f t="shared" si="20"/>
        <v>44470</v>
      </c>
      <c r="O80" s="37"/>
    </row>
    <row r="81" spans="1:15" ht="14.25" customHeight="1" x14ac:dyDescent="0.3">
      <c r="A81" s="33"/>
      <c r="O81" s="37"/>
    </row>
    <row r="82" spans="1:15" ht="18.75" x14ac:dyDescent="0.3">
      <c r="A82" s="33" t="s">
        <v>156</v>
      </c>
      <c r="B82" s="39"/>
      <c r="C82" s="48"/>
      <c r="D82" s="48"/>
      <c r="E82" s="48"/>
      <c r="F82" s="48"/>
      <c r="G82" s="48"/>
      <c r="H82" s="48"/>
      <c r="I82" s="48"/>
      <c r="J82" s="48"/>
      <c r="K82" s="48"/>
      <c r="L82" s="48"/>
      <c r="M82" s="48"/>
      <c r="N82" s="48"/>
      <c r="O82" s="37"/>
    </row>
    <row r="83" spans="1:15" x14ac:dyDescent="0.25">
      <c r="A83" s="102" t="s">
        <v>50</v>
      </c>
      <c r="B83" s="59" t="s">
        <v>29</v>
      </c>
      <c r="C83" s="61"/>
      <c r="D83" s="61">
        <f t="shared" ref="D83:N83" si="21">D60</f>
        <v>9.7905544147843937</v>
      </c>
      <c r="E83" s="61">
        <f t="shared" si="21"/>
        <v>8.9993155373032163</v>
      </c>
      <c r="F83" s="61">
        <f t="shared" si="21"/>
        <v>8</v>
      </c>
      <c r="G83" s="61">
        <f t="shared" si="21"/>
        <v>7.0006844626967828</v>
      </c>
      <c r="H83" s="61">
        <f t="shared" si="21"/>
        <v>6.0013689253935665</v>
      </c>
      <c r="I83" s="61">
        <f t="shared" si="21"/>
        <v>4.9993155373032172</v>
      </c>
      <c r="J83" s="61">
        <f t="shared" si="21"/>
        <v>4</v>
      </c>
      <c r="K83" s="61">
        <f t="shared" si="21"/>
        <v>3.0006844626967832</v>
      </c>
      <c r="L83" s="61">
        <f t="shared" si="21"/>
        <v>2.001368925393566</v>
      </c>
      <c r="M83" s="61">
        <f t="shared" si="21"/>
        <v>0.99931553730321698</v>
      </c>
      <c r="N83" s="61">
        <f t="shared" si="21"/>
        <v>0.24914442162902123</v>
      </c>
      <c r="O83" s="37"/>
    </row>
    <row r="84" spans="1:15" x14ac:dyDescent="0.25">
      <c r="A84" s="102" t="s">
        <v>32</v>
      </c>
      <c r="B84" s="59" t="s">
        <v>33</v>
      </c>
      <c r="C84" s="73"/>
      <c r="D84" s="61">
        <f t="shared" ref="D84:N84" si="22">1+D50</f>
        <v>1.0718000000000001</v>
      </c>
      <c r="E84" s="61">
        <f t="shared" si="22"/>
        <v>1.0650999999999999</v>
      </c>
      <c r="F84" s="61">
        <f t="shared" si="22"/>
        <v>1.0756000000000001</v>
      </c>
      <c r="G84" s="61">
        <f t="shared" si="22"/>
        <v>1.07</v>
      </c>
      <c r="H84" s="61">
        <f t="shared" si="22"/>
        <v>1.0640000000000001</v>
      </c>
      <c r="I84" s="61">
        <f t="shared" si="22"/>
        <v>1.0626</v>
      </c>
      <c r="J84" s="61">
        <f t="shared" si="22"/>
        <v>1.0589</v>
      </c>
      <c r="K84" s="61">
        <f t="shared" si="22"/>
        <v>1.0569</v>
      </c>
      <c r="L84" s="61">
        <f t="shared" si="22"/>
        <v>1.0499000000000001</v>
      </c>
      <c r="M84" s="61">
        <f t="shared" si="22"/>
        <v>1.0445</v>
      </c>
      <c r="N84" s="61">
        <f t="shared" si="22"/>
        <v>1.0529999999999999</v>
      </c>
      <c r="O84" s="37"/>
    </row>
    <row r="85" spans="1:15" x14ac:dyDescent="0.25">
      <c r="A85" s="102" t="s">
        <v>159</v>
      </c>
      <c r="B85" s="59" t="s">
        <v>23</v>
      </c>
      <c r="C85" s="59"/>
      <c r="D85" s="61">
        <f t="shared" ref="D85:N85" si="23">D84^D83</f>
        <v>1.9716523217775115</v>
      </c>
      <c r="E85" s="61">
        <f t="shared" si="23"/>
        <v>1.76398429597453</v>
      </c>
      <c r="F85" s="61">
        <f t="shared" si="23"/>
        <v>1.7914568352908242</v>
      </c>
      <c r="G85" s="61">
        <f t="shared" si="23"/>
        <v>1.6058558416530693</v>
      </c>
      <c r="H85" s="61">
        <f t="shared" si="23"/>
        <v>1.4510642711998849</v>
      </c>
      <c r="I85" s="61">
        <f t="shared" si="23"/>
        <v>1.3546621879514464</v>
      </c>
      <c r="J85" s="61">
        <f t="shared" si="23"/>
        <v>1.2572446412940239</v>
      </c>
      <c r="K85" s="61">
        <f t="shared" si="23"/>
        <v>1.1806417697833558</v>
      </c>
      <c r="L85" s="61">
        <f t="shared" si="23"/>
        <v>1.1023634907865856</v>
      </c>
      <c r="M85" s="61">
        <f t="shared" si="23"/>
        <v>1.0444688740048842</v>
      </c>
      <c r="N85" s="83">
        <f t="shared" si="23"/>
        <v>1.0129497546107082</v>
      </c>
      <c r="O85" s="37"/>
    </row>
    <row r="86" spans="1:15" x14ac:dyDescent="0.25">
      <c r="A86" s="32"/>
      <c r="B86" s="59"/>
      <c r="C86" s="59"/>
      <c r="E86" s="65"/>
      <c r="F86" s="65"/>
      <c r="G86" s="65"/>
      <c r="H86" s="65"/>
      <c r="I86" s="65"/>
      <c r="J86" s="65"/>
      <c r="K86" s="65"/>
      <c r="L86" s="65"/>
      <c r="M86" s="65"/>
      <c r="N86" s="65"/>
      <c r="O86" s="37"/>
    </row>
    <row r="87" spans="1:15" ht="18.75" x14ac:dyDescent="0.3">
      <c r="A87" s="33" t="s">
        <v>157</v>
      </c>
      <c r="N87" s="54"/>
      <c r="O87" s="37"/>
    </row>
    <row r="88" spans="1:15" x14ac:dyDescent="0.25">
      <c r="A88" s="102" t="s">
        <v>50</v>
      </c>
      <c r="B88" s="59" t="s">
        <v>29</v>
      </c>
      <c r="C88" s="83">
        <f>C71</f>
        <v>10.086242299794661</v>
      </c>
      <c r="D88" s="60"/>
      <c r="E88" s="58"/>
      <c r="F88" s="58"/>
      <c r="G88" s="58"/>
      <c r="H88" s="58"/>
      <c r="I88" s="58"/>
      <c r="J88" s="58"/>
      <c r="K88" s="58"/>
      <c r="L88" s="58"/>
      <c r="M88" s="58"/>
      <c r="N88" s="58"/>
      <c r="O88" s="37"/>
    </row>
    <row r="89" spans="1:15" x14ac:dyDescent="0.25">
      <c r="A89" s="102" t="s">
        <v>32</v>
      </c>
      <c r="B89" s="59" t="s">
        <v>33</v>
      </c>
      <c r="C89" s="83">
        <f>1+C50</f>
        <v>1.0705</v>
      </c>
      <c r="D89" s="74"/>
      <c r="E89" s="74"/>
      <c r="F89" s="74"/>
      <c r="G89" s="74"/>
      <c r="H89" s="74"/>
      <c r="I89" s="74"/>
      <c r="J89" s="74"/>
      <c r="K89" s="74"/>
      <c r="L89" s="74"/>
      <c r="M89" s="74"/>
      <c r="N89" s="74"/>
      <c r="O89" s="37"/>
    </row>
    <row r="90" spans="1:15" x14ac:dyDescent="0.25">
      <c r="A90" s="102" t="s">
        <v>161</v>
      </c>
      <c r="B90" s="59" t="s">
        <v>23</v>
      </c>
      <c r="C90" s="83">
        <f>C89^C88</f>
        <v>1.9880089667234626</v>
      </c>
      <c r="D90" s="74"/>
      <c r="E90" s="74"/>
      <c r="F90" s="74"/>
      <c r="G90" s="74"/>
      <c r="H90" s="74"/>
      <c r="I90" s="74"/>
      <c r="J90" s="74"/>
      <c r="K90" s="74"/>
      <c r="L90" s="74"/>
      <c r="M90" s="74"/>
      <c r="N90" s="74"/>
      <c r="O90" s="37"/>
    </row>
    <row r="91" spans="1:15" x14ac:dyDescent="0.25">
      <c r="A91" s="32"/>
      <c r="B91" s="59"/>
      <c r="C91" s="59"/>
      <c r="D91" s="59"/>
      <c r="E91" s="59"/>
      <c r="F91" s="59"/>
      <c r="G91" s="59"/>
      <c r="H91" s="59"/>
      <c r="I91" s="59"/>
      <c r="J91" s="59"/>
      <c r="K91" s="59"/>
      <c r="L91" s="59"/>
      <c r="M91" s="59"/>
      <c r="N91" s="59"/>
      <c r="O91" s="37"/>
    </row>
    <row r="92" spans="1:15" ht="18.75" x14ac:dyDescent="0.3">
      <c r="A92" s="33" t="s">
        <v>158</v>
      </c>
      <c r="N92" s="54"/>
      <c r="O92" s="37"/>
    </row>
    <row r="93" spans="1:15" x14ac:dyDescent="0.25">
      <c r="A93" s="102" t="s">
        <v>50</v>
      </c>
      <c r="B93" s="59" t="s">
        <v>29</v>
      </c>
      <c r="C93" s="59"/>
      <c r="D93" s="61">
        <f t="shared" ref="D93:N93" si="24">D77</f>
        <v>9.7002053388090346</v>
      </c>
      <c r="E93" s="61">
        <f t="shared" si="24"/>
        <v>8.9089664613278572</v>
      </c>
      <c r="F93" s="61">
        <f t="shared" si="24"/>
        <v>7.9096509240246409</v>
      </c>
      <c r="G93" s="61">
        <f t="shared" si="24"/>
        <v>6.9103353867214237</v>
      </c>
      <c r="H93" s="61">
        <f t="shared" si="24"/>
        <v>5.9110198494182065</v>
      </c>
      <c r="I93" s="61">
        <f t="shared" si="24"/>
        <v>4.9089664613278572</v>
      </c>
      <c r="J93" s="61">
        <f t="shared" si="24"/>
        <v>3.9096509240246409</v>
      </c>
      <c r="K93" s="61">
        <f t="shared" si="24"/>
        <v>2.9103353867214237</v>
      </c>
      <c r="L93" s="61">
        <f t="shared" si="24"/>
        <v>1.9110198494182067</v>
      </c>
      <c r="M93" s="61">
        <f t="shared" si="24"/>
        <v>0.90896646132785763</v>
      </c>
      <c r="N93" s="61">
        <f t="shared" si="24"/>
        <v>0.15879534565366188</v>
      </c>
      <c r="O93" s="37"/>
    </row>
    <row r="94" spans="1:15" x14ac:dyDescent="0.25">
      <c r="A94" s="102" t="s">
        <v>32</v>
      </c>
      <c r="B94" s="59" t="s">
        <v>33</v>
      </c>
      <c r="C94" s="59"/>
      <c r="D94" s="61">
        <f t="shared" ref="D94:N94" si="25">1+D50</f>
        <v>1.0718000000000001</v>
      </c>
      <c r="E94" s="61">
        <f t="shared" si="25"/>
        <v>1.0650999999999999</v>
      </c>
      <c r="F94" s="61">
        <f t="shared" si="25"/>
        <v>1.0756000000000001</v>
      </c>
      <c r="G94" s="61">
        <f t="shared" si="25"/>
        <v>1.07</v>
      </c>
      <c r="H94" s="61">
        <f t="shared" si="25"/>
        <v>1.0640000000000001</v>
      </c>
      <c r="I94" s="61">
        <f t="shared" si="25"/>
        <v>1.0626</v>
      </c>
      <c r="J94" s="61">
        <f t="shared" si="25"/>
        <v>1.0589</v>
      </c>
      <c r="K94" s="61">
        <f t="shared" si="25"/>
        <v>1.0569</v>
      </c>
      <c r="L94" s="61">
        <f t="shared" si="25"/>
        <v>1.0499000000000001</v>
      </c>
      <c r="M94" s="61">
        <f t="shared" si="25"/>
        <v>1.0445</v>
      </c>
      <c r="N94" s="61">
        <f t="shared" si="25"/>
        <v>1.0529999999999999</v>
      </c>
      <c r="O94" s="37"/>
    </row>
    <row r="95" spans="1:15" x14ac:dyDescent="0.25">
      <c r="A95" s="102" t="s">
        <v>162</v>
      </c>
      <c r="B95" s="59" t="s">
        <v>23</v>
      </c>
      <c r="C95" s="59"/>
      <c r="D95" s="61">
        <f t="shared" ref="D95:N95" si="26">D94^D93</f>
        <v>1.9593390078055666</v>
      </c>
      <c r="E95" s="61">
        <f t="shared" si="26"/>
        <v>1.7539613476843365</v>
      </c>
      <c r="F95" s="61">
        <f t="shared" si="26"/>
        <v>1.7796997050243895</v>
      </c>
      <c r="G95" s="61">
        <f t="shared" si="26"/>
        <v>1.5960693536738424</v>
      </c>
      <c r="H95" s="61">
        <f t="shared" si="26"/>
        <v>1.4429540372853003</v>
      </c>
      <c r="I95" s="61">
        <f t="shared" si="26"/>
        <v>1.3472510185593161</v>
      </c>
      <c r="J95" s="61">
        <f t="shared" si="26"/>
        <v>1.2507605408411417</v>
      </c>
      <c r="K95" s="61">
        <f t="shared" si="26"/>
        <v>1.1747533807929349</v>
      </c>
      <c r="L95" s="61">
        <f t="shared" si="26"/>
        <v>1.0975242502539282</v>
      </c>
      <c r="M95" s="61">
        <f t="shared" si="26"/>
        <v>1.0403683741122254</v>
      </c>
      <c r="N95" s="83">
        <f t="shared" si="26"/>
        <v>1.0082344229478826</v>
      </c>
      <c r="O95" s="37"/>
    </row>
    <row r="96" spans="1:15" x14ac:dyDescent="0.25">
      <c r="A96" s="32"/>
      <c r="B96" s="59"/>
      <c r="C96" s="59"/>
      <c r="D96" s="86"/>
      <c r="E96" s="86"/>
      <c r="F96" s="86"/>
      <c r="G96" s="86"/>
      <c r="H96" s="86"/>
      <c r="I96" s="86"/>
      <c r="J96" s="86"/>
      <c r="K96" s="86"/>
      <c r="L96" s="86"/>
      <c r="M96" s="86"/>
      <c r="N96" s="86"/>
      <c r="O96" s="37"/>
    </row>
    <row r="97" spans="1:15" ht="21" x14ac:dyDescent="0.35">
      <c r="A97" s="40" t="s">
        <v>18</v>
      </c>
      <c r="C97" s="62" t="s">
        <v>41</v>
      </c>
      <c r="D97" s="62" t="s">
        <v>64</v>
      </c>
      <c r="E97" s="62" t="s">
        <v>42</v>
      </c>
      <c r="F97" s="62" t="s">
        <v>42</v>
      </c>
      <c r="G97" s="62" t="s">
        <v>42</v>
      </c>
      <c r="H97" s="62" t="s">
        <v>42</v>
      </c>
      <c r="I97" s="62" t="s">
        <v>42</v>
      </c>
      <c r="J97" s="62" t="s">
        <v>42</v>
      </c>
      <c r="K97" s="62" t="s">
        <v>42</v>
      </c>
      <c r="L97" s="62" t="s">
        <v>42</v>
      </c>
      <c r="M97" s="62" t="s">
        <v>42</v>
      </c>
      <c r="N97" s="62" t="s">
        <v>65</v>
      </c>
      <c r="O97" s="37"/>
    </row>
    <row r="98" spans="1:15" ht="18.75" x14ac:dyDescent="0.3">
      <c r="A98" s="33"/>
      <c r="C98" s="63">
        <f>$C$53</f>
        <v>40878</v>
      </c>
      <c r="D98" s="63">
        <f>$D$53</f>
        <v>41090</v>
      </c>
      <c r="E98" s="63">
        <f>$E$53</f>
        <v>41455</v>
      </c>
      <c r="F98" s="63">
        <f>$F$53</f>
        <v>41820</v>
      </c>
      <c r="G98" s="63">
        <f>$G$53</f>
        <v>42185</v>
      </c>
      <c r="H98" s="63">
        <f>$H$53</f>
        <v>42551</v>
      </c>
      <c r="I98" s="63">
        <f>$I$53</f>
        <v>42916</v>
      </c>
      <c r="J98" s="63">
        <f>$J$53</f>
        <v>43281</v>
      </c>
      <c r="K98" s="63">
        <f>$K$53</f>
        <v>43646</v>
      </c>
      <c r="L98" s="63">
        <f>$L$53</f>
        <v>44012</v>
      </c>
      <c r="M98" s="63">
        <f>$M$53</f>
        <v>44377</v>
      </c>
      <c r="N98" s="63">
        <f>N$53</f>
        <v>44561</v>
      </c>
      <c r="O98" s="37"/>
    </row>
    <row r="99" spans="1:15" ht="18.75" x14ac:dyDescent="0.3">
      <c r="A99" s="33" t="s">
        <v>119</v>
      </c>
      <c r="O99" s="37"/>
    </row>
    <row r="100" spans="1:15" x14ac:dyDescent="0.25">
      <c r="A100" s="102" t="s">
        <v>170</v>
      </c>
      <c r="B100" s="35" t="s">
        <v>15</v>
      </c>
      <c r="C100" s="162"/>
      <c r="D100" s="162">
        <f>'LFC inputs'!D33-'LFC inputs'!D34</f>
        <v>21591.164000000001</v>
      </c>
      <c r="E100" s="162">
        <f>'LFC inputs'!E33-'LFC inputs'!E34</f>
        <v>53133.397708000004</v>
      </c>
      <c r="F100" s="162">
        <f>'LFC inputs'!F33-'LFC inputs'!F34</f>
        <v>41262.180729999978</v>
      </c>
      <c r="G100" s="162">
        <f>'LFC inputs'!G33-'LFC inputs'!G34</f>
        <v>35566.347112999996</v>
      </c>
      <c r="H100" s="162">
        <f>'LFC inputs'!H33-'LFC inputs'!H34</f>
        <v>-10524.560000000001</v>
      </c>
      <c r="I100" s="162">
        <f>'LFC inputs'!I33-'LFC inputs'!I34</f>
        <v>-141028.52955099996</v>
      </c>
      <c r="J100" s="162">
        <f>'LFC inputs'!J33-'LFC inputs'!J34</f>
        <v>0</v>
      </c>
      <c r="K100" s="162">
        <f>'LFC inputs'!K33-'LFC inputs'!K34</f>
        <v>0</v>
      </c>
      <c r="L100" s="162">
        <f>'LFC inputs'!L33-'LFC inputs'!L34</f>
        <v>0</v>
      </c>
      <c r="M100" s="162">
        <f>'LFC inputs'!M33-'LFC inputs'!M34</f>
        <v>0</v>
      </c>
      <c r="N100" s="162">
        <f>'LFC inputs'!N33-'LFC inputs'!N34</f>
        <v>0</v>
      </c>
      <c r="O100" s="37"/>
    </row>
    <row r="101" spans="1:15" x14ac:dyDescent="0.25">
      <c r="A101" s="102" t="s">
        <v>203</v>
      </c>
      <c r="B101" s="35" t="s">
        <v>17</v>
      </c>
      <c r="C101" s="14"/>
      <c r="D101" s="163">
        <f>'LFC inputs'!D35</f>
        <v>0.5</v>
      </c>
      <c r="E101" s="163">
        <f>'LFC inputs'!E35</f>
        <v>0.5</v>
      </c>
      <c r="F101" s="163">
        <f>'LFC inputs'!F35</f>
        <v>0.5</v>
      </c>
      <c r="G101" s="163">
        <f>'LFC inputs'!G35</f>
        <v>0.5</v>
      </c>
      <c r="H101" s="163">
        <f>'LFC inputs'!H35</f>
        <v>0.5</v>
      </c>
      <c r="I101" s="163">
        <f>'LFC inputs'!I35</f>
        <v>0.5</v>
      </c>
      <c r="J101" s="163">
        <f>'LFC inputs'!J35</f>
        <v>0.5</v>
      </c>
      <c r="K101" s="163">
        <f>'LFC inputs'!K35</f>
        <v>0.5</v>
      </c>
      <c r="L101" s="163">
        <f>'LFC inputs'!L35</f>
        <v>0.5</v>
      </c>
      <c r="M101" s="163">
        <f>'LFC inputs'!M35</f>
        <v>0.5</v>
      </c>
      <c r="N101" s="163">
        <f>'LFC inputs'!N35</f>
        <v>0.5</v>
      </c>
      <c r="O101" s="37"/>
    </row>
    <row r="102" spans="1:15" x14ac:dyDescent="0.25">
      <c r="A102" s="102" t="s">
        <v>204</v>
      </c>
      <c r="B102" s="35" t="s">
        <v>15</v>
      </c>
      <c r="C102" s="59"/>
      <c r="D102" s="162">
        <f>D101*D100</f>
        <v>10795.582</v>
      </c>
      <c r="E102" s="162">
        <f t="shared" ref="E102:N102" si="27">E101*E100</f>
        <v>26566.698854000002</v>
      </c>
      <c r="F102" s="162">
        <f t="shared" si="27"/>
        <v>20631.090364999989</v>
      </c>
      <c r="G102" s="162">
        <f t="shared" si="27"/>
        <v>17783.173556499998</v>
      </c>
      <c r="H102" s="162">
        <f t="shared" si="27"/>
        <v>-5262.2800000000007</v>
      </c>
      <c r="I102" s="162">
        <f t="shared" si="27"/>
        <v>-70514.264775499978</v>
      </c>
      <c r="J102" s="162">
        <f t="shared" si="27"/>
        <v>0</v>
      </c>
      <c r="K102" s="162">
        <f t="shared" si="27"/>
        <v>0</v>
      </c>
      <c r="L102" s="162">
        <f t="shared" si="27"/>
        <v>0</v>
      </c>
      <c r="M102" s="162">
        <f t="shared" si="27"/>
        <v>0</v>
      </c>
      <c r="N102" s="162">
        <f t="shared" si="27"/>
        <v>0</v>
      </c>
      <c r="O102" s="37"/>
    </row>
    <row r="103" spans="1:15" x14ac:dyDescent="0.25">
      <c r="A103" s="102" t="s">
        <v>205</v>
      </c>
      <c r="B103" s="35" t="s">
        <v>15</v>
      </c>
      <c r="C103" s="59"/>
      <c r="D103" s="95">
        <f>(1-D101)*D100</f>
        <v>10795.582</v>
      </c>
      <c r="E103" s="95">
        <f t="shared" ref="E103:N103" si="28">(1-E101)*E100</f>
        <v>26566.698854000002</v>
      </c>
      <c r="F103" s="95">
        <f t="shared" si="28"/>
        <v>20631.090364999989</v>
      </c>
      <c r="G103" s="95">
        <f t="shared" si="28"/>
        <v>17783.173556499998</v>
      </c>
      <c r="H103" s="95">
        <f t="shared" si="28"/>
        <v>-5262.2800000000007</v>
      </c>
      <c r="I103" s="95">
        <f t="shared" si="28"/>
        <v>-70514.264775499978</v>
      </c>
      <c r="J103" s="95">
        <f t="shared" si="28"/>
        <v>0</v>
      </c>
      <c r="K103" s="95">
        <f t="shared" si="28"/>
        <v>0</v>
      </c>
      <c r="L103" s="95">
        <f t="shared" si="28"/>
        <v>0</v>
      </c>
      <c r="M103" s="95">
        <f t="shared" si="28"/>
        <v>0</v>
      </c>
      <c r="N103" s="95">
        <f t="shared" si="28"/>
        <v>0</v>
      </c>
      <c r="O103" s="37"/>
    </row>
    <row r="104" spans="1:15" x14ac:dyDescent="0.25">
      <c r="A104" s="102"/>
      <c r="B104" s="59"/>
      <c r="C104" s="59"/>
      <c r="D104" s="92"/>
      <c r="E104" s="92"/>
      <c r="F104" s="92"/>
      <c r="G104" s="92"/>
      <c r="H104" s="92"/>
      <c r="I104" s="92"/>
      <c r="J104" s="92"/>
      <c r="K104" s="92"/>
      <c r="L104" s="92"/>
      <c r="M104" s="92"/>
      <c r="N104" s="92"/>
      <c r="O104" s="37"/>
    </row>
    <row r="105" spans="1:15" ht="18.75" x14ac:dyDescent="0.3">
      <c r="A105" s="33" t="s">
        <v>122</v>
      </c>
      <c r="O105" s="37"/>
    </row>
    <row r="106" spans="1:15" x14ac:dyDescent="0.25">
      <c r="A106" s="102" t="s">
        <v>171</v>
      </c>
      <c r="B106" s="32" t="s">
        <v>17</v>
      </c>
      <c r="C106" s="59"/>
      <c r="D106" s="92">
        <f>D$45</f>
        <v>6.4326867547209718E-2</v>
      </c>
      <c r="E106" s="92">
        <f t="shared" ref="E106:N106" si="29">E$45</f>
        <v>5.239123342763756E-2</v>
      </c>
      <c r="F106" s="92">
        <f t="shared" si="29"/>
        <v>6.5210564262641602E-2</v>
      </c>
      <c r="G106" s="92">
        <f t="shared" si="29"/>
        <v>5.6007340817272856E-2</v>
      </c>
      <c r="H106" s="92">
        <f t="shared" si="29"/>
        <v>4.8566588558104418E-2</v>
      </c>
      <c r="I106" s="92">
        <f t="shared" si="29"/>
        <v>4.7363493132139597E-2</v>
      </c>
      <c r="J106" s="92">
        <f t="shared" si="29"/>
        <v>4.2480720370542777E-2</v>
      </c>
      <c r="K106" s="92">
        <f t="shared" si="29"/>
        <v>4.0592888091034438E-2</v>
      </c>
      <c r="L106" s="92">
        <f t="shared" si="29"/>
        <v>2.9597755753197487E-2</v>
      </c>
      <c r="M106" s="92">
        <f t="shared" si="29"/>
        <v>2.0048153676001084E-2</v>
      </c>
      <c r="N106" s="92">
        <f t="shared" si="29"/>
        <v>2.692481461E-2</v>
      </c>
      <c r="O106" s="37"/>
    </row>
    <row r="107" spans="1:15" x14ac:dyDescent="0.25">
      <c r="A107" s="102" t="s">
        <v>172</v>
      </c>
      <c r="B107" s="32" t="s">
        <v>17</v>
      </c>
      <c r="C107" s="59"/>
      <c r="D107" s="92">
        <f t="shared" ref="D107:N107" si="30">D$39</f>
        <v>7.4867344633991001E-2</v>
      </c>
      <c r="E107" s="92">
        <f t="shared" si="30"/>
        <v>7.0233688067899036E-2</v>
      </c>
      <c r="F107" s="92">
        <f t="shared" si="30"/>
        <v>7.9823606269101954E-2</v>
      </c>
      <c r="G107" s="92">
        <f t="shared" si="30"/>
        <v>7.5717285388436459E-2</v>
      </c>
      <c r="H107" s="92">
        <f t="shared" si="30"/>
        <v>7.0359943761835186E-2</v>
      </c>
      <c r="I107" s="92">
        <f t="shared" si="30"/>
        <v>6.8773715055140516E-2</v>
      </c>
      <c r="J107" s="92">
        <f t="shared" si="30"/>
        <v>6.5618118666790806E-2</v>
      </c>
      <c r="K107" s="92">
        <f t="shared" si="30"/>
        <v>6.35388794255448E-2</v>
      </c>
      <c r="L107" s="92">
        <f t="shared" si="30"/>
        <v>5.8142384142302196E-2</v>
      </c>
      <c r="M107" s="92">
        <f t="shared" si="30"/>
        <v>5.4479821331652266E-2</v>
      </c>
      <c r="N107" s="92">
        <f t="shared" si="30"/>
        <v>6.3677866519200002E-2</v>
      </c>
      <c r="O107" s="37"/>
    </row>
    <row r="108" spans="1:15" x14ac:dyDescent="0.25">
      <c r="A108" s="102" t="s">
        <v>73</v>
      </c>
      <c r="B108" s="32" t="s">
        <v>17</v>
      </c>
      <c r="C108" s="59"/>
      <c r="D108" s="92">
        <f>D101*D106+(1-D101)*D107</f>
        <v>6.9597106090600352E-2</v>
      </c>
      <c r="E108" s="92">
        <f t="shared" ref="E108:N108" si="31">E101*E106+(1-E101)*E107</f>
        <v>6.1312460747768298E-2</v>
      </c>
      <c r="F108" s="92">
        <f t="shared" si="31"/>
        <v>7.2517085265871778E-2</v>
      </c>
      <c r="G108" s="92">
        <f t="shared" si="31"/>
        <v>6.5862313102854661E-2</v>
      </c>
      <c r="H108" s="92">
        <f t="shared" si="31"/>
        <v>5.9463266159969802E-2</v>
      </c>
      <c r="I108" s="92">
        <f t="shared" si="31"/>
        <v>5.8068604093640057E-2</v>
      </c>
      <c r="J108" s="92">
        <f t="shared" si="31"/>
        <v>5.4049419518666791E-2</v>
      </c>
      <c r="K108" s="92">
        <f t="shared" si="31"/>
        <v>5.2065883758289619E-2</v>
      </c>
      <c r="L108" s="92">
        <f t="shared" si="31"/>
        <v>4.3870069947749842E-2</v>
      </c>
      <c r="M108" s="92">
        <f t="shared" si="31"/>
        <v>3.7263987503826673E-2</v>
      </c>
      <c r="N108" s="92">
        <f t="shared" si="31"/>
        <v>4.5301340564600001E-2</v>
      </c>
      <c r="O108" s="37"/>
    </row>
    <row r="109" spans="1:15" x14ac:dyDescent="0.25">
      <c r="A109" s="32"/>
      <c r="B109" s="59"/>
      <c r="C109" s="59"/>
      <c r="D109" s="77"/>
      <c r="E109" s="77"/>
      <c r="F109" s="77"/>
      <c r="G109" s="77"/>
      <c r="H109" s="77"/>
      <c r="I109" s="77"/>
      <c r="J109" s="77"/>
      <c r="K109" s="77"/>
      <c r="L109" s="77"/>
      <c r="M109" s="77"/>
      <c r="N109" s="77"/>
      <c r="O109" s="37"/>
    </row>
  </sheetData>
  <phoneticPr fontId="43" type="noConversion"/>
  <pageMargins left="0.7" right="0.7" top="0.75" bottom="0.75" header="0.3" footer="0.3"/>
  <pageSetup paperSize="8" scale="78" fitToHeight="0" orientation="landscape" r:id="rId1"/>
  <rowBreaks count="1" manualBreakCount="1">
    <brk id="73"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68"/>
  <sheetViews>
    <sheetView showGridLines="0" zoomScale="130" zoomScaleNormal="130" zoomScaleSheetLayoutView="90" workbookViewId="0">
      <pane xSplit="1" ySplit="6" topLeftCell="G7" activePane="bottomRight" state="frozen"/>
      <selection activeCell="A221" sqref="A221"/>
      <selection pane="topRight" activeCell="A221" sqref="A221"/>
      <selection pane="bottomLeft" activeCell="A221" sqref="A221"/>
      <selection pane="bottomRight" activeCell="A3" sqref="A3"/>
    </sheetView>
  </sheetViews>
  <sheetFormatPr defaultColWidth="9.140625" defaultRowHeight="15" x14ac:dyDescent="0.25"/>
  <cols>
    <col min="1" max="1" width="56.42578125" style="130" customWidth="1"/>
    <col min="2" max="3" width="15.140625" customWidth="1"/>
    <col min="4" max="4" width="29" bestFit="1" customWidth="1"/>
    <col min="5" max="8" width="14.28515625" bestFit="1" customWidth="1"/>
    <col min="9" max="9" width="12.85546875" customWidth="1"/>
    <col min="10" max="11" width="14.28515625" bestFit="1" customWidth="1"/>
    <col min="12" max="13" width="12.5703125" customWidth="1"/>
    <col min="14" max="14" width="19.28515625" customWidth="1"/>
    <col min="15" max="15" width="14.85546875" customWidth="1"/>
    <col min="16" max="16" width="27" customWidth="1"/>
    <col min="17" max="17" width="15.5703125" customWidth="1"/>
    <col min="18" max="18" width="15.7109375" customWidth="1"/>
    <col min="19" max="19" width="33.5703125" customWidth="1"/>
  </cols>
  <sheetData>
    <row r="1" spans="1:17" ht="30" customHeight="1" x14ac:dyDescent="0.4">
      <c r="A1" s="128" t="s">
        <v>194</v>
      </c>
      <c r="B1" s="10"/>
      <c r="C1" s="10"/>
      <c r="J1" s="176"/>
    </row>
    <row r="2" spans="1:17" ht="26.25" x14ac:dyDescent="0.4">
      <c r="A2" s="128" t="s">
        <v>222</v>
      </c>
      <c r="D2" s="37"/>
      <c r="E2" s="37"/>
      <c r="F2" s="37"/>
      <c r="G2" s="37"/>
      <c r="H2" s="37"/>
      <c r="I2" s="37"/>
      <c r="J2" s="37"/>
      <c r="K2" s="37"/>
      <c r="L2" s="37"/>
      <c r="M2" s="37"/>
    </row>
    <row r="3" spans="1:17" x14ac:dyDescent="0.25">
      <c r="A3" s="45"/>
      <c r="D3" s="37"/>
      <c r="E3" s="37"/>
      <c r="F3" s="37"/>
      <c r="G3" s="37"/>
      <c r="H3" s="37"/>
      <c r="I3" s="37"/>
      <c r="J3" s="37"/>
      <c r="K3" s="37"/>
      <c r="L3" s="37"/>
      <c r="M3" s="37"/>
      <c r="N3" s="37"/>
    </row>
    <row r="4" spans="1:17" ht="21" x14ac:dyDescent="0.35">
      <c r="A4" s="129" t="s">
        <v>16</v>
      </c>
      <c r="D4" s="11"/>
      <c r="E4" s="11"/>
      <c r="F4" s="11"/>
      <c r="G4" s="11"/>
      <c r="H4" s="11"/>
      <c r="I4" s="11"/>
      <c r="J4" s="11"/>
      <c r="K4" s="11"/>
      <c r="L4" s="11"/>
      <c r="M4" s="11"/>
      <c r="N4" s="62" t="s">
        <v>48</v>
      </c>
      <c r="Q4" s="20"/>
    </row>
    <row r="5" spans="1:17" x14ac:dyDescent="0.25">
      <c r="B5" s="10"/>
      <c r="C5" s="10"/>
      <c r="D5" s="10"/>
      <c r="E5" s="10"/>
      <c r="F5" s="10"/>
      <c r="G5" s="10"/>
      <c r="H5" s="10"/>
      <c r="I5" s="10"/>
      <c r="J5" s="10"/>
      <c r="K5" s="10"/>
      <c r="L5" s="10"/>
      <c r="M5" s="10"/>
      <c r="N5" s="63">
        <v>44561</v>
      </c>
      <c r="Q5" s="20"/>
    </row>
    <row r="6" spans="1:17" ht="18.75" x14ac:dyDescent="0.3">
      <c r="A6" s="33"/>
      <c r="B6" s="22"/>
      <c r="C6" s="22"/>
      <c r="D6" s="22"/>
      <c r="E6" s="22"/>
      <c r="F6" s="22"/>
      <c r="G6" s="22"/>
      <c r="H6" s="22"/>
      <c r="I6" s="22"/>
      <c r="J6" s="22"/>
      <c r="K6" s="22"/>
      <c r="L6" s="22"/>
      <c r="M6" s="22"/>
      <c r="N6" s="22"/>
      <c r="O6" s="22"/>
      <c r="Q6" s="20"/>
    </row>
    <row r="7" spans="1:17" ht="18" customHeight="1" x14ac:dyDescent="0.3">
      <c r="A7" s="35" t="s">
        <v>51</v>
      </c>
      <c r="B7" s="21" t="s">
        <v>15</v>
      </c>
      <c r="C7" s="21"/>
      <c r="D7" s="17"/>
      <c r="E7" s="17"/>
      <c r="F7" s="17"/>
      <c r="G7" s="17"/>
      <c r="H7" s="17"/>
      <c r="I7" s="17"/>
      <c r="J7" s="17"/>
      <c r="K7" s="17"/>
      <c r="L7" s="17"/>
      <c r="M7" s="17"/>
      <c r="N7" s="105">
        <f>N36</f>
        <v>-734618.43399887602</v>
      </c>
      <c r="O7" s="22"/>
      <c r="P7" s="12"/>
      <c r="Q7" s="12"/>
    </row>
    <row r="8" spans="1:17" ht="18" customHeight="1" x14ac:dyDescent="0.3">
      <c r="A8" s="106" t="s">
        <v>62</v>
      </c>
      <c r="B8" s="21" t="s">
        <v>15</v>
      </c>
      <c r="C8" s="21"/>
      <c r="D8" s="17"/>
      <c r="E8" s="17"/>
      <c r="F8" s="17"/>
      <c r="G8" s="17"/>
      <c r="H8" s="17"/>
      <c r="I8" s="17"/>
      <c r="J8" s="17"/>
      <c r="K8" s="17"/>
      <c r="L8" s="17"/>
      <c r="M8" s="17"/>
      <c r="N8" s="105">
        <f>N55</f>
        <v>539229.85756647168</v>
      </c>
      <c r="O8" s="22"/>
      <c r="P8" s="12"/>
    </row>
    <row r="9" spans="1:17" ht="18" customHeight="1" x14ac:dyDescent="0.3">
      <c r="A9" s="107" t="s">
        <v>40</v>
      </c>
      <c r="B9" s="21" t="s">
        <v>15</v>
      </c>
      <c r="C9" s="21"/>
      <c r="D9" s="17"/>
      <c r="E9" s="17"/>
      <c r="F9" s="17"/>
      <c r="G9" s="17"/>
      <c r="H9" s="17"/>
      <c r="I9" s="17"/>
      <c r="J9" s="17"/>
      <c r="K9" s="17"/>
      <c r="L9" s="17"/>
      <c r="M9" s="17"/>
      <c r="N9" s="105">
        <f>N72</f>
        <v>59359.047932500653</v>
      </c>
      <c r="O9" s="22"/>
      <c r="P9" s="12"/>
    </row>
    <row r="10" spans="1:17" ht="18" customHeight="1" x14ac:dyDescent="0.3">
      <c r="A10" s="15" t="s">
        <v>185</v>
      </c>
      <c r="B10" s="21" t="s">
        <v>15</v>
      </c>
      <c r="C10" s="21"/>
      <c r="D10" s="17"/>
      <c r="E10" s="17"/>
      <c r="F10" s="17"/>
      <c r="G10" s="17"/>
      <c r="H10" s="17"/>
      <c r="I10" s="17"/>
      <c r="J10" s="17"/>
      <c r="K10" s="17"/>
      <c r="L10" s="17"/>
      <c r="M10" s="17"/>
      <c r="N10" s="66">
        <f>SUM(N7:N9)</f>
        <v>-136029.52849990368</v>
      </c>
      <c r="O10" s="22"/>
      <c r="P10" s="12"/>
    </row>
    <row r="11" spans="1:17" ht="18" customHeight="1" x14ac:dyDescent="0.3">
      <c r="A11" s="35" t="s">
        <v>186</v>
      </c>
      <c r="B11" s="21" t="s">
        <v>15</v>
      </c>
      <c r="C11" s="21"/>
      <c r="D11" s="17"/>
      <c r="E11" s="17"/>
      <c r="F11" s="17"/>
      <c r="G11" s="17"/>
      <c r="H11" s="17"/>
      <c r="I11" s="17"/>
      <c r="J11" s="17"/>
      <c r="K11" s="17"/>
      <c r="L11" s="17"/>
      <c r="M11" s="17"/>
      <c r="N11" s="105">
        <f>IF(N131&gt;0,0,N131)</f>
        <v>0</v>
      </c>
      <c r="O11" s="22"/>
      <c r="P11" s="12"/>
    </row>
    <row r="12" spans="1:17" ht="18" customHeight="1" x14ac:dyDescent="0.3">
      <c r="A12" s="15" t="s">
        <v>220</v>
      </c>
      <c r="B12" s="66"/>
      <c r="C12" s="66"/>
      <c r="D12" s="66"/>
      <c r="E12" s="66"/>
      <c r="F12" s="66"/>
      <c r="G12" s="66"/>
      <c r="H12" s="66"/>
      <c r="I12" s="66"/>
      <c r="J12" s="66"/>
      <c r="K12" s="66"/>
      <c r="L12" s="66"/>
      <c r="M12" s="66"/>
      <c r="N12" s="66">
        <f>N8-N10</f>
        <v>675259.3860663753</v>
      </c>
      <c r="O12" s="22"/>
      <c r="P12" s="12"/>
    </row>
    <row r="13" spans="1:17" ht="18" customHeight="1" x14ac:dyDescent="0.3">
      <c r="A13" s="24"/>
      <c r="N13" s="66"/>
      <c r="O13" s="22"/>
    </row>
    <row r="14" spans="1:17" ht="18" customHeight="1" x14ac:dyDescent="0.35">
      <c r="A14" s="129" t="s">
        <v>39</v>
      </c>
      <c r="C14" s="62" t="s">
        <v>41</v>
      </c>
      <c r="D14" s="62" t="s">
        <v>64</v>
      </c>
      <c r="E14" s="62" t="s">
        <v>42</v>
      </c>
      <c r="F14" s="62" t="s">
        <v>42</v>
      </c>
      <c r="G14" s="62" t="s">
        <v>42</v>
      </c>
      <c r="H14" s="62" t="s">
        <v>42</v>
      </c>
      <c r="I14" s="62" t="s">
        <v>42</v>
      </c>
      <c r="J14" s="62" t="s">
        <v>42</v>
      </c>
      <c r="K14" s="62" t="s">
        <v>42</v>
      </c>
      <c r="L14" s="62" t="s">
        <v>42</v>
      </c>
      <c r="M14" s="62" t="s">
        <v>42</v>
      </c>
      <c r="N14" s="62" t="s">
        <v>65</v>
      </c>
    </row>
    <row r="15" spans="1:17" ht="18" customHeight="1" x14ac:dyDescent="0.2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row>
    <row r="16" spans="1:17" ht="18" customHeight="1" x14ac:dyDescent="0.3">
      <c r="A16" s="33" t="s">
        <v>28</v>
      </c>
      <c r="B16" s="22"/>
      <c r="C16" s="22"/>
      <c r="D16" s="22"/>
      <c r="E16" s="22"/>
      <c r="F16" s="22"/>
      <c r="G16" s="22"/>
      <c r="H16" s="22"/>
      <c r="I16" s="22"/>
      <c r="J16" s="22"/>
      <c r="K16" s="22"/>
      <c r="L16" s="22"/>
      <c r="M16" s="22"/>
      <c r="N16" s="22"/>
    </row>
    <row r="17" spans="1:17" ht="18" customHeight="1" x14ac:dyDescent="0.25">
      <c r="A17" s="35" t="s">
        <v>53</v>
      </c>
      <c r="B17" s="21" t="s">
        <v>15</v>
      </c>
      <c r="C17" s="68"/>
      <c r="D17" s="68">
        <f>'Model inputs'!D7</f>
        <v>26.556290000000001</v>
      </c>
      <c r="E17" s="68">
        <f>'Model inputs'!E7</f>
        <v>453.41291999999999</v>
      </c>
      <c r="F17" s="68">
        <f>'Model inputs'!F7</f>
        <v>2566.1678099999999</v>
      </c>
      <c r="G17" s="68">
        <f>'Model inputs'!G7</f>
        <v>8329.7640800000008</v>
      </c>
      <c r="H17" s="68">
        <f>'Model inputs'!H7</f>
        <v>21610.296129999999</v>
      </c>
      <c r="I17" s="68">
        <f>'Model inputs'!I7</f>
        <v>38868.445209999998</v>
      </c>
      <c r="J17" s="68">
        <f>'Model inputs'!J7</f>
        <v>52728.780570000003</v>
      </c>
      <c r="K17" s="68">
        <f>'Model inputs'!K7</f>
        <v>67063.193889999995</v>
      </c>
      <c r="L17" s="68">
        <f>'Model inputs'!L7</f>
        <v>83043.122449999995</v>
      </c>
      <c r="M17" s="68">
        <f>'Model inputs'!M7</f>
        <v>96889.203500000003</v>
      </c>
      <c r="N17" s="68">
        <f>'Model inputs'!N7</f>
        <v>51005.197540000001</v>
      </c>
    </row>
    <row r="18" spans="1:17" ht="18" customHeight="1" x14ac:dyDescent="0.25">
      <c r="A18" s="35" t="s">
        <v>162</v>
      </c>
      <c r="B18" s="21" t="s">
        <v>23</v>
      </c>
      <c r="C18" s="69"/>
      <c r="D18" s="69">
        <f>'Model inputs'!D95</f>
        <v>1.9593390078055666</v>
      </c>
      <c r="E18" s="69">
        <f>'Model inputs'!E95</f>
        <v>1.7539613476843365</v>
      </c>
      <c r="F18" s="69">
        <f>'Model inputs'!F95</f>
        <v>1.7796997050243895</v>
      </c>
      <c r="G18" s="69">
        <f>'Model inputs'!G95</f>
        <v>1.5960693536738424</v>
      </c>
      <c r="H18" s="69">
        <f>'Model inputs'!H95</f>
        <v>1.4429540372853003</v>
      </c>
      <c r="I18" s="69">
        <f>'Model inputs'!I95</f>
        <v>1.3472510185593161</v>
      </c>
      <c r="J18" s="69">
        <f>'Model inputs'!J95</f>
        <v>1.2507605408411417</v>
      </c>
      <c r="K18" s="69">
        <f>'Model inputs'!K95</f>
        <v>1.1747533807929349</v>
      </c>
      <c r="L18" s="69">
        <f>'Model inputs'!L95</f>
        <v>1.0975242502539282</v>
      </c>
      <c r="M18" s="69">
        <f>'Model inputs'!M95</f>
        <v>1.0403683741122254</v>
      </c>
      <c r="N18" s="69">
        <f>'Model inputs'!N95</f>
        <v>1.0082344229478826</v>
      </c>
    </row>
    <row r="19" spans="1:17" ht="18" customHeight="1" x14ac:dyDescent="0.25">
      <c r="A19" s="71" t="s">
        <v>54</v>
      </c>
      <c r="B19" s="21" t="s">
        <v>15</v>
      </c>
      <c r="C19" s="17"/>
      <c r="D19" s="17">
        <f t="shared" ref="D19:N19" si="0">D17*D18</f>
        <v>52.032774899596888</v>
      </c>
      <c r="E19" s="17">
        <f t="shared" si="0"/>
        <v>795.26873622069024</v>
      </c>
      <c r="F19" s="17">
        <f t="shared" si="0"/>
        <v>4567.0080945000836</v>
      </c>
      <c r="G19" s="17">
        <f t="shared" si="0"/>
        <v>13294.88117142119</v>
      </c>
      <c r="H19" s="17">
        <f t="shared" si="0"/>
        <v>31182.664047714399</v>
      </c>
      <c r="I19" s="17">
        <f t="shared" si="0"/>
        <v>52365.552398989465</v>
      </c>
      <c r="J19" s="17">
        <f t="shared" si="0"/>
        <v>65951.078103627093</v>
      </c>
      <c r="K19" s="17">
        <f t="shared" si="0"/>
        <v>78782.713749049595</v>
      </c>
      <c r="L19" s="17">
        <f t="shared" si="0"/>
        <v>91141.840705681403</v>
      </c>
      <c r="M19" s="17">
        <f t="shared" si="0"/>
        <v>100800.46311432355</v>
      </c>
      <c r="N19" s="17">
        <f t="shared" si="0"/>
        <v>51425.195909084658</v>
      </c>
    </row>
    <row r="20" spans="1:17" ht="18" customHeight="1" x14ac:dyDescent="0.25">
      <c r="A20" s="23"/>
      <c r="B20" s="18"/>
      <c r="C20" s="19"/>
      <c r="D20" s="19"/>
      <c r="E20" s="19"/>
      <c r="F20" s="19"/>
      <c r="G20" s="19"/>
      <c r="H20" s="19"/>
      <c r="I20" s="19"/>
      <c r="J20" s="19"/>
      <c r="K20" s="19"/>
      <c r="L20" s="19"/>
      <c r="M20" s="19"/>
      <c r="N20" s="19"/>
    </row>
    <row r="21" spans="1:17" ht="18" customHeight="1" x14ac:dyDescent="0.3">
      <c r="A21" s="28" t="s">
        <v>20</v>
      </c>
      <c r="B21" s="41"/>
      <c r="C21" s="46"/>
      <c r="D21" s="46"/>
      <c r="E21" s="46"/>
      <c r="F21" s="46"/>
      <c r="G21" s="46"/>
      <c r="H21" s="46"/>
      <c r="I21" s="46"/>
      <c r="J21" s="46"/>
      <c r="K21" s="46"/>
      <c r="L21" s="46"/>
      <c r="M21" s="46"/>
      <c r="N21" s="46"/>
    </row>
    <row r="22" spans="1:17" ht="18" customHeight="1" x14ac:dyDescent="0.25">
      <c r="A22" s="35" t="s">
        <v>187</v>
      </c>
      <c r="B22" s="21" t="s">
        <v>15</v>
      </c>
      <c r="C22" s="46">
        <f>C50</f>
        <v>1057.95234</v>
      </c>
      <c r="D22" s="46"/>
      <c r="E22" s="46"/>
      <c r="F22" s="46"/>
      <c r="G22" s="46"/>
      <c r="H22" s="46"/>
      <c r="I22" s="46"/>
      <c r="J22" s="46"/>
      <c r="K22" s="46"/>
      <c r="L22" s="46"/>
      <c r="M22" s="46"/>
      <c r="N22" s="46"/>
    </row>
    <row r="23" spans="1:17" ht="18" customHeight="1" x14ac:dyDescent="0.25">
      <c r="A23" s="35" t="s">
        <v>161</v>
      </c>
      <c r="B23" s="21" t="s">
        <v>23</v>
      </c>
      <c r="C23" s="69">
        <f>'Model inputs'!C90</f>
        <v>1.9880089667234626</v>
      </c>
      <c r="D23" s="46"/>
      <c r="E23" s="46"/>
      <c r="F23" s="46"/>
      <c r="G23" s="46"/>
      <c r="H23" s="46"/>
      <c r="I23" s="46"/>
      <c r="J23" s="46"/>
      <c r="K23" s="46"/>
      <c r="L23" s="46"/>
      <c r="M23" s="46"/>
      <c r="N23" s="46"/>
    </row>
    <row r="24" spans="1:17" ht="18" customHeight="1" x14ac:dyDescent="0.25">
      <c r="A24" s="15" t="s">
        <v>188</v>
      </c>
      <c r="B24" s="21" t="s">
        <v>15</v>
      </c>
      <c r="C24" s="17">
        <f t="shared" ref="C24" si="1">C22*C23</f>
        <v>2103.2187382860693</v>
      </c>
      <c r="D24" s="46"/>
      <c r="E24" s="46"/>
      <c r="F24" s="46"/>
      <c r="G24" s="46"/>
      <c r="H24" s="46"/>
      <c r="I24" s="46"/>
      <c r="J24" s="46"/>
      <c r="K24" s="46"/>
      <c r="L24" s="46"/>
      <c r="M24" s="46"/>
      <c r="N24" s="46"/>
    </row>
    <row r="25" spans="1:17" ht="18" customHeight="1" x14ac:dyDescent="0.25">
      <c r="A25" s="15"/>
      <c r="B25" s="41"/>
      <c r="C25" s="17"/>
      <c r="D25" s="46"/>
      <c r="E25" s="46"/>
      <c r="F25" s="46"/>
      <c r="G25" s="46"/>
      <c r="H25" s="46"/>
      <c r="I25" s="46"/>
      <c r="J25" s="46"/>
      <c r="K25" s="46"/>
      <c r="L25" s="46"/>
      <c r="M25" s="46"/>
      <c r="N25" s="46"/>
    </row>
    <row r="26" spans="1:17" ht="18" customHeight="1" x14ac:dyDescent="0.25">
      <c r="A26" s="35" t="s">
        <v>120</v>
      </c>
      <c r="B26" s="21" t="s">
        <v>15</v>
      </c>
      <c r="C26" s="17"/>
      <c r="D26" s="68">
        <f>'Model inputs'!D11</f>
        <v>21821.85815</v>
      </c>
      <c r="E26" s="68">
        <f>'Model inputs'!E11</f>
        <v>67658.400109999944</v>
      </c>
      <c r="F26" s="68">
        <f>'Model inputs'!F11</f>
        <v>55787.785080000169</v>
      </c>
      <c r="G26" s="68">
        <f>'Model inputs'!G11</f>
        <v>74554.024309998451</v>
      </c>
      <c r="H26" s="68">
        <f>'Model inputs'!H11</f>
        <v>78255.582749989946</v>
      </c>
      <c r="I26" s="68">
        <f>'Model inputs'!I11</f>
        <v>104236.29303000245</v>
      </c>
      <c r="J26" s="68">
        <f>'Model inputs'!J11</f>
        <v>47701.611070005878</v>
      </c>
      <c r="K26" s="68">
        <f>'Model inputs'!K11</f>
        <v>91498.40410969709</v>
      </c>
      <c r="L26" s="68">
        <f>'Model inputs'!L11</f>
        <v>85077.7088193253</v>
      </c>
      <c r="M26" s="68">
        <f>'Model inputs'!M11</f>
        <v>44399.719847293374</v>
      </c>
      <c r="N26" s="68">
        <f>'Model inputs'!N11</f>
        <v>17681.592660153015</v>
      </c>
      <c r="Q26" s="12"/>
    </row>
    <row r="27" spans="1:17" ht="18" customHeight="1" x14ac:dyDescent="0.25">
      <c r="A27" s="103" t="s">
        <v>57</v>
      </c>
      <c r="B27" s="21" t="s">
        <v>15</v>
      </c>
      <c r="C27" s="68"/>
      <c r="D27" s="68">
        <f>'Model inputs'!D13</f>
        <v>1351.5248200000001</v>
      </c>
      <c r="E27" s="68">
        <f>'Model inputs'!E13</f>
        <v>6979.6552300000003</v>
      </c>
      <c r="F27" s="68">
        <f>'Model inputs'!F13</f>
        <v>11858.16049</v>
      </c>
      <c r="G27" s="68">
        <f>'Model inputs'!G13</f>
        <v>13653.57669</v>
      </c>
      <c r="H27" s="68">
        <f>'Model inputs'!H13</f>
        <v>18101.736870000001</v>
      </c>
      <c r="I27" s="68">
        <f>'Model inputs'!I13</f>
        <v>23069.52074</v>
      </c>
      <c r="J27" s="68">
        <f>'Model inputs'!J13</f>
        <v>23788.089400000001</v>
      </c>
      <c r="K27" s="68">
        <f>'Model inputs'!K13</f>
        <v>25932.407190000002</v>
      </c>
      <c r="L27" s="68">
        <f>'Model inputs'!L13</f>
        <v>28182.756659999999</v>
      </c>
      <c r="M27" s="68">
        <f>'Model inputs'!M13</f>
        <v>31224.263480000001</v>
      </c>
      <c r="N27" s="68">
        <f>'Model inputs'!N13</f>
        <v>18931.197219999998</v>
      </c>
      <c r="Q27" s="12"/>
    </row>
    <row r="28" spans="1:17" ht="18" customHeight="1" x14ac:dyDescent="0.25">
      <c r="A28" s="35" t="s">
        <v>56</v>
      </c>
      <c r="B28" s="21" t="s">
        <v>15</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x14ac:dyDescent="0.25">
      <c r="A29" s="35" t="s">
        <v>58</v>
      </c>
      <c r="B29" s="21" t="s">
        <v>15</v>
      </c>
      <c r="C29" s="26"/>
      <c r="D29" s="26">
        <f t="shared" ref="D29:M29" si="3">D125</f>
        <v>0</v>
      </c>
      <c r="E29" s="26">
        <f>E125</f>
        <v>0</v>
      </c>
      <c r="F29" s="26">
        <f t="shared" si="3"/>
        <v>0</v>
      </c>
      <c r="G29" s="26">
        <f t="shared" si="3"/>
        <v>0</v>
      </c>
      <c r="H29" s="26">
        <f t="shared" si="3"/>
        <v>0</v>
      </c>
      <c r="I29" s="26">
        <f t="shared" si="3"/>
        <v>0</v>
      </c>
      <c r="J29" s="26">
        <f t="shared" si="3"/>
        <v>0</v>
      </c>
      <c r="K29" s="26">
        <f t="shared" si="3"/>
        <v>0</v>
      </c>
      <c r="L29" s="26">
        <f t="shared" si="3"/>
        <v>0</v>
      </c>
      <c r="M29" s="26">
        <f t="shared" si="3"/>
        <v>0</v>
      </c>
      <c r="N29" s="26">
        <f>N125</f>
        <v>949.11350035360329</v>
      </c>
      <c r="Q29" s="12"/>
    </row>
    <row r="30" spans="1:17" ht="18" customHeight="1" x14ac:dyDescent="0.25">
      <c r="A30" s="108" t="s">
        <v>174</v>
      </c>
      <c r="B30" s="21" t="s">
        <v>15</v>
      </c>
      <c r="C30" s="31"/>
      <c r="D30" s="31">
        <f t="shared" ref="D30:N30" si="4">SUM(D26:D29)</f>
        <v>23173.382969999999</v>
      </c>
      <c r="E30" s="31">
        <f t="shared" si="4"/>
        <v>74638.055339999948</v>
      </c>
      <c r="F30" s="31">
        <f t="shared" si="4"/>
        <v>67645.945570000171</v>
      </c>
      <c r="G30" s="31">
        <f t="shared" si="4"/>
        <v>88207.600999998453</v>
      </c>
      <c r="H30" s="31">
        <f t="shared" si="4"/>
        <v>96357.319619989954</v>
      </c>
      <c r="I30" s="31">
        <f t="shared" si="4"/>
        <v>127305.81377000245</v>
      </c>
      <c r="J30" s="31">
        <f t="shared" si="4"/>
        <v>71489.700470005875</v>
      </c>
      <c r="K30" s="31">
        <f t="shared" si="4"/>
        <v>117430.81129969709</v>
      </c>
      <c r="L30" s="31">
        <f t="shared" si="4"/>
        <v>113260.4654793253</v>
      </c>
      <c r="M30" s="31">
        <f t="shared" si="4"/>
        <v>75623.983327293376</v>
      </c>
      <c r="N30" s="31">
        <f t="shared" si="4"/>
        <v>37561.903380506614</v>
      </c>
      <c r="Q30" s="12"/>
    </row>
    <row r="31" spans="1:17" ht="18" customHeight="1" x14ac:dyDescent="0.25">
      <c r="A31" s="35" t="s">
        <v>159</v>
      </c>
      <c r="B31" s="21" t="s">
        <v>23</v>
      </c>
      <c r="C31" s="69"/>
      <c r="D31" s="69">
        <f>'Model inputs'!D85</f>
        <v>1.9716523217775115</v>
      </c>
      <c r="E31" s="69">
        <f>'Model inputs'!E85</f>
        <v>1.76398429597453</v>
      </c>
      <c r="F31" s="69">
        <f>'Model inputs'!F85</f>
        <v>1.7914568352908242</v>
      </c>
      <c r="G31" s="69">
        <f>'Model inputs'!G85</f>
        <v>1.6058558416530693</v>
      </c>
      <c r="H31" s="69">
        <f>'Model inputs'!H85</f>
        <v>1.4510642711998849</v>
      </c>
      <c r="I31" s="69">
        <f>'Model inputs'!I85</f>
        <v>1.3546621879514464</v>
      </c>
      <c r="J31" s="69">
        <f>'Model inputs'!J85</f>
        <v>1.2572446412940239</v>
      </c>
      <c r="K31" s="69">
        <f>'Model inputs'!K85</f>
        <v>1.1806417697833558</v>
      </c>
      <c r="L31" s="69">
        <f>'Model inputs'!L85</f>
        <v>1.1023634907865856</v>
      </c>
      <c r="M31" s="69">
        <f>'Model inputs'!M85</f>
        <v>1.0444688740048842</v>
      </c>
      <c r="N31" s="69">
        <f>'Model inputs'!N85</f>
        <v>1.0129497546107082</v>
      </c>
      <c r="Q31" s="12"/>
    </row>
    <row r="32" spans="1:17" ht="18" customHeight="1" x14ac:dyDescent="0.25">
      <c r="A32" s="15" t="s">
        <v>55</v>
      </c>
      <c r="B32" s="21" t="s">
        <v>15</v>
      </c>
      <c r="C32" s="17"/>
      <c r="D32" s="17">
        <f t="shared" ref="D32:N32" si="5">D30*D31</f>
        <v>45689.854336239943</v>
      </c>
      <c r="E32" s="17">
        <f t="shared" si="5"/>
        <v>131660.3575018378</v>
      </c>
      <c r="F32" s="17">
        <f t="shared" si="5"/>
        <v>121184.79157108786</v>
      </c>
      <c r="G32" s="17">
        <f t="shared" si="5"/>
        <v>141648.69134405063</v>
      </c>
      <c r="H32" s="17">
        <f t="shared" si="5"/>
        <v>139820.6637691551</v>
      </c>
      <c r="I32" s="17">
        <f t="shared" si="5"/>
        <v>172456.37222061091</v>
      </c>
      <c r="J32" s="17">
        <f t="shared" si="5"/>
        <v>89880.042823629745</v>
      </c>
      <c r="K32" s="17">
        <f t="shared" si="5"/>
        <v>138643.72087996965</v>
      </c>
      <c r="L32" s="17">
        <f t="shared" si="5"/>
        <v>124854.20209390261</v>
      </c>
      <c r="M32" s="17">
        <f t="shared" si="5"/>
        <v>78986.896713622249</v>
      </c>
      <c r="N32" s="17">
        <f t="shared" si="5"/>
        <v>38048.320811995305</v>
      </c>
      <c r="Q32" s="12"/>
    </row>
    <row r="33" spans="1:17" ht="18" customHeight="1" x14ac:dyDescent="0.25">
      <c r="A33" s="23"/>
      <c r="B33" s="18"/>
      <c r="C33" s="19"/>
      <c r="D33" s="19"/>
      <c r="E33" s="19"/>
      <c r="F33" s="19"/>
      <c r="G33" s="19"/>
      <c r="H33" s="19"/>
      <c r="I33" s="19"/>
      <c r="J33" s="19"/>
      <c r="K33" s="19"/>
      <c r="L33" s="19"/>
      <c r="M33" s="19"/>
      <c r="N33" s="19"/>
    </row>
    <row r="34" spans="1:17" ht="18" customHeight="1" x14ac:dyDescent="0.3">
      <c r="A34" s="28" t="s">
        <v>38</v>
      </c>
      <c r="B34" s="27"/>
      <c r="C34" s="25"/>
      <c r="D34" s="25"/>
      <c r="E34" s="25"/>
      <c r="F34" s="25"/>
      <c r="G34" s="25"/>
      <c r="H34" s="25"/>
      <c r="I34" s="25"/>
      <c r="J34" s="25"/>
      <c r="K34" s="25"/>
      <c r="L34" s="25"/>
      <c r="M34" s="25"/>
      <c r="N34" s="25"/>
    </row>
    <row r="35" spans="1:17" ht="18" customHeight="1" x14ac:dyDescent="0.25">
      <c r="A35" s="15" t="s">
        <v>52</v>
      </c>
      <c r="B35" s="21" t="s">
        <v>15</v>
      </c>
      <c r="C35" s="122">
        <f>-C24</f>
        <v>-2103.2187382860693</v>
      </c>
      <c r="D35" s="17">
        <f t="shared" ref="D35:N35" si="6">D19-D32</f>
        <v>-45637.821561340344</v>
      </c>
      <c r="E35" s="17">
        <f t="shared" si="6"/>
        <v>-130865.08876561711</v>
      </c>
      <c r="F35" s="17">
        <f t="shared" si="6"/>
        <v>-116617.78347658778</v>
      </c>
      <c r="G35" s="17">
        <f t="shared" si="6"/>
        <v>-128353.81017262944</v>
      </c>
      <c r="H35" s="17">
        <f t="shared" si="6"/>
        <v>-108637.9997214407</v>
      </c>
      <c r="I35" s="17">
        <f t="shared" si="6"/>
        <v>-120090.81982162144</v>
      </c>
      <c r="J35" s="17">
        <f t="shared" si="6"/>
        <v>-23928.964720002652</v>
      </c>
      <c r="K35" s="17">
        <f t="shared" si="6"/>
        <v>-59861.007130920058</v>
      </c>
      <c r="L35" s="17">
        <f t="shared" si="6"/>
        <v>-33712.361388221208</v>
      </c>
      <c r="M35" s="17">
        <f t="shared" si="6"/>
        <v>21813.566400701297</v>
      </c>
      <c r="N35" s="17">
        <f t="shared" si="6"/>
        <v>13376.875097089352</v>
      </c>
      <c r="Q35" s="12"/>
    </row>
    <row r="36" spans="1:17" ht="18" customHeight="1" x14ac:dyDescent="0.3">
      <c r="A36" s="15" t="s">
        <v>51</v>
      </c>
      <c r="B36" s="21" t="s">
        <v>15</v>
      </c>
      <c r="C36" s="17"/>
      <c r="D36" s="17"/>
      <c r="E36" s="17"/>
      <c r="F36" s="17"/>
      <c r="G36" s="17"/>
      <c r="H36" s="17"/>
      <c r="I36" s="17"/>
      <c r="J36" s="17"/>
      <c r="K36" s="17"/>
      <c r="L36" s="17"/>
      <c r="M36" s="17"/>
      <c r="N36" s="66">
        <f>SUM(C35:N35)</f>
        <v>-734618.43399887602</v>
      </c>
      <c r="Q36" s="12"/>
    </row>
    <row r="37" spans="1:17" ht="18" customHeight="1" x14ac:dyDescent="0.25">
      <c r="A37" s="23"/>
      <c r="B37" s="18"/>
      <c r="C37" s="18"/>
      <c r="D37" s="19"/>
      <c r="E37" s="19"/>
      <c r="F37" s="19"/>
      <c r="G37" s="19"/>
      <c r="H37" s="19"/>
      <c r="I37" s="19"/>
      <c r="J37" s="19"/>
      <c r="K37" s="19"/>
      <c r="L37" s="19"/>
      <c r="M37" s="19"/>
      <c r="N37" s="19"/>
    </row>
    <row r="38" spans="1:17" ht="18" customHeight="1" x14ac:dyDescent="0.25"/>
    <row r="39" spans="1:17" ht="18" customHeight="1" x14ac:dyDescent="0.35">
      <c r="A39" s="129" t="s">
        <v>167</v>
      </c>
      <c r="C39" s="62" t="s">
        <v>41</v>
      </c>
      <c r="D39" s="62" t="s">
        <v>64</v>
      </c>
      <c r="E39" s="62" t="s">
        <v>42</v>
      </c>
      <c r="F39" s="62" t="s">
        <v>42</v>
      </c>
      <c r="G39" s="62" t="s">
        <v>42</v>
      </c>
      <c r="H39" s="62" t="s">
        <v>42</v>
      </c>
      <c r="I39" s="62" t="s">
        <v>42</v>
      </c>
      <c r="J39" s="62" t="s">
        <v>42</v>
      </c>
      <c r="K39" s="62" t="s">
        <v>42</v>
      </c>
      <c r="L39" s="62" t="s">
        <v>42</v>
      </c>
      <c r="M39" s="62" t="s">
        <v>42</v>
      </c>
      <c r="N39" s="62" t="s">
        <v>65</v>
      </c>
    </row>
    <row r="40" spans="1:17" ht="18" customHeight="1" x14ac:dyDescent="0.2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25">
      <c r="D41" s="53"/>
    </row>
    <row r="42" spans="1:17" s="51" customFormat="1" ht="18" customHeight="1" x14ac:dyDescent="0.35">
      <c r="A42" s="28" t="s">
        <v>30</v>
      </c>
      <c r="O42"/>
      <c r="P42"/>
    </row>
    <row r="43" spans="1:17" ht="18" customHeight="1" x14ac:dyDescent="0.25">
      <c r="A43" s="35" t="s">
        <v>178</v>
      </c>
      <c r="B43" s="21" t="s">
        <v>15</v>
      </c>
      <c r="C43" s="68">
        <f>'Model inputs'!C$8</f>
        <v>0</v>
      </c>
      <c r="D43" s="17"/>
      <c r="E43" s="17"/>
      <c r="F43" s="17"/>
      <c r="G43" s="17"/>
      <c r="H43" s="17"/>
      <c r="I43" s="17"/>
      <c r="J43" s="17"/>
      <c r="K43" s="17"/>
      <c r="L43" s="17"/>
      <c r="M43" s="17"/>
      <c r="N43" s="17"/>
      <c r="Q43" s="20"/>
    </row>
    <row r="44" spans="1:17" ht="18" customHeight="1" x14ac:dyDescent="0.25">
      <c r="A44" s="35" t="s">
        <v>189</v>
      </c>
      <c r="B44" s="21" t="s">
        <v>15</v>
      </c>
      <c r="C44" s="21"/>
      <c r="D44" s="17">
        <f>C47</f>
        <v>0</v>
      </c>
      <c r="E44" s="17">
        <f t="shared" ref="E44:N44" si="7">D47</f>
        <v>0</v>
      </c>
      <c r="F44" s="17">
        <f t="shared" si="7"/>
        <v>0</v>
      </c>
      <c r="G44" s="17">
        <f t="shared" si="7"/>
        <v>0</v>
      </c>
      <c r="H44" s="17">
        <f t="shared" si="7"/>
        <v>0</v>
      </c>
      <c r="I44" s="17">
        <f t="shared" si="7"/>
        <v>0</v>
      </c>
      <c r="J44" s="17">
        <f t="shared" si="7"/>
        <v>0</v>
      </c>
      <c r="K44" s="17">
        <f t="shared" si="7"/>
        <v>0</v>
      </c>
      <c r="L44" s="17">
        <f t="shared" si="7"/>
        <v>0</v>
      </c>
      <c r="M44" s="17">
        <f t="shared" si="7"/>
        <v>0</v>
      </c>
      <c r="N44" s="17">
        <f t="shared" si="7"/>
        <v>0</v>
      </c>
      <c r="Q44" s="20"/>
    </row>
    <row r="45" spans="1:17" ht="18" customHeight="1" x14ac:dyDescent="0.25">
      <c r="A45" s="35" t="s">
        <v>179</v>
      </c>
      <c r="B45" s="21" t="s">
        <v>15</v>
      </c>
      <c r="C45" s="21"/>
      <c r="D45" s="68">
        <f>'Model inputs'!D$9</f>
        <v>0</v>
      </c>
      <c r="E45" s="68">
        <f>'Model inputs'!E$9</f>
        <v>0</v>
      </c>
      <c r="F45" s="68">
        <f>'Model inputs'!F$9</f>
        <v>0</v>
      </c>
      <c r="G45" s="68">
        <f>'Model inputs'!G$9</f>
        <v>0</v>
      </c>
      <c r="H45" s="68">
        <f>'Model inputs'!H$9</f>
        <v>0</v>
      </c>
      <c r="I45" s="68">
        <f>'Model inputs'!I$9</f>
        <v>0</v>
      </c>
      <c r="J45" s="68">
        <f>'Model inputs'!J$9</f>
        <v>0</v>
      </c>
      <c r="K45" s="68">
        <f>'Model inputs'!K$9</f>
        <v>0</v>
      </c>
      <c r="L45" s="68">
        <f>'Model inputs'!L$9</f>
        <v>0</v>
      </c>
      <c r="M45" s="68">
        <f>'Model inputs'!M$9</f>
        <v>0</v>
      </c>
      <c r="N45" s="68">
        <f>'Model inputs'!N$9</f>
        <v>0</v>
      </c>
      <c r="Q45" s="20"/>
    </row>
    <row r="46" spans="1:17" ht="18" customHeight="1" x14ac:dyDescent="0.25">
      <c r="A46" s="35" t="s">
        <v>83</v>
      </c>
      <c r="B46" s="21" t="s">
        <v>15</v>
      </c>
      <c r="C46" s="70"/>
      <c r="D46" s="70">
        <f>-'Model inputs'!D16</f>
        <v>0</v>
      </c>
      <c r="E46" s="70">
        <f>-'Model inputs'!E16</f>
        <v>0</v>
      </c>
      <c r="F46" s="70">
        <f>-'Model inputs'!F16</f>
        <v>0</v>
      </c>
      <c r="G46" s="70">
        <f>-'Model inputs'!G16</f>
        <v>0</v>
      </c>
      <c r="H46" s="70">
        <f>-'Model inputs'!H16</f>
        <v>0</v>
      </c>
      <c r="I46" s="70">
        <f>-'Model inputs'!I16</f>
        <v>0</v>
      </c>
      <c r="J46" s="70">
        <f>-'Model inputs'!J16</f>
        <v>0</v>
      </c>
      <c r="K46" s="70">
        <f>-'Model inputs'!K16</f>
        <v>0</v>
      </c>
      <c r="L46" s="70">
        <f>-'Model inputs'!L16</f>
        <v>0</v>
      </c>
      <c r="M46" s="70">
        <f>-'Model inputs'!M16</f>
        <v>0</v>
      </c>
      <c r="N46" s="70">
        <f>-'Model inputs'!N16</f>
        <v>0</v>
      </c>
      <c r="Q46" s="20"/>
    </row>
    <row r="47" spans="1:17" ht="18" customHeight="1" x14ac:dyDescent="0.25">
      <c r="A47" s="71" t="s">
        <v>190</v>
      </c>
      <c r="B47" s="21" t="s">
        <v>15</v>
      </c>
      <c r="C47" s="46">
        <f t="shared" ref="C47:N47" si="8">SUM(C43:C46)</f>
        <v>0</v>
      </c>
      <c r="D47" s="46">
        <f t="shared" si="8"/>
        <v>0</v>
      </c>
      <c r="E47" s="46">
        <f t="shared" si="8"/>
        <v>0</v>
      </c>
      <c r="F47" s="46">
        <f t="shared" si="8"/>
        <v>0</v>
      </c>
      <c r="G47" s="46">
        <f t="shared" si="8"/>
        <v>0</v>
      </c>
      <c r="H47" s="46">
        <f t="shared" si="8"/>
        <v>0</v>
      </c>
      <c r="I47" s="46">
        <f t="shared" si="8"/>
        <v>0</v>
      </c>
      <c r="J47" s="46">
        <f t="shared" si="8"/>
        <v>0</v>
      </c>
      <c r="K47" s="46">
        <f t="shared" si="8"/>
        <v>0</v>
      </c>
      <c r="L47" s="46">
        <f t="shared" si="8"/>
        <v>0</v>
      </c>
      <c r="M47" s="46">
        <f t="shared" si="8"/>
        <v>0</v>
      </c>
      <c r="N47" s="46">
        <f t="shared" si="8"/>
        <v>0</v>
      </c>
      <c r="Q47" s="20"/>
    </row>
    <row r="48" spans="1:17" ht="18" customHeight="1" x14ac:dyDescent="0.25"/>
    <row r="49" spans="1:17" s="51" customFormat="1" ht="18" customHeight="1" x14ac:dyDescent="0.35">
      <c r="A49" s="28" t="s">
        <v>70</v>
      </c>
      <c r="O49"/>
      <c r="P49"/>
      <c r="Q49" s="52"/>
    </row>
    <row r="50" spans="1:17" ht="18" customHeight="1" x14ac:dyDescent="0.25">
      <c r="A50" s="35" t="s">
        <v>191</v>
      </c>
      <c r="B50" s="21" t="s">
        <v>15</v>
      </c>
      <c r="C50" s="68">
        <f>'Model inputs'!C$10</f>
        <v>1057.95234</v>
      </c>
      <c r="D50" s="34"/>
      <c r="E50" s="17"/>
      <c r="F50" s="17"/>
      <c r="G50" s="17"/>
      <c r="H50" s="17"/>
      <c r="I50" s="17"/>
      <c r="J50" s="17"/>
      <c r="K50" s="17"/>
      <c r="L50" s="17"/>
      <c r="M50" s="17"/>
      <c r="N50" s="17"/>
      <c r="Q50" s="20"/>
    </row>
    <row r="51" spans="1:17" ht="18" customHeight="1" x14ac:dyDescent="0.25">
      <c r="A51" s="35" t="s">
        <v>192</v>
      </c>
      <c r="B51" s="21" t="s">
        <v>15</v>
      </c>
      <c r="C51" s="21"/>
      <c r="D51" s="17">
        <f>C55</f>
        <v>1057.95234</v>
      </c>
      <c r="E51" s="17">
        <f t="shared" ref="E51:N51" si="9">D55</f>
        <v>22666.200420000001</v>
      </c>
      <c r="F51" s="17">
        <f t="shared" si="9"/>
        <v>87622.393199999933</v>
      </c>
      <c r="G51" s="17">
        <f t="shared" si="9"/>
        <v>138447.94456000009</v>
      </c>
      <c r="H51" s="17">
        <f t="shared" si="9"/>
        <v>205280.5335999986</v>
      </c>
      <c r="I51" s="17">
        <f t="shared" si="9"/>
        <v>271628.07609998959</v>
      </c>
      <c r="J51" s="17">
        <f t="shared" si="9"/>
        <v>359423.49165999307</v>
      </c>
      <c r="K51" s="17">
        <f t="shared" si="9"/>
        <v>388023.28003999678</v>
      </c>
      <c r="L51" s="17">
        <f t="shared" si="9"/>
        <v>458707.83665969467</v>
      </c>
      <c r="M51" s="17">
        <f t="shared" si="9"/>
        <v>517876.54226901539</v>
      </c>
      <c r="N51" s="17">
        <f t="shared" si="9"/>
        <v>535747.94851630472</v>
      </c>
      <c r="Q51" s="20"/>
    </row>
    <row r="52" spans="1:17" ht="18" customHeight="1" x14ac:dyDescent="0.25">
      <c r="A52" s="35" t="s">
        <v>120</v>
      </c>
      <c r="B52" s="21" t="s">
        <v>15</v>
      </c>
      <c r="C52" s="21"/>
      <c r="D52" s="68">
        <f>'Model inputs'!D11</f>
        <v>21821.85815</v>
      </c>
      <c r="E52" s="68">
        <f>'Model inputs'!E11</f>
        <v>67658.400109999944</v>
      </c>
      <c r="F52" s="68">
        <f>'Model inputs'!F11</f>
        <v>55787.785080000169</v>
      </c>
      <c r="G52" s="68">
        <f>'Model inputs'!G11</f>
        <v>74554.024309998451</v>
      </c>
      <c r="H52" s="68">
        <f>'Model inputs'!H11</f>
        <v>78255.582749989946</v>
      </c>
      <c r="I52" s="68">
        <f>'Model inputs'!I11</f>
        <v>104236.29303000245</v>
      </c>
      <c r="J52" s="68">
        <f>'Model inputs'!J11</f>
        <v>47701.611070005878</v>
      </c>
      <c r="K52" s="68">
        <f>'Model inputs'!K11</f>
        <v>91498.40410969709</v>
      </c>
      <c r="L52" s="68">
        <f>'Model inputs'!L11</f>
        <v>85077.7088193253</v>
      </c>
      <c r="M52" s="68">
        <f>'Model inputs'!M11</f>
        <v>44399.719847293374</v>
      </c>
      <c r="N52" s="68">
        <f>'Model inputs'!N11</f>
        <v>17681.592660153015</v>
      </c>
      <c r="Q52" s="20"/>
    </row>
    <row r="53" spans="1:17" ht="18" customHeight="1" x14ac:dyDescent="0.25">
      <c r="A53" s="35" t="s">
        <v>69</v>
      </c>
      <c r="B53" s="21" t="s">
        <v>15</v>
      </c>
      <c r="C53" s="21"/>
      <c r="D53" s="68">
        <f>-'Model inputs'!D17</f>
        <v>-213.61006999999998</v>
      </c>
      <c r="E53" s="68">
        <f>-'Model inputs'!E17</f>
        <v>-2702.2073299999993</v>
      </c>
      <c r="F53" s="68">
        <f>-'Model inputs'!F17</f>
        <v>-4962.2337200000084</v>
      </c>
      <c r="G53" s="68">
        <f>-'Model inputs'!G17</f>
        <v>-7721.4352699999336</v>
      </c>
      <c r="H53" s="68">
        <f>-'Model inputs'!H17</f>
        <v>-11908.040249998949</v>
      </c>
      <c r="I53" s="68">
        <f>-'Model inputs'!I17</f>
        <v>-16440.877469998952</v>
      </c>
      <c r="J53" s="68">
        <f>-'Model inputs'!J17</f>
        <v>-19101.822690002129</v>
      </c>
      <c r="K53" s="68">
        <f>-'Model inputs'!K17</f>
        <v>-20813.847489999211</v>
      </c>
      <c r="L53" s="68">
        <f>-'Model inputs'!L17</f>
        <v>-25909.003210004568</v>
      </c>
      <c r="M53" s="68">
        <f>-'Model inputs'!M17</f>
        <v>-26528.31360000405</v>
      </c>
      <c r="N53" s="68">
        <f>-'Model inputs'!N17</f>
        <v>-14199.683609986043</v>
      </c>
      <c r="Q53" s="20"/>
    </row>
    <row r="54" spans="1:17" ht="18" customHeight="1" x14ac:dyDescent="0.25">
      <c r="A54" s="35" t="s">
        <v>56</v>
      </c>
      <c r="B54" s="21" t="s">
        <v>15</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x14ac:dyDescent="0.25">
      <c r="A55" s="71" t="s">
        <v>193</v>
      </c>
      <c r="B55" s="21" t="s">
        <v>15</v>
      </c>
      <c r="C55" s="46">
        <f t="shared" ref="C55:N55" si="10">SUM(C50:C54)</f>
        <v>1057.95234</v>
      </c>
      <c r="D55" s="46">
        <f t="shared" si="10"/>
        <v>22666.200420000001</v>
      </c>
      <c r="E55" s="46">
        <f t="shared" si="10"/>
        <v>87622.393199999933</v>
      </c>
      <c r="F55" s="46">
        <f t="shared" si="10"/>
        <v>138447.94456000009</v>
      </c>
      <c r="G55" s="46">
        <f t="shared" si="10"/>
        <v>205280.5335999986</v>
      </c>
      <c r="H55" s="46">
        <f t="shared" si="10"/>
        <v>271628.07609998959</v>
      </c>
      <c r="I55" s="46">
        <f t="shared" si="10"/>
        <v>359423.49165999307</v>
      </c>
      <c r="J55" s="46">
        <f t="shared" si="10"/>
        <v>388023.28003999678</v>
      </c>
      <c r="K55" s="46">
        <f t="shared" si="10"/>
        <v>458707.83665969467</v>
      </c>
      <c r="L55" s="46">
        <f t="shared" si="10"/>
        <v>517876.54226901539</v>
      </c>
      <c r="M55" s="46">
        <f t="shared" si="10"/>
        <v>535747.94851630472</v>
      </c>
      <c r="N55" s="123">
        <f t="shared" si="10"/>
        <v>539229.85756647168</v>
      </c>
      <c r="Q55" s="20"/>
    </row>
    <row r="56" spans="1:17" s="76" customFormat="1" ht="18" customHeight="1" x14ac:dyDescent="0.25">
      <c r="A56"/>
      <c r="B56"/>
      <c r="C56"/>
      <c r="D56"/>
      <c r="E56"/>
      <c r="F56"/>
      <c r="G56"/>
      <c r="H56"/>
      <c r="I56"/>
      <c r="J56"/>
      <c r="K56"/>
      <c r="L56"/>
      <c r="M56"/>
      <c r="N56"/>
      <c r="O56"/>
      <c r="P56"/>
      <c r="Q56" s="75"/>
    </row>
    <row r="57" spans="1:17" ht="18" customHeight="1" x14ac:dyDescent="0.25"/>
    <row r="58" spans="1:17" ht="18" customHeight="1" x14ac:dyDescent="0.35">
      <c r="A58" s="131" t="s">
        <v>166</v>
      </c>
      <c r="C58" s="62" t="s">
        <v>41</v>
      </c>
      <c r="D58" s="62" t="s">
        <v>64</v>
      </c>
      <c r="E58" s="62" t="s">
        <v>42</v>
      </c>
      <c r="F58" s="62" t="s">
        <v>42</v>
      </c>
      <c r="G58" s="62" t="s">
        <v>42</v>
      </c>
      <c r="H58" s="62" t="s">
        <v>42</v>
      </c>
      <c r="I58" s="62" t="s">
        <v>42</v>
      </c>
      <c r="J58" s="62" t="s">
        <v>42</v>
      </c>
      <c r="K58" s="62" t="s">
        <v>42</v>
      </c>
      <c r="L58" s="62" t="s">
        <v>42</v>
      </c>
      <c r="M58" s="62" t="s">
        <v>42</v>
      </c>
      <c r="N58" s="62" t="s">
        <v>65</v>
      </c>
      <c r="O58" s="12"/>
      <c r="P58" s="12"/>
    </row>
    <row r="59" spans="1:17" ht="18" customHeight="1" x14ac:dyDescent="0.2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x14ac:dyDescent="0.35">
      <c r="A60" s="28" t="s">
        <v>31</v>
      </c>
      <c r="B60" s="51"/>
      <c r="C60" s="51"/>
      <c r="D60" s="51"/>
      <c r="E60" s="51"/>
      <c r="F60" s="51"/>
      <c r="G60" s="51"/>
      <c r="H60" s="51"/>
      <c r="I60" s="51"/>
      <c r="J60" s="51"/>
      <c r="K60" s="51"/>
      <c r="L60" s="51"/>
      <c r="M60" s="51"/>
      <c r="N60" s="51"/>
    </row>
    <row r="61" spans="1:17" ht="18" customHeight="1" x14ac:dyDescent="0.25">
      <c r="A61" s="109" t="s">
        <v>19</v>
      </c>
      <c r="B61" s="21" t="s">
        <v>15</v>
      </c>
      <c r="C61" s="17"/>
      <c r="D61" s="17">
        <f>C63</f>
        <v>0</v>
      </c>
      <c r="E61" s="17">
        <f>D63</f>
        <v>21591.164000000001</v>
      </c>
      <c r="F61" s="17">
        <f t="shared" ref="F61:N61" si="12">E63</f>
        <v>74724.561708000008</v>
      </c>
      <c r="G61" s="17">
        <f t="shared" si="12"/>
        <v>115986.74243799999</v>
      </c>
      <c r="H61" s="17">
        <f t="shared" si="12"/>
        <v>151553.08955099998</v>
      </c>
      <c r="I61" s="17">
        <f t="shared" si="12"/>
        <v>141028.52955099999</v>
      </c>
      <c r="J61" s="17">
        <f t="shared" si="12"/>
        <v>0</v>
      </c>
      <c r="K61" s="17">
        <f t="shared" si="12"/>
        <v>0</v>
      </c>
      <c r="L61" s="17">
        <f t="shared" si="12"/>
        <v>0</v>
      </c>
      <c r="M61" s="17">
        <f t="shared" si="12"/>
        <v>0</v>
      </c>
      <c r="N61" s="17">
        <f t="shared" si="12"/>
        <v>0</v>
      </c>
    </row>
    <row r="62" spans="1:17" ht="18" customHeight="1" x14ac:dyDescent="0.25">
      <c r="A62" s="102" t="s">
        <v>206</v>
      </c>
      <c r="B62" s="21" t="s">
        <v>15</v>
      </c>
      <c r="C62" s="68">
        <f>'Model inputs'!C100</f>
        <v>0</v>
      </c>
      <c r="D62" s="68">
        <f>'Model inputs'!D100</f>
        <v>21591.164000000001</v>
      </c>
      <c r="E62" s="68">
        <f>'Model inputs'!E100</f>
        <v>53133.397708000004</v>
      </c>
      <c r="F62" s="68">
        <f>'Model inputs'!F100</f>
        <v>41262.180729999978</v>
      </c>
      <c r="G62" s="68">
        <f>'Model inputs'!G100</f>
        <v>35566.347112999996</v>
      </c>
      <c r="H62" s="68">
        <f>'Model inputs'!H100</f>
        <v>-10524.560000000001</v>
      </c>
      <c r="I62" s="68">
        <f>'Model inputs'!I100</f>
        <v>-141028.52955099996</v>
      </c>
      <c r="J62" s="68">
        <f>'Model inputs'!J100</f>
        <v>0</v>
      </c>
      <c r="K62" s="68">
        <f>'Model inputs'!K100</f>
        <v>0</v>
      </c>
      <c r="L62" s="68">
        <f>'Model inputs'!L100</f>
        <v>0</v>
      </c>
      <c r="M62" s="68">
        <f>'Model inputs'!M100</f>
        <v>0</v>
      </c>
      <c r="N62" s="68">
        <f>'Model inputs'!N100</f>
        <v>0</v>
      </c>
    </row>
    <row r="63" spans="1:17" ht="18" customHeight="1" x14ac:dyDescent="0.25">
      <c r="A63" s="144" t="s">
        <v>21</v>
      </c>
      <c r="B63" s="21" t="s">
        <v>15</v>
      </c>
      <c r="C63" s="30">
        <f t="shared" ref="C63:N63" si="13">SUM(C61:C62)</f>
        <v>0</v>
      </c>
      <c r="D63" s="30">
        <f t="shared" si="13"/>
        <v>21591.164000000001</v>
      </c>
      <c r="E63" s="30">
        <f t="shared" si="13"/>
        <v>74724.561708000008</v>
      </c>
      <c r="F63" s="30">
        <f t="shared" si="13"/>
        <v>115986.74243799999</v>
      </c>
      <c r="G63" s="30">
        <f t="shared" si="13"/>
        <v>151553.08955099998</v>
      </c>
      <c r="H63" s="30">
        <f t="shared" si="13"/>
        <v>141028.52955099999</v>
      </c>
      <c r="I63" s="30">
        <f t="shared" si="13"/>
        <v>0</v>
      </c>
      <c r="J63" s="30">
        <f t="shared" si="13"/>
        <v>0</v>
      </c>
      <c r="K63" s="30">
        <f t="shared" si="13"/>
        <v>0</v>
      </c>
      <c r="L63" s="30">
        <f t="shared" si="13"/>
        <v>0</v>
      </c>
      <c r="M63" s="30">
        <f t="shared" si="13"/>
        <v>0</v>
      </c>
      <c r="N63" s="30">
        <f t="shared" si="13"/>
        <v>0</v>
      </c>
    </row>
    <row r="64" spans="1:17" ht="18" customHeight="1" x14ac:dyDescent="0.25">
      <c r="A64" s="111"/>
      <c r="B64" s="12"/>
      <c r="C64" s="12"/>
      <c r="D64" s="17"/>
      <c r="E64" s="12"/>
      <c r="F64" s="12"/>
      <c r="G64" s="12"/>
      <c r="H64" s="12"/>
      <c r="I64" s="12"/>
      <c r="J64" s="12"/>
      <c r="K64" s="12"/>
      <c r="L64" s="12"/>
      <c r="M64" s="12"/>
      <c r="N64" s="12"/>
    </row>
    <row r="65" spans="1:14" ht="18" customHeight="1" x14ac:dyDescent="0.35">
      <c r="A65" s="28" t="s">
        <v>49</v>
      </c>
      <c r="B65" s="51"/>
      <c r="C65" s="51"/>
      <c r="D65" s="51"/>
      <c r="E65" s="51"/>
      <c r="F65" s="51"/>
      <c r="G65" s="51"/>
      <c r="H65" s="51"/>
      <c r="I65" s="51"/>
      <c r="J65" s="51"/>
      <c r="K65" s="51"/>
      <c r="L65" s="51"/>
      <c r="M65" s="51"/>
      <c r="N65" s="51"/>
    </row>
    <row r="66" spans="1:14" ht="18" customHeight="1" x14ac:dyDescent="0.25">
      <c r="A66" s="102" t="s">
        <v>170</v>
      </c>
      <c r="B66" s="21" t="s">
        <v>15</v>
      </c>
      <c r="C66" s="21"/>
      <c r="D66" s="17">
        <f>D62</f>
        <v>21591.164000000001</v>
      </c>
      <c r="E66" s="17">
        <f t="shared" ref="E66:N66" si="14">E62</f>
        <v>53133.397708000004</v>
      </c>
      <c r="F66" s="17">
        <f t="shared" si="14"/>
        <v>41262.180729999978</v>
      </c>
      <c r="G66" s="17">
        <f t="shared" si="14"/>
        <v>35566.347112999996</v>
      </c>
      <c r="H66" s="17">
        <f t="shared" si="14"/>
        <v>-10524.560000000001</v>
      </c>
      <c r="I66" s="17">
        <f t="shared" si="14"/>
        <v>-141028.52955099996</v>
      </c>
      <c r="J66" s="17">
        <f t="shared" si="14"/>
        <v>0</v>
      </c>
      <c r="K66" s="17">
        <f t="shared" si="14"/>
        <v>0</v>
      </c>
      <c r="L66" s="17">
        <f t="shared" si="14"/>
        <v>0</v>
      </c>
      <c r="M66" s="17">
        <f t="shared" si="14"/>
        <v>0</v>
      </c>
      <c r="N66" s="17">
        <f t="shared" si="14"/>
        <v>0</v>
      </c>
    </row>
    <row r="67" spans="1:14" ht="18" customHeight="1" x14ac:dyDescent="0.25">
      <c r="A67" s="35" t="s">
        <v>74</v>
      </c>
      <c r="B67" s="21" t="s">
        <v>17</v>
      </c>
      <c r="C67" s="21"/>
      <c r="D67" s="93">
        <f>'Model inputs'!D108</f>
        <v>6.9597106090600352E-2</v>
      </c>
      <c r="E67" s="93">
        <f>'Model inputs'!E108</f>
        <v>6.1312460747768298E-2</v>
      </c>
      <c r="F67" s="93">
        <f>'Model inputs'!F108</f>
        <v>7.2517085265871778E-2</v>
      </c>
      <c r="G67" s="93">
        <f>'Model inputs'!G108</f>
        <v>6.5862313102854661E-2</v>
      </c>
      <c r="H67" s="93">
        <f>'Model inputs'!H108</f>
        <v>5.9463266159969802E-2</v>
      </c>
      <c r="I67" s="93">
        <f>'Model inputs'!I108</f>
        <v>5.8068604093640057E-2</v>
      </c>
      <c r="J67" s="93">
        <f>'Model inputs'!J108</f>
        <v>5.4049419518666791E-2</v>
      </c>
      <c r="K67" s="93">
        <f>'Model inputs'!K108</f>
        <v>5.2065883758289619E-2</v>
      </c>
      <c r="L67" s="93">
        <f>'Model inputs'!L108</f>
        <v>4.3870069947749842E-2</v>
      </c>
      <c r="M67" s="93">
        <f>'Model inputs'!M108</f>
        <v>3.7263987503826673E-2</v>
      </c>
      <c r="N67" s="93">
        <f>'Model inputs'!N108</f>
        <v>4.5301340564600001E-2</v>
      </c>
    </row>
    <row r="68" spans="1:14" ht="18" customHeight="1" x14ac:dyDescent="0.25">
      <c r="A68" s="35" t="s">
        <v>72</v>
      </c>
      <c r="B68" s="21" t="s">
        <v>15</v>
      </c>
      <c r="C68" s="21"/>
      <c r="D68" s="17">
        <f>D66*D67</f>
        <v>1502.6825315275512</v>
      </c>
      <c r="E68" s="17">
        <f t="shared" ref="E68:N68" si="15">E66*E67</f>
        <v>3257.7393613673121</v>
      </c>
      <c r="F68" s="17">
        <f t="shared" si="15"/>
        <v>2992.2130782532199</v>
      </c>
      <c r="G68" s="17">
        <f t="shared" si="15"/>
        <v>2342.4818894812165</v>
      </c>
      <c r="H68" s="17">
        <f t="shared" si="15"/>
        <v>-625.82471249657181</v>
      </c>
      <c r="I68" s="17">
        <f t="shared" si="15"/>
        <v>-8189.3298484052339</v>
      </c>
      <c r="J68" s="17">
        <f t="shared" si="15"/>
        <v>0</v>
      </c>
      <c r="K68" s="17">
        <f t="shared" si="15"/>
        <v>0</v>
      </c>
      <c r="L68" s="17">
        <f t="shared" si="15"/>
        <v>0</v>
      </c>
      <c r="M68" s="17">
        <f t="shared" si="15"/>
        <v>0</v>
      </c>
      <c r="N68" s="17">
        <f t="shared" si="15"/>
        <v>0</v>
      </c>
    </row>
    <row r="69" spans="1:14" ht="18" customHeight="1" x14ac:dyDescent="0.25">
      <c r="A69" s="158" t="s">
        <v>164</v>
      </c>
      <c r="B69" s="21" t="s">
        <v>17</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4" ht="18" customHeight="1" x14ac:dyDescent="0.25">
      <c r="A70" s="35" t="s">
        <v>160</v>
      </c>
      <c r="B70" s="21" t="s">
        <v>23</v>
      </c>
      <c r="C70" s="21"/>
      <c r="D70" s="132">
        <f>(((1+D69)^'Model inputs'!D$66)-1)/D69</f>
        <v>13.532762141748071</v>
      </c>
      <c r="E70" s="132">
        <f>(((1+E69)^'Model inputs'!E$66)-1)/E69</f>
        <v>11.735549861359907</v>
      </c>
      <c r="F70" s="132">
        <f>(((1+F69)^'Model inputs'!F$66)-1)/F69</f>
        <v>10.469005757815134</v>
      </c>
      <c r="G70" s="132">
        <f>(((1+G69)^'Model inputs'!G$66)-1)/G69</f>
        <v>8.6550834521867035</v>
      </c>
      <c r="H70" s="132">
        <f>(((1+H69)^'Model inputs'!H$66)-1)/H69</f>
        <v>7.0478792374982016</v>
      </c>
      <c r="I70" s="132">
        <f>(((1+I69)^'Model inputs'!I$66)-1)/I69</f>
        <v>5.6655301589687923</v>
      </c>
      <c r="J70" s="132">
        <f>(((1+J69)^'Model inputs'!J$66)-1)/J69</f>
        <v>4.3674811764689965</v>
      </c>
      <c r="K70" s="132">
        <f>(((1+K69)^'Model inputs'!K$66)-1)/K69</f>
        <v>3.174723546280418</v>
      </c>
      <c r="L70" s="132">
        <f>(((1+L69)^'Model inputs'!L$66)-1)/L69</f>
        <v>2.0513725608534186</v>
      </c>
      <c r="M70" s="132">
        <f>(((1+M69)^'Model inputs'!M$66)-1)/M69</f>
        <v>0.99930053943559993</v>
      </c>
      <c r="N70" s="132">
        <f>(((1+N69)^'Model inputs'!N$66)-1)/N69</f>
        <v>0.24433499265487249</v>
      </c>
    </row>
    <row r="71" spans="1:14" ht="18" customHeight="1" x14ac:dyDescent="0.25">
      <c r="A71" s="35" t="s">
        <v>219</v>
      </c>
      <c r="B71" s="21" t="s">
        <v>15</v>
      </c>
      <c r="C71" s="21"/>
      <c r="D71" s="81">
        <f>D68*D70</f>
        <v>20335.445273722198</v>
      </c>
      <c r="E71" s="81">
        <f t="shared" ref="E71:N71" si="16">E68*E70</f>
        <v>38231.362710640868</v>
      </c>
      <c r="F71" s="81">
        <f t="shared" si="16"/>
        <v>31325.495944842707</v>
      </c>
      <c r="G71" s="81">
        <f t="shared" si="16"/>
        <v>20274.376238695921</v>
      </c>
      <c r="H71" s="81">
        <f t="shared" si="16"/>
        <v>-4410.7369975178699</v>
      </c>
      <c r="I71" s="81">
        <f t="shared" si="16"/>
        <v>-46396.895237883182</v>
      </c>
      <c r="J71" s="81">
        <f t="shared" si="16"/>
        <v>0</v>
      </c>
      <c r="K71" s="81">
        <f t="shared" si="16"/>
        <v>0</v>
      </c>
      <c r="L71" s="81">
        <f t="shared" si="16"/>
        <v>0</v>
      </c>
      <c r="M71" s="81">
        <f t="shared" si="16"/>
        <v>0</v>
      </c>
      <c r="N71" s="81">
        <f t="shared" si="16"/>
        <v>0</v>
      </c>
    </row>
    <row r="72" spans="1:14" ht="18" customHeight="1" x14ac:dyDescent="0.3">
      <c r="A72" s="79" t="s">
        <v>49</v>
      </c>
      <c r="B72" s="21" t="s">
        <v>15</v>
      </c>
      <c r="C72" s="21"/>
      <c r="D72" s="46"/>
      <c r="E72" s="46"/>
      <c r="F72" s="46"/>
      <c r="G72" s="46"/>
      <c r="H72" s="46"/>
      <c r="I72" s="46"/>
      <c r="J72" s="46"/>
      <c r="K72" s="46"/>
      <c r="L72" s="46"/>
      <c r="M72" s="46"/>
      <c r="N72" s="80">
        <f>SUM(D71:N71)</f>
        <v>59359.047932500653</v>
      </c>
    </row>
    <row r="73" spans="1:14" ht="18" customHeight="1" x14ac:dyDescent="0.25">
      <c r="A73" s="24"/>
      <c r="B73" s="21"/>
      <c r="C73" s="21"/>
      <c r="D73" s="21"/>
      <c r="E73" s="21"/>
      <c r="F73" s="21"/>
      <c r="G73" s="21"/>
      <c r="H73" s="21"/>
      <c r="I73" s="21"/>
      <c r="J73" s="21"/>
      <c r="K73" s="21"/>
      <c r="L73" s="21"/>
      <c r="M73" s="21"/>
      <c r="N73" s="21"/>
    </row>
    <row r="74" spans="1:14" ht="18" customHeight="1" x14ac:dyDescent="0.35">
      <c r="A74" s="28" t="s">
        <v>216</v>
      </c>
      <c r="B74" s="51"/>
      <c r="C74" s="51"/>
      <c r="D74" s="51"/>
      <c r="E74" s="51"/>
      <c r="F74" s="51"/>
      <c r="G74" s="51"/>
      <c r="H74" s="51"/>
      <c r="I74" s="51"/>
      <c r="J74" s="51"/>
      <c r="K74" s="51"/>
      <c r="L74" s="51"/>
      <c r="M74" s="51"/>
      <c r="N74" s="51"/>
    </row>
    <row r="75" spans="1:14" ht="18" customHeight="1" x14ac:dyDescent="0.25">
      <c r="A75" s="109" t="s">
        <v>19</v>
      </c>
      <c r="B75" s="21" t="s">
        <v>15</v>
      </c>
      <c r="C75" s="17"/>
      <c r="D75" s="17">
        <f>C77</f>
        <v>0</v>
      </c>
      <c r="E75" s="17">
        <f>D77</f>
        <v>10795.582</v>
      </c>
      <c r="F75" s="17">
        <f t="shared" ref="F75" si="17">E77</f>
        <v>37362.280854000004</v>
      </c>
      <c r="G75" s="17">
        <f t="shared" ref="G75" si="18">F77</f>
        <v>57993.371218999993</v>
      </c>
      <c r="H75" s="17">
        <f t="shared" ref="H75" si="19">G77</f>
        <v>75776.544775499991</v>
      </c>
      <c r="I75" s="17">
        <f t="shared" ref="I75" si="20">H77</f>
        <v>70514.264775499993</v>
      </c>
      <c r="J75" s="17">
        <f t="shared" ref="J75" si="21">I77</f>
        <v>0</v>
      </c>
      <c r="K75" s="17">
        <f t="shared" ref="K75" si="22">J77</f>
        <v>0</v>
      </c>
      <c r="L75" s="17">
        <f t="shared" ref="L75" si="23">K77</f>
        <v>0</v>
      </c>
      <c r="M75" s="17">
        <f t="shared" ref="M75" si="24">L77</f>
        <v>0</v>
      </c>
      <c r="N75" s="17">
        <f t="shared" ref="N75" si="25">M77</f>
        <v>0</v>
      </c>
    </row>
    <row r="76" spans="1:14" ht="18" customHeight="1" x14ac:dyDescent="0.25">
      <c r="A76" s="102" t="s">
        <v>206</v>
      </c>
      <c r="B76" s="21" t="s">
        <v>15</v>
      </c>
      <c r="C76" s="68">
        <f>'Model inputs'!C102</f>
        <v>0</v>
      </c>
      <c r="D76" s="68">
        <f>'Model inputs'!D102</f>
        <v>10795.582</v>
      </c>
      <c r="E76" s="68">
        <f>'Model inputs'!E102</f>
        <v>26566.698854000002</v>
      </c>
      <c r="F76" s="68">
        <f>'Model inputs'!F102</f>
        <v>20631.090364999989</v>
      </c>
      <c r="G76" s="68">
        <f>'Model inputs'!G102</f>
        <v>17783.173556499998</v>
      </c>
      <c r="H76" s="68">
        <f>'Model inputs'!H102</f>
        <v>-5262.2800000000007</v>
      </c>
      <c r="I76" s="68">
        <f>'Model inputs'!I102</f>
        <v>-70514.264775499978</v>
      </c>
      <c r="J76" s="68">
        <f>'Model inputs'!J102</f>
        <v>0</v>
      </c>
      <c r="K76" s="68">
        <f>'Model inputs'!K102</f>
        <v>0</v>
      </c>
      <c r="L76" s="68">
        <f>'Model inputs'!L102</f>
        <v>0</v>
      </c>
      <c r="M76" s="68">
        <f>'Model inputs'!M102</f>
        <v>0</v>
      </c>
      <c r="N76" s="68">
        <f>'Model inputs'!N102</f>
        <v>0</v>
      </c>
    </row>
    <row r="77" spans="1:14" ht="18" customHeight="1" x14ac:dyDescent="0.25">
      <c r="A77" s="144" t="s">
        <v>21</v>
      </c>
      <c r="B77" s="21" t="s">
        <v>15</v>
      </c>
      <c r="C77" s="30">
        <f t="shared" ref="C77:N77" si="26">SUM(C75:C76)</f>
        <v>0</v>
      </c>
      <c r="D77" s="30">
        <f t="shared" si="26"/>
        <v>10795.582</v>
      </c>
      <c r="E77" s="30">
        <f t="shared" si="26"/>
        <v>37362.280854000004</v>
      </c>
      <c r="F77" s="30">
        <f t="shared" si="26"/>
        <v>57993.371218999993</v>
      </c>
      <c r="G77" s="30">
        <f t="shared" si="26"/>
        <v>75776.544775499991</v>
      </c>
      <c r="H77" s="30">
        <f t="shared" si="26"/>
        <v>70514.264775499993</v>
      </c>
      <c r="I77" s="30">
        <f t="shared" si="26"/>
        <v>0</v>
      </c>
      <c r="J77" s="30">
        <f t="shared" si="26"/>
        <v>0</v>
      </c>
      <c r="K77" s="30">
        <f t="shared" si="26"/>
        <v>0</v>
      </c>
      <c r="L77" s="30">
        <f t="shared" si="26"/>
        <v>0</v>
      </c>
      <c r="M77" s="30">
        <f t="shared" si="26"/>
        <v>0</v>
      </c>
      <c r="N77" s="30">
        <f t="shared" si="26"/>
        <v>0</v>
      </c>
    </row>
    <row r="78" spans="1:14" ht="18" customHeight="1" x14ac:dyDescent="0.25">
      <c r="A78" s="111"/>
      <c r="B78" s="12"/>
      <c r="C78" s="12"/>
      <c r="D78" s="12"/>
      <c r="E78" s="12"/>
      <c r="F78" s="12"/>
      <c r="G78" s="12"/>
      <c r="H78" s="12"/>
      <c r="I78" s="12"/>
      <c r="J78" s="12"/>
      <c r="K78" s="12"/>
      <c r="L78" s="12"/>
      <c r="M78" s="12"/>
      <c r="N78" s="12"/>
    </row>
    <row r="79" spans="1:14" ht="18" customHeight="1" x14ac:dyDescent="0.35">
      <c r="A79" s="28" t="s">
        <v>215</v>
      </c>
      <c r="B79" s="51"/>
      <c r="C79" s="51"/>
      <c r="D79" s="51"/>
      <c r="E79" s="51"/>
      <c r="F79" s="51"/>
      <c r="G79" s="51"/>
      <c r="H79" s="51"/>
      <c r="I79" s="51"/>
      <c r="J79" s="51"/>
      <c r="K79" s="51"/>
      <c r="L79" s="51"/>
      <c r="M79" s="51"/>
      <c r="N79" s="51"/>
    </row>
    <row r="80" spans="1:14" ht="18" customHeight="1" x14ac:dyDescent="0.25">
      <c r="A80" s="102" t="s">
        <v>170</v>
      </c>
      <c r="B80" s="21" t="s">
        <v>15</v>
      </c>
      <c r="C80" s="21"/>
      <c r="D80" s="17">
        <f>D76</f>
        <v>10795.582</v>
      </c>
      <c r="E80" s="17">
        <f t="shared" ref="E80:N80" si="27">E76</f>
        <v>26566.698854000002</v>
      </c>
      <c r="F80" s="17">
        <f t="shared" si="27"/>
        <v>20631.090364999989</v>
      </c>
      <c r="G80" s="17">
        <f t="shared" si="27"/>
        <v>17783.173556499998</v>
      </c>
      <c r="H80" s="17">
        <f t="shared" si="27"/>
        <v>-5262.2800000000007</v>
      </c>
      <c r="I80" s="17">
        <f t="shared" si="27"/>
        <v>-70514.264775499978</v>
      </c>
      <c r="J80" s="17">
        <f t="shared" si="27"/>
        <v>0</v>
      </c>
      <c r="K80" s="17">
        <f t="shared" si="27"/>
        <v>0</v>
      </c>
      <c r="L80" s="17">
        <f t="shared" si="27"/>
        <v>0</v>
      </c>
      <c r="M80" s="17">
        <f t="shared" si="27"/>
        <v>0</v>
      </c>
      <c r="N80" s="17">
        <f t="shared" si="27"/>
        <v>0</v>
      </c>
    </row>
    <row r="81" spans="1:14" ht="18" customHeight="1" x14ac:dyDescent="0.25">
      <c r="A81" s="35" t="s">
        <v>74</v>
      </c>
      <c r="B81" s="21" t="s">
        <v>17</v>
      </c>
      <c r="C81" s="21"/>
      <c r="D81" s="93">
        <f>'Model inputs'!D106</f>
        <v>6.4326867547209718E-2</v>
      </c>
      <c r="E81" s="93">
        <f>'Model inputs'!E106</f>
        <v>5.239123342763756E-2</v>
      </c>
      <c r="F81" s="93">
        <f>'Model inputs'!F106</f>
        <v>6.5210564262641602E-2</v>
      </c>
      <c r="G81" s="93">
        <f>'Model inputs'!G106</f>
        <v>5.6007340817272856E-2</v>
      </c>
      <c r="H81" s="93">
        <f>'Model inputs'!H106</f>
        <v>4.8566588558104418E-2</v>
      </c>
      <c r="I81" s="93">
        <f>'Model inputs'!I106</f>
        <v>4.7363493132139597E-2</v>
      </c>
      <c r="J81" s="93">
        <f>'Model inputs'!J106</f>
        <v>4.2480720370542777E-2</v>
      </c>
      <c r="K81" s="93">
        <f>'Model inputs'!K106</f>
        <v>4.0592888091034438E-2</v>
      </c>
      <c r="L81" s="93">
        <f>'Model inputs'!L106</f>
        <v>2.9597755753197487E-2</v>
      </c>
      <c r="M81" s="93">
        <f>'Model inputs'!M106</f>
        <v>2.0048153676001084E-2</v>
      </c>
      <c r="N81" s="93">
        <f>'Model inputs'!N106</f>
        <v>2.692481461E-2</v>
      </c>
    </row>
    <row r="82" spans="1:14" ht="18" customHeight="1" x14ac:dyDescent="0.25">
      <c r="A82" s="35" t="s">
        <v>72</v>
      </c>
      <c r="B82" s="21" t="s">
        <v>15</v>
      </c>
      <c r="C82" s="21"/>
      <c r="D82" s="17">
        <f>D80*D81</f>
        <v>694.44597340904136</v>
      </c>
      <c r="E82" s="17">
        <f t="shared" ref="E82:N82" si="28">E80*E81</f>
        <v>1391.8621210616654</v>
      </c>
      <c r="F82" s="17">
        <f t="shared" si="28"/>
        <v>1345.3650440551978</v>
      </c>
      <c r="G82" s="17">
        <f t="shared" si="28"/>
        <v>995.98826219160969</v>
      </c>
      <c r="H82" s="17">
        <f t="shared" si="28"/>
        <v>-255.57098763754175</v>
      </c>
      <c r="I82" s="17">
        <f t="shared" si="28"/>
        <v>-3339.8018954122663</v>
      </c>
      <c r="J82" s="17">
        <f t="shared" si="28"/>
        <v>0</v>
      </c>
      <c r="K82" s="17">
        <f t="shared" si="28"/>
        <v>0</v>
      </c>
      <c r="L82" s="17">
        <f t="shared" si="28"/>
        <v>0</v>
      </c>
      <c r="M82" s="17">
        <f t="shared" si="28"/>
        <v>0</v>
      </c>
      <c r="N82" s="17">
        <f t="shared" si="28"/>
        <v>0</v>
      </c>
    </row>
    <row r="83" spans="1:14" ht="18" customHeight="1" x14ac:dyDescent="0.25">
      <c r="A83" s="158" t="s">
        <v>164</v>
      </c>
      <c r="B83" s="21" t="s">
        <v>17</v>
      </c>
      <c r="C83" s="21"/>
      <c r="D83" s="94">
        <f>'Model inputs'!D$50</f>
        <v>7.1800000000000003E-2</v>
      </c>
      <c r="E83" s="94">
        <f>'Model inputs'!E$50</f>
        <v>6.5100000000000005E-2</v>
      </c>
      <c r="F83" s="94">
        <f>'Model inputs'!F$50</f>
        <v>7.5600000000000001E-2</v>
      </c>
      <c r="G83" s="94">
        <f>'Model inputs'!G$50</f>
        <v>7.0000000000000007E-2</v>
      </c>
      <c r="H83" s="94">
        <f>'Model inputs'!H$50</f>
        <v>6.4000000000000001E-2</v>
      </c>
      <c r="I83" s="94">
        <f>'Model inputs'!I$50</f>
        <v>6.2600000000000003E-2</v>
      </c>
      <c r="J83" s="94">
        <f>'Model inputs'!J$50</f>
        <v>5.8900000000000001E-2</v>
      </c>
      <c r="K83" s="94">
        <f>'Model inputs'!K$50</f>
        <v>5.6899999999999999E-2</v>
      </c>
      <c r="L83" s="94">
        <f>'Model inputs'!L$50</f>
        <v>4.99E-2</v>
      </c>
      <c r="M83" s="94">
        <f>'Model inputs'!M$50</f>
        <v>4.4499999999999998E-2</v>
      </c>
      <c r="N83" s="94">
        <f>'Model inputs'!N$50</f>
        <v>5.2999999999999999E-2</v>
      </c>
    </row>
    <row r="84" spans="1:14" ht="18" customHeight="1" x14ac:dyDescent="0.25">
      <c r="A84" s="35" t="s">
        <v>160</v>
      </c>
      <c r="B84" s="21" t="s">
        <v>23</v>
      </c>
      <c r="C84" s="21"/>
      <c r="D84" s="132">
        <f t="shared" ref="D84:N84" si="29">D70</f>
        <v>13.532762141748071</v>
      </c>
      <c r="E84" s="132">
        <f t="shared" si="29"/>
        <v>11.735549861359907</v>
      </c>
      <c r="F84" s="132">
        <f t="shared" si="29"/>
        <v>10.469005757815134</v>
      </c>
      <c r="G84" s="132">
        <f t="shared" si="29"/>
        <v>8.6550834521867035</v>
      </c>
      <c r="H84" s="132">
        <f t="shared" si="29"/>
        <v>7.0478792374982016</v>
      </c>
      <c r="I84" s="132">
        <f t="shared" si="29"/>
        <v>5.6655301589687923</v>
      </c>
      <c r="J84" s="132">
        <f t="shared" si="29"/>
        <v>4.3674811764689965</v>
      </c>
      <c r="K84" s="132">
        <f t="shared" si="29"/>
        <v>3.174723546280418</v>
      </c>
      <c r="L84" s="132">
        <f t="shared" si="29"/>
        <v>2.0513725608534186</v>
      </c>
      <c r="M84" s="132">
        <f t="shared" si="29"/>
        <v>0.99930053943559993</v>
      </c>
      <c r="N84" s="132">
        <f t="shared" si="29"/>
        <v>0.24433499265487249</v>
      </c>
    </row>
    <row r="85" spans="1:14" ht="18" customHeight="1" x14ac:dyDescent="0.25">
      <c r="A85" s="35" t="s">
        <v>219</v>
      </c>
      <c r="B85" s="21" t="s">
        <v>15</v>
      </c>
      <c r="C85" s="21"/>
      <c r="D85" s="81">
        <f>D82*D84</f>
        <v>9397.7721784392634</v>
      </c>
      <c r="E85" s="81">
        <f t="shared" ref="E85:N85" si="30">E82*E84</f>
        <v>16334.267321857335</v>
      </c>
      <c r="F85" s="81">
        <f t="shared" si="30"/>
        <v>14084.634392577078</v>
      </c>
      <c r="G85" s="81">
        <f t="shared" si="30"/>
        <v>8620.361526666793</v>
      </c>
      <c r="H85" s="81">
        <f t="shared" si="30"/>
        <v>-1801.23345747754</v>
      </c>
      <c r="I85" s="81">
        <f t="shared" si="30"/>
        <v>-18921.748363439332</v>
      </c>
      <c r="J85" s="81">
        <f t="shared" si="30"/>
        <v>0</v>
      </c>
      <c r="K85" s="81">
        <f t="shared" si="30"/>
        <v>0</v>
      </c>
      <c r="L85" s="81">
        <f t="shared" si="30"/>
        <v>0</v>
      </c>
      <c r="M85" s="81">
        <f t="shared" si="30"/>
        <v>0</v>
      </c>
      <c r="N85" s="81">
        <f t="shared" si="30"/>
        <v>0</v>
      </c>
    </row>
    <row r="86" spans="1:14" ht="18" customHeight="1" x14ac:dyDescent="0.3">
      <c r="A86" s="79" t="s">
        <v>215</v>
      </c>
      <c r="B86" s="21" t="s">
        <v>15</v>
      </c>
      <c r="C86" s="21"/>
      <c r="D86" s="46"/>
      <c r="E86" s="46"/>
      <c r="F86" s="46"/>
      <c r="G86" s="46"/>
      <c r="H86" s="46"/>
      <c r="I86" s="46"/>
      <c r="J86" s="46"/>
      <c r="K86" s="46"/>
      <c r="L86" s="46"/>
      <c r="M86" s="46"/>
      <c r="N86" s="80">
        <f>SUM(D85:N85)</f>
        <v>27714.053598623595</v>
      </c>
    </row>
    <row r="87" spans="1:14" ht="18" customHeight="1" x14ac:dyDescent="0.25">
      <c r="A87" s="35"/>
      <c r="B87" s="21"/>
      <c r="C87" s="21"/>
      <c r="D87" s="21"/>
      <c r="E87" s="21"/>
      <c r="F87" s="21"/>
      <c r="G87" s="21"/>
      <c r="H87" s="21"/>
      <c r="I87" s="21"/>
      <c r="J87" s="21"/>
      <c r="K87" s="21"/>
      <c r="L87" s="21"/>
      <c r="M87" s="21"/>
      <c r="N87" s="21"/>
    </row>
    <row r="88" spans="1:14" ht="18" customHeight="1" x14ac:dyDescent="0.35">
      <c r="A88" s="28" t="s">
        <v>217</v>
      </c>
      <c r="B88" s="51"/>
      <c r="C88" s="51"/>
      <c r="D88" s="51"/>
      <c r="E88" s="51"/>
      <c r="F88" s="51"/>
      <c r="G88" s="51"/>
      <c r="H88" s="51"/>
      <c r="I88" s="51"/>
      <c r="J88" s="51"/>
      <c r="K88" s="51"/>
      <c r="L88" s="51"/>
      <c r="M88" s="51"/>
      <c r="N88" s="51"/>
    </row>
    <row r="89" spans="1:14" ht="18" customHeight="1" x14ac:dyDescent="0.25">
      <c r="A89" s="109" t="s">
        <v>19</v>
      </c>
      <c r="B89" s="21" t="s">
        <v>15</v>
      </c>
      <c r="C89" s="17"/>
      <c r="D89" s="17">
        <f>C91</f>
        <v>0</v>
      </c>
      <c r="E89" s="17">
        <f>D91</f>
        <v>10795.582</v>
      </c>
      <c r="F89" s="17">
        <f t="shared" ref="F89" si="31">E91</f>
        <v>37362.280854000004</v>
      </c>
      <c r="G89" s="17">
        <f t="shared" ref="G89" si="32">F91</f>
        <v>57993.371218999993</v>
      </c>
      <c r="H89" s="17">
        <f t="shared" ref="H89" si="33">G91</f>
        <v>75776.544775499991</v>
      </c>
      <c r="I89" s="17">
        <f t="shared" ref="I89" si="34">H91</f>
        <v>70514.264775499993</v>
      </c>
      <c r="J89" s="17">
        <f t="shared" ref="J89" si="35">I91</f>
        <v>0</v>
      </c>
      <c r="K89" s="17">
        <f t="shared" ref="K89" si="36">J91</f>
        <v>0</v>
      </c>
      <c r="L89" s="17">
        <f t="shared" ref="L89" si="37">K91</f>
        <v>0</v>
      </c>
      <c r="M89" s="17">
        <f t="shared" ref="M89" si="38">L91</f>
        <v>0</v>
      </c>
      <c r="N89" s="17">
        <f t="shared" ref="N89" si="39">M91</f>
        <v>0</v>
      </c>
    </row>
    <row r="90" spans="1:14" ht="18" customHeight="1" x14ac:dyDescent="0.25">
      <c r="A90" s="102" t="s">
        <v>206</v>
      </c>
      <c r="B90" s="21" t="s">
        <v>15</v>
      </c>
      <c r="C90" s="68">
        <f>'Model inputs'!C103</f>
        <v>0</v>
      </c>
      <c r="D90" s="68">
        <f>'Model inputs'!D103</f>
        <v>10795.582</v>
      </c>
      <c r="E90" s="68">
        <f>'Model inputs'!E103</f>
        <v>26566.698854000002</v>
      </c>
      <c r="F90" s="68">
        <f>'Model inputs'!F103</f>
        <v>20631.090364999989</v>
      </c>
      <c r="G90" s="68">
        <f>'Model inputs'!G103</f>
        <v>17783.173556499998</v>
      </c>
      <c r="H90" s="68">
        <f>'Model inputs'!H103</f>
        <v>-5262.2800000000007</v>
      </c>
      <c r="I90" s="68">
        <f>'Model inputs'!I103</f>
        <v>-70514.264775499978</v>
      </c>
      <c r="J90" s="68">
        <f>'Model inputs'!J103</f>
        <v>0</v>
      </c>
      <c r="K90" s="68">
        <f>'Model inputs'!K103</f>
        <v>0</v>
      </c>
      <c r="L90" s="68">
        <f>'Model inputs'!L103</f>
        <v>0</v>
      </c>
      <c r="M90" s="68">
        <f>'Model inputs'!M103</f>
        <v>0</v>
      </c>
      <c r="N90" s="68">
        <f>'Model inputs'!N103</f>
        <v>0</v>
      </c>
    </row>
    <row r="91" spans="1:14" ht="18" customHeight="1" x14ac:dyDescent="0.25">
      <c r="A91" s="144" t="s">
        <v>21</v>
      </c>
      <c r="B91" s="21" t="s">
        <v>15</v>
      </c>
      <c r="C91" s="30">
        <f t="shared" ref="C91:N91" si="40">SUM(C89:C90)</f>
        <v>0</v>
      </c>
      <c r="D91" s="30">
        <f t="shared" si="40"/>
        <v>10795.582</v>
      </c>
      <c r="E91" s="30">
        <f t="shared" si="40"/>
        <v>37362.280854000004</v>
      </c>
      <c r="F91" s="30">
        <f t="shared" si="40"/>
        <v>57993.371218999993</v>
      </c>
      <c r="G91" s="30">
        <f t="shared" si="40"/>
        <v>75776.544775499991</v>
      </c>
      <c r="H91" s="30">
        <f t="shared" si="40"/>
        <v>70514.264775499993</v>
      </c>
      <c r="I91" s="30">
        <f t="shared" si="40"/>
        <v>0</v>
      </c>
      <c r="J91" s="30">
        <f t="shared" si="40"/>
        <v>0</v>
      </c>
      <c r="K91" s="30">
        <f t="shared" si="40"/>
        <v>0</v>
      </c>
      <c r="L91" s="30">
        <f t="shared" si="40"/>
        <v>0</v>
      </c>
      <c r="M91" s="30">
        <f t="shared" si="40"/>
        <v>0</v>
      </c>
      <c r="N91" s="30">
        <f t="shared" si="40"/>
        <v>0</v>
      </c>
    </row>
    <row r="92" spans="1:14" ht="18" customHeight="1" x14ac:dyDescent="0.25">
      <c r="A92" s="111"/>
      <c r="B92" s="12"/>
      <c r="C92" s="12"/>
      <c r="D92" s="12"/>
      <c r="E92" s="12"/>
      <c r="F92" s="12"/>
      <c r="G92" s="12"/>
      <c r="H92" s="12"/>
      <c r="I92" s="12"/>
      <c r="J92" s="12"/>
      <c r="K92" s="12"/>
      <c r="L92" s="12"/>
      <c r="M92" s="12"/>
      <c r="N92" s="12"/>
    </row>
    <row r="93" spans="1:14" ht="18" customHeight="1" x14ac:dyDescent="0.35">
      <c r="A93" s="28" t="s">
        <v>214</v>
      </c>
      <c r="B93" s="51"/>
      <c r="C93" s="51"/>
      <c r="D93" s="51"/>
      <c r="E93" s="51"/>
      <c r="F93" s="51"/>
      <c r="G93" s="51"/>
      <c r="H93" s="51"/>
      <c r="I93" s="51"/>
      <c r="J93" s="51"/>
      <c r="K93" s="51"/>
      <c r="L93" s="51"/>
      <c r="M93" s="51"/>
      <c r="N93" s="51"/>
    </row>
    <row r="94" spans="1:14" ht="18" customHeight="1" x14ac:dyDescent="0.25">
      <c r="A94" s="102" t="s">
        <v>170</v>
      </c>
      <c r="B94" s="21" t="s">
        <v>15</v>
      </c>
      <c r="C94" s="21"/>
      <c r="D94" s="17">
        <f>D90</f>
        <v>10795.582</v>
      </c>
      <c r="E94" s="17">
        <f t="shared" ref="E94:N94" si="41">E90</f>
        <v>26566.698854000002</v>
      </c>
      <c r="F94" s="17">
        <f t="shared" si="41"/>
        <v>20631.090364999989</v>
      </c>
      <c r="G94" s="17">
        <f t="shared" si="41"/>
        <v>17783.173556499998</v>
      </c>
      <c r="H94" s="17">
        <f t="shared" si="41"/>
        <v>-5262.2800000000007</v>
      </c>
      <c r="I94" s="17">
        <f t="shared" si="41"/>
        <v>-70514.264775499978</v>
      </c>
      <c r="J94" s="17">
        <f t="shared" si="41"/>
        <v>0</v>
      </c>
      <c r="K94" s="17">
        <f t="shared" si="41"/>
        <v>0</v>
      </c>
      <c r="L94" s="17">
        <f t="shared" si="41"/>
        <v>0</v>
      </c>
      <c r="M94" s="17">
        <f t="shared" si="41"/>
        <v>0</v>
      </c>
      <c r="N94" s="17">
        <f t="shared" si="41"/>
        <v>0</v>
      </c>
    </row>
    <row r="95" spans="1:14" ht="18" customHeight="1" x14ac:dyDescent="0.25">
      <c r="A95" s="35" t="s">
        <v>74</v>
      </c>
      <c r="B95" s="21" t="s">
        <v>17</v>
      </c>
      <c r="C95" s="21"/>
      <c r="D95" s="93">
        <f>'Model inputs'!D107</f>
        <v>7.4867344633991001E-2</v>
      </c>
      <c r="E95" s="93">
        <f>'Model inputs'!E107</f>
        <v>7.0233688067899036E-2</v>
      </c>
      <c r="F95" s="93">
        <f>'Model inputs'!F107</f>
        <v>7.9823606269101954E-2</v>
      </c>
      <c r="G95" s="93">
        <f>'Model inputs'!G107</f>
        <v>7.5717285388436459E-2</v>
      </c>
      <c r="H95" s="93">
        <f>'Model inputs'!H107</f>
        <v>7.0359943761835186E-2</v>
      </c>
      <c r="I95" s="93">
        <f>'Model inputs'!I107</f>
        <v>6.8773715055140516E-2</v>
      </c>
      <c r="J95" s="93">
        <f>'Model inputs'!J107</f>
        <v>6.5618118666790806E-2</v>
      </c>
      <c r="K95" s="93">
        <f>'Model inputs'!K107</f>
        <v>6.35388794255448E-2</v>
      </c>
      <c r="L95" s="93">
        <f>'Model inputs'!L107</f>
        <v>5.8142384142302196E-2</v>
      </c>
      <c r="M95" s="93">
        <f>'Model inputs'!M107</f>
        <v>5.4479821331652266E-2</v>
      </c>
      <c r="N95" s="93">
        <f>'Model inputs'!N107</f>
        <v>6.3677866519200002E-2</v>
      </c>
    </row>
    <row r="96" spans="1:14" ht="18" customHeight="1" x14ac:dyDescent="0.25">
      <c r="A96" s="35" t="s">
        <v>72</v>
      </c>
      <c r="B96" s="21" t="s">
        <v>15</v>
      </c>
      <c r="C96" s="21"/>
      <c r="D96" s="17">
        <f>D94*D95</f>
        <v>808.23655811850983</v>
      </c>
      <c r="E96" s="17">
        <f t="shared" ref="E96:N96" si="42">E94*E95</f>
        <v>1865.8772403056469</v>
      </c>
      <c r="F96" s="17">
        <f t="shared" si="42"/>
        <v>1646.8480341980221</v>
      </c>
      <c r="G96" s="17">
        <f t="shared" si="42"/>
        <v>1346.4936272896068</v>
      </c>
      <c r="H96" s="17">
        <f t="shared" si="42"/>
        <v>-370.25372485903011</v>
      </c>
      <c r="I96" s="17">
        <f t="shared" si="42"/>
        <v>-4849.5279529929676</v>
      </c>
      <c r="J96" s="17">
        <f t="shared" si="42"/>
        <v>0</v>
      </c>
      <c r="K96" s="17">
        <f t="shared" si="42"/>
        <v>0</v>
      </c>
      <c r="L96" s="17">
        <f t="shared" si="42"/>
        <v>0</v>
      </c>
      <c r="M96" s="17">
        <f t="shared" si="42"/>
        <v>0</v>
      </c>
      <c r="N96" s="17">
        <f t="shared" si="42"/>
        <v>0</v>
      </c>
    </row>
    <row r="97" spans="1:17" ht="18" customHeight="1" x14ac:dyDescent="0.25">
      <c r="A97" s="158" t="s">
        <v>164</v>
      </c>
      <c r="B97" s="21" t="s">
        <v>17</v>
      </c>
      <c r="C97" s="21"/>
      <c r="D97" s="94">
        <f>'Model inputs'!D$50</f>
        <v>7.1800000000000003E-2</v>
      </c>
      <c r="E97" s="94">
        <f>'Model inputs'!E$50</f>
        <v>6.5100000000000005E-2</v>
      </c>
      <c r="F97" s="94">
        <f>'Model inputs'!F$50</f>
        <v>7.5600000000000001E-2</v>
      </c>
      <c r="G97" s="94">
        <f>'Model inputs'!G$50</f>
        <v>7.0000000000000007E-2</v>
      </c>
      <c r="H97" s="94">
        <f>'Model inputs'!H$50</f>
        <v>6.4000000000000001E-2</v>
      </c>
      <c r="I97" s="94">
        <f>'Model inputs'!I$50</f>
        <v>6.2600000000000003E-2</v>
      </c>
      <c r="J97" s="94">
        <f>'Model inputs'!J$50</f>
        <v>5.8900000000000001E-2</v>
      </c>
      <c r="K97" s="94">
        <f>'Model inputs'!K$50</f>
        <v>5.6899999999999999E-2</v>
      </c>
      <c r="L97" s="94">
        <f>'Model inputs'!L$50</f>
        <v>4.99E-2</v>
      </c>
      <c r="M97" s="94">
        <f>'Model inputs'!M$50</f>
        <v>4.4499999999999998E-2</v>
      </c>
      <c r="N97" s="94">
        <f>'Model inputs'!N$50</f>
        <v>5.2999999999999999E-2</v>
      </c>
    </row>
    <row r="98" spans="1:17" ht="18" customHeight="1" x14ac:dyDescent="0.25">
      <c r="A98" s="35" t="s">
        <v>160</v>
      </c>
      <c r="B98" s="21" t="s">
        <v>23</v>
      </c>
      <c r="C98" s="21"/>
      <c r="D98" s="132">
        <f t="shared" ref="D98:N98" si="43">D70</f>
        <v>13.532762141748071</v>
      </c>
      <c r="E98" s="132">
        <f t="shared" si="43"/>
        <v>11.735549861359907</v>
      </c>
      <c r="F98" s="132">
        <f t="shared" si="43"/>
        <v>10.469005757815134</v>
      </c>
      <c r="G98" s="132">
        <f t="shared" si="43"/>
        <v>8.6550834521867035</v>
      </c>
      <c r="H98" s="132">
        <f t="shared" si="43"/>
        <v>7.0478792374982016</v>
      </c>
      <c r="I98" s="132">
        <f t="shared" si="43"/>
        <v>5.6655301589687923</v>
      </c>
      <c r="J98" s="132">
        <f t="shared" si="43"/>
        <v>4.3674811764689965</v>
      </c>
      <c r="K98" s="132">
        <f t="shared" si="43"/>
        <v>3.174723546280418</v>
      </c>
      <c r="L98" s="132">
        <f t="shared" si="43"/>
        <v>2.0513725608534186</v>
      </c>
      <c r="M98" s="132">
        <f t="shared" si="43"/>
        <v>0.99930053943559993</v>
      </c>
      <c r="N98" s="132">
        <f t="shared" si="43"/>
        <v>0.24433499265487249</v>
      </c>
    </row>
    <row r="99" spans="1:17" ht="18" customHeight="1" x14ac:dyDescent="0.25">
      <c r="A99" s="35" t="s">
        <v>219</v>
      </c>
      <c r="B99" s="21" t="s">
        <v>15</v>
      </c>
      <c r="C99" s="21"/>
      <c r="D99" s="81">
        <f>D96*D98</f>
        <v>10937.673095282935</v>
      </c>
      <c r="E99" s="81">
        <f t="shared" ref="E99:N99" si="44">E96*E98</f>
        <v>21897.095388783539</v>
      </c>
      <c r="F99" s="81">
        <f t="shared" si="44"/>
        <v>17240.861552265629</v>
      </c>
      <c r="G99" s="81">
        <f t="shared" si="44"/>
        <v>11654.014712029126</v>
      </c>
      <c r="H99" s="81">
        <f t="shared" si="44"/>
        <v>-2609.5035400403299</v>
      </c>
      <c r="I99" s="81">
        <f t="shared" si="44"/>
        <v>-27475.14687444385</v>
      </c>
      <c r="J99" s="81">
        <f t="shared" si="44"/>
        <v>0</v>
      </c>
      <c r="K99" s="81">
        <f t="shared" si="44"/>
        <v>0</v>
      </c>
      <c r="L99" s="81">
        <f t="shared" si="44"/>
        <v>0</v>
      </c>
      <c r="M99" s="81">
        <f t="shared" si="44"/>
        <v>0</v>
      </c>
      <c r="N99" s="81">
        <f t="shared" si="44"/>
        <v>0</v>
      </c>
    </row>
    <row r="100" spans="1:17" ht="18" customHeight="1" x14ac:dyDescent="0.3">
      <c r="A100" s="79" t="s">
        <v>214</v>
      </c>
      <c r="B100" s="21" t="s">
        <v>15</v>
      </c>
      <c r="C100" s="21"/>
      <c r="D100" s="46"/>
      <c r="E100" s="46"/>
      <c r="F100" s="46"/>
      <c r="G100" s="46"/>
      <c r="H100" s="46"/>
      <c r="I100" s="46"/>
      <c r="J100" s="46"/>
      <c r="K100" s="46"/>
      <c r="L100" s="46"/>
      <c r="M100" s="46"/>
      <c r="N100" s="80">
        <f>SUM(D99:N99)</f>
        <v>31644.99433387705</v>
      </c>
    </row>
    <row r="101" spans="1:17" ht="18" customHeight="1" x14ac:dyDescent="0.25">
      <c r="A101" s="24"/>
      <c r="D101" s="25"/>
      <c r="E101" s="25"/>
      <c r="F101" s="25"/>
      <c r="G101" s="25"/>
      <c r="H101" s="25"/>
      <c r="I101" s="25"/>
      <c r="J101" s="25"/>
      <c r="K101" s="25"/>
      <c r="L101" s="25"/>
      <c r="M101" s="25"/>
      <c r="N101" s="25"/>
    </row>
    <row r="102" spans="1:17" ht="18" customHeight="1" x14ac:dyDescent="0.25">
      <c r="O102" s="12"/>
      <c r="P102" s="12"/>
    </row>
    <row r="103" spans="1:17" ht="18" customHeight="1" x14ac:dyDescent="0.35">
      <c r="A103" s="131" t="s">
        <v>36</v>
      </c>
      <c r="C103" s="62" t="s">
        <v>41</v>
      </c>
      <c r="D103" s="62" t="s">
        <v>64</v>
      </c>
      <c r="E103" s="62" t="s">
        <v>42</v>
      </c>
      <c r="F103" s="62" t="s">
        <v>42</v>
      </c>
      <c r="G103" s="62" t="s">
        <v>42</v>
      </c>
      <c r="H103" s="62" t="s">
        <v>42</v>
      </c>
      <c r="I103" s="62" t="s">
        <v>42</v>
      </c>
      <c r="J103" s="62" t="s">
        <v>42</v>
      </c>
      <c r="K103" s="62" t="s">
        <v>42</v>
      </c>
      <c r="L103" s="62" t="s">
        <v>42</v>
      </c>
      <c r="M103" s="62" t="s">
        <v>42</v>
      </c>
      <c r="N103" s="62" t="s">
        <v>65</v>
      </c>
      <c r="O103" s="12"/>
      <c r="P103" s="12"/>
    </row>
    <row r="104" spans="1:17" ht="18" customHeight="1" x14ac:dyDescent="0.25">
      <c r="C104" s="63">
        <f>'Model inputs'!$C$53</f>
        <v>40878</v>
      </c>
      <c r="D104" s="63">
        <f>'Model inputs'!D53</f>
        <v>41090</v>
      </c>
      <c r="E104" s="63">
        <f>'Model inputs'!E53</f>
        <v>41455</v>
      </c>
      <c r="F104" s="63">
        <f>'Model inputs'!F53</f>
        <v>41820</v>
      </c>
      <c r="G104" s="63">
        <f>'Model inputs'!G53</f>
        <v>42185</v>
      </c>
      <c r="H104" s="63">
        <f>'Model inputs'!H53</f>
        <v>42551</v>
      </c>
      <c r="I104" s="63">
        <f>'Model inputs'!I53</f>
        <v>42916</v>
      </c>
      <c r="J104" s="63">
        <f>'Model inputs'!J53</f>
        <v>43281</v>
      </c>
      <c r="K104" s="63">
        <f>'Model inputs'!K53</f>
        <v>43646</v>
      </c>
      <c r="L104" s="63">
        <f>'Model inputs'!L53</f>
        <v>44012</v>
      </c>
      <c r="M104" s="63">
        <f>'Model inputs'!M53</f>
        <v>44377</v>
      </c>
      <c r="N104" s="63">
        <f>'Model inputs'!N53</f>
        <v>44561</v>
      </c>
      <c r="O104" s="12"/>
      <c r="P104" s="12"/>
    </row>
    <row r="105" spans="1:17" s="51" customFormat="1" ht="18" customHeight="1" x14ac:dyDescent="0.35">
      <c r="A105" s="28" t="s">
        <v>35</v>
      </c>
      <c r="O105" s="12"/>
      <c r="P105" s="12"/>
      <c r="Q105" s="52"/>
    </row>
    <row r="106" spans="1:17" ht="18" customHeight="1" x14ac:dyDescent="0.25">
      <c r="A106" s="35" t="s">
        <v>82</v>
      </c>
      <c r="B106" s="21" t="s">
        <v>15</v>
      </c>
      <c r="C106" s="21"/>
      <c r="D106" s="122">
        <f>'Model inputs'!C$20</f>
        <v>0</v>
      </c>
      <c r="E106" s="17">
        <f>D109</f>
        <v>0</v>
      </c>
      <c r="F106" s="17">
        <f t="shared" ref="F106:N106" si="45">E109</f>
        <v>0</v>
      </c>
      <c r="G106" s="17">
        <f t="shared" si="45"/>
        <v>0</v>
      </c>
      <c r="H106" s="17">
        <f t="shared" si="45"/>
        <v>0</v>
      </c>
      <c r="I106" s="17">
        <f t="shared" si="45"/>
        <v>0</v>
      </c>
      <c r="J106" s="17">
        <f t="shared" si="45"/>
        <v>0</v>
      </c>
      <c r="K106" s="17">
        <f t="shared" si="45"/>
        <v>0</v>
      </c>
      <c r="L106" s="17">
        <f t="shared" si="45"/>
        <v>0</v>
      </c>
      <c r="M106" s="17">
        <f t="shared" si="45"/>
        <v>0</v>
      </c>
      <c r="N106" s="17">
        <f t="shared" si="45"/>
        <v>0</v>
      </c>
      <c r="O106" s="12"/>
      <c r="P106" s="12"/>
      <c r="Q106" s="20"/>
    </row>
    <row r="107" spans="1:17" ht="18" customHeight="1" x14ac:dyDescent="0.25">
      <c r="A107" s="35" t="s">
        <v>79</v>
      </c>
      <c r="B107" s="21" t="s">
        <v>15</v>
      </c>
      <c r="C107" s="21"/>
      <c r="D107" s="68">
        <f>'Model inputs'!D$22</f>
        <v>0</v>
      </c>
      <c r="E107" s="68">
        <f>'Model inputs'!E$22</f>
        <v>0</v>
      </c>
      <c r="F107" s="68">
        <f>'Model inputs'!F$22</f>
        <v>0</v>
      </c>
      <c r="G107" s="68">
        <f>'Model inputs'!G$22</f>
        <v>0</v>
      </c>
      <c r="H107" s="68">
        <f>'Model inputs'!H$22</f>
        <v>0</v>
      </c>
      <c r="I107" s="68">
        <f>'Model inputs'!I$22</f>
        <v>0</v>
      </c>
      <c r="J107" s="68">
        <f>'Model inputs'!J$22</f>
        <v>0</v>
      </c>
      <c r="K107" s="68">
        <f>'Model inputs'!K$22</f>
        <v>0</v>
      </c>
      <c r="L107" s="68">
        <f>'Model inputs'!L$22</f>
        <v>0</v>
      </c>
      <c r="M107" s="68">
        <f>'Model inputs'!M$22</f>
        <v>0</v>
      </c>
      <c r="N107" s="68">
        <f>'Model inputs'!N$22</f>
        <v>0</v>
      </c>
      <c r="O107" s="12"/>
      <c r="P107" s="12"/>
      <c r="Q107" s="20"/>
    </row>
    <row r="108" spans="1:17" ht="18" customHeight="1" x14ac:dyDescent="0.25">
      <c r="A108" s="35" t="s">
        <v>80</v>
      </c>
      <c r="B108" s="21" t="s">
        <v>15</v>
      </c>
      <c r="C108" s="21"/>
      <c r="D108" s="68">
        <f>-'Model inputs'!D26</f>
        <v>0</v>
      </c>
      <c r="E108" s="68">
        <f>-'Model inputs'!E26</f>
        <v>0</v>
      </c>
      <c r="F108" s="68">
        <f>-'Model inputs'!F26</f>
        <v>0</v>
      </c>
      <c r="G108" s="68">
        <f>-'Model inputs'!G26</f>
        <v>0</v>
      </c>
      <c r="H108" s="68">
        <f>-'Model inputs'!H26</f>
        <v>0</v>
      </c>
      <c r="I108" s="68">
        <f>-'Model inputs'!I26</f>
        <v>0</v>
      </c>
      <c r="J108" s="68">
        <f>-'Model inputs'!J26</f>
        <v>0</v>
      </c>
      <c r="K108" s="68">
        <f>-'Model inputs'!K26</f>
        <v>0</v>
      </c>
      <c r="L108" s="68">
        <f>-'Model inputs'!L26</f>
        <v>0</v>
      </c>
      <c r="M108" s="68">
        <f>-'Model inputs'!M26</f>
        <v>0</v>
      </c>
      <c r="N108" s="68">
        <f>-'Model inputs'!N26</f>
        <v>0</v>
      </c>
      <c r="O108" s="12"/>
      <c r="P108" s="12"/>
      <c r="Q108" s="20"/>
    </row>
    <row r="109" spans="1:17" ht="18" customHeight="1" x14ac:dyDescent="0.25">
      <c r="A109" s="71" t="s">
        <v>131</v>
      </c>
      <c r="B109" s="21" t="s">
        <v>15</v>
      </c>
      <c r="C109" s="21"/>
      <c r="D109" s="30">
        <f>SUM(D106:D108)</f>
        <v>0</v>
      </c>
      <c r="E109" s="30">
        <f>SUM(E106:E108)</f>
        <v>0</v>
      </c>
      <c r="F109" s="30">
        <f t="shared" ref="F109:N109" si="46">SUM(F106:F108)</f>
        <v>0</v>
      </c>
      <c r="G109" s="30">
        <f t="shared" si="46"/>
        <v>0</v>
      </c>
      <c r="H109" s="30">
        <f t="shared" si="46"/>
        <v>0</v>
      </c>
      <c r="I109" s="30">
        <f t="shared" si="46"/>
        <v>0</v>
      </c>
      <c r="J109" s="30">
        <f t="shared" si="46"/>
        <v>0</v>
      </c>
      <c r="K109" s="30">
        <f t="shared" si="46"/>
        <v>0</v>
      </c>
      <c r="L109" s="30">
        <f t="shared" si="46"/>
        <v>0</v>
      </c>
      <c r="M109" s="30">
        <f t="shared" si="46"/>
        <v>0</v>
      </c>
      <c r="N109" s="30">
        <f t="shared" si="46"/>
        <v>0</v>
      </c>
      <c r="O109" s="12"/>
      <c r="P109" s="12"/>
      <c r="Q109" s="20"/>
    </row>
    <row r="110" spans="1:17" ht="18" customHeight="1" x14ac:dyDescent="0.25">
      <c r="A110" s="24"/>
      <c r="B110" s="25"/>
      <c r="C110" s="25"/>
      <c r="D110" s="25"/>
      <c r="E110" s="25"/>
      <c r="F110" s="25"/>
      <c r="G110" s="25"/>
      <c r="H110" s="25"/>
      <c r="I110" s="25"/>
      <c r="J110" s="25"/>
      <c r="K110" s="25"/>
      <c r="L110" s="25"/>
      <c r="M110" s="25"/>
      <c r="N110" s="25"/>
      <c r="O110" s="12"/>
      <c r="P110" s="12"/>
    </row>
    <row r="111" spans="1:17" s="51" customFormat="1" ht="18" customHeight="1" x14ac:dyDescent="0.35">
      <c r="A111" s="28" t="s">
        <v>34</v>
      </c>
      <c r="O111" s="12"/>
      <c r="P111" s="12"/>
      <c r="Q111" s="52"/>
    </row>
    <row r="112" spans="1:17" ht="18" customHeight="1" x14ac:dyDescent="0.25">
      <c r="A112" s="35" t="s">
        <v>77</v>
      </c>
      <c r="B112" s="21" t="s">
        <v>15</v>
      </c>
      <c r="C112" s="21"/>
      <c r="D112" s="122">
        <f>'Model inputs'!C$21</f>
        <v>55.647300000000001</v>
      </c>
      <c r="E112" s="17">
        <f>D116</f>
        <v>21408.485720000001</v>
      </c>
      <c r="F112" s="17">
        <f t="shared" ref="F112:N112" si="47">E116</f>
        <v>70057.070489999998</v>
      </c>
      <c r="G112" s="17">
        <f t="shared" si="47"/>
        <v>114378.3036</v>
      </c>
      <c r="H112" s="17">
        <f t="shared" si="47"/>
        <v>169421.27670999998</v>
      </c>
      <c r="I112" s="17">
        <f t="shared" si="47"/>
        <v>212852.905</v>
      </c>
      <c r="J112" s="17">
        <f t="shared" si="47"/>
        <v>207220.95891999995</v>
      </c>
      <c r="K112" s="17">
        <f t="shared" si="47"/>
        <v>375340.4331400001</v>
      </c>
      <c r="L112" s="17">
        <f t="shared" si="47"/>
        <v>417872.54736000003</v>
      </c>
      <c r="M112" s="17">
        <f t="shared" si="47"/>
        <v>499780.37194000016</v>
      </c>
      <c r="N112" s="17">
        <f t="shared" si="47"/>
        <v>516538.33385</v>
      </c>
      <c r="O112" s="12"/>
      <c r="P112" s="12"/>
      <c r="Q112" s="20"/>
    </row>
    <row r="113" spans="1:17" ht="18" customHeight="1" x14ac:dyDescent="0.25">
      <c r="A113" s="35" t="s">
        <v>78</v>
      </c>
      <c r="B113" s="21" t="s">
        <v>15</v>
      </c>
      <c r="C113" s="21"/>
      <c r="D113" s="68">
        <f>'Model inputs'!D$23</f>
        <v>21647.13493</v>
      </c>
      <c r="E113" s="68">
        <f>'Model inputs'!E$23</f>
        <v>54818.26496</v>
      </c>
      <c r="F113" s="68">
        <f>'Model inputs'!F$23</f>
        <v>58083.11318</v>
      </c>
      <c r="G113" s="68">
        <f>'Model inputs'!G$23</f>
        <v>77476.762559999988</v>
      </c>
      <c r="H113" s="68">
        <f>'Model inputs'!H$23</f>
        <v>73456.293699999995</v>
      </c>
      <c r="I113" s="68">
        <f>'Model inputs'!I$23</f>
        <v>15303.258219999969</v>
      </c>
      <c r="J113" s="68">
        <f>'Model inputs'!J$23</f>
        <v>148057.45971000011</v>
      </c>
      <c r="K113" s="68">
        <f>'Model inputs'!K$23</f>
        <v>67797.890209999925</v>
      </c>
      <c r="L113" s="68">
        <f>'Model inputs'!L$23</f>
        <v>103195.01507000011</v>
      </c>
      <c r="M113" s="68">
        <f>'Model inputs'!M$23</f>
        <v>57569.572089999892</v>
      </c>
      <c r="N113" s="68">
        <f>'Model inputs'!N$23</f>
        <v>25190.897089999915</v>
      </c>
      <c r="O113" s="12"/>
      <c r="P113" s="12"/>
      <c r="Q113" s="20"/>
    </row>
    <row r="114" spans="1:17" ht="18" customHeight="1" x14ac:dyDescent="0.25">
      <c r="A114" s="35" t="s">
        <v>81</v>
      </c>
      <c r="B114" s="21" t="s">
        <v>15</v>
      </c>
      <c r="C114" s="21"/>
      <c r="D114" s="68">
        <f>-'Model inputs'!D27</f>
        <v>-294.29651000000001</v>
      </c>
      <c r="E114" s="68">
        <f>-'Model inputs'!E27</f>
        <v>-6169.68019</v>
      </c>
      <c r="F114" s="68">
        <f>-'Model inputs'!F27</f>
        <v>-13761.880069999999</v>
      </c>
      <c r="G114" s="68">
        <f>-'Model inputs'!G27</f>
        <v>-22433.78945</v>
      </c>
      <c r="H114" s="68">
        <f>-'Model inputs'!H27</f>
        <v>-30024.665409999998</v>
      </c>
      <c r="I114" s="68">
        <f>-'Model inputs'!I27</f>
        <v>-20935.204300000027</v>
      </c>
      <c r="J114" s="68">
        <f>-'Model inputs'!J27</f>
        <v>20062.01450999999</v>
      </c>
      <c r="K114" s="68">
        <f>-'Model inputs'!K27</f>
        <v>-25265.77598999998</v>
      </c>
      <c r="L114" s="68">
        <f>-'Model inputs'!L27</f>
        <v>-21287.190489999997</v>
      </c>
      <c r="M114" s="68">
        <f>-'Model inputs'!M27</f>
        <v>-40811.610180000011</v>
      </c>
      <c r="N114" s="68">
        <f>-'Model inputs'!N27</f>
        <v>-16425.546539999963</v>
      </c>
      <c r="O114" s="12"/>
      <c r="P114" s="12"/>
      <c r="Q114" s="20"/>
    </row>
    <row r="115" spans="1:17" ht="18" customHeight="1" x14ac:dyDescent="0.25">
      <c r="A115" s="35" t="s">
        <v>138</v>
      </c>
      <c r="B115" s="21" t="s">
        <v>15</v>
      </c>
      <c r="C115" s="21"/>
      <c r="D115" s="68">
        <f>'Model inputs'!D$28</f>
        <v>0</v>
      </c>
      <c r="E115" s="68">
        <f>'Model inputs'!E$28</f>
        <v>0</v>
      </c>
      <c r="F115" s="68">
        <f>'Model inputs'!F$28</f>
        <v>0</v>
      </c>
      <c r="G115" s="68">
        <f>'Model inputs'!G$28</f>
        <v>0</v>
      </c>
      <c r="H115" s="68">
        <f>'Model inputs'!H$28</f>
        <v>0</v>
      </c>
      <c r="I115" s="68">
        <f>'Model inputs'!I$28</f>
        <v>0</v>
      </c>
      <c r="J115" s="68">
        <f>'Model inputs'!J$28</f>
        <v>0</v>
      </c>
      <c r="K115" s="68">
        <f>'Model inputs'!K$28</f>
        <v>0</v>
      </c>
      <c r="L115" s="68">
        <f>'Model inputs'!L$28</f>
        <v>0</v>
      </c>
      <c r="M115" s="68">
        <f>'Model inputs'!M$28</f>
        <v>0</v>
      </c>
      <c r="N115" s="68">
        <f>'Model inputs'!N$28</f>
        <v>0</v>
      </c>
      <c r="O115" s="12"/>
      <c r="P115" s="12"/>
      <c r="Q115" s="20"/>
    </row>
    <row r="116" spans="1:17" ht="18" customHeight="1" x14ac:dyDescent="0.25">
      <c r="A116" s="71" t="s">
        <v>132</v>
      </c>
      <c r="B116" s="21" t="s">
        <v>15</v>
      </c>
      <c r="C116" s="21"/>
      <c r="D116" s="30">
        <f t="shared" ref="D116:N116" si="48">SUM(D112:D115)</f>
        <v>21408.485720000001</v>
      </c>
      <c r="E116" s="30">
        <f t="shared" si="48"/>
        <v>70057.070489999998</v>
      </c>
      <c r="F116" s="30">
        <f t="shared" si="48"/>
        <v>114378.3036</v>
      </c>
      <c r="G116" s="30">
        <f t="shared" si="48"/>
        <v>169421.27670999998</v>
      </c>
      <c r="H116" s="30">
        <f t="shared" si="48"/>
        <v>212852.905</v>
      </c>
      <c r="I116" s="30">
        <f t="shared" si="48"/>
        <v>207220.95891999995</v>
      </c>
      <c r="J116" s="30">
        <f t="shared" si="48"/>
        <v>375340.4331400001</v>
      </c>
      <c r="K116" s="30">
        <f t="shared" si="48"/>
        <v>417872.54736000003</v>
      </c>
      <c r="L116" s="30">
        <f t="shared" si="48"/>
        <v>499780.37194000016</v>
      </c>
      <c r="M116" s="30">
        <f t="shared" si="48"/>
        <v>516538.33385</v>
      </c>
      <c r="N116" s="30">
        <f t="shared" si="48"/>
        <v>525303.68439999991</v>
      </c>
      <c r="O116" s="12"/>
      <c r="P116" s="12"/>
      <c r="Q116" s="20"/>
    </row>
    <row r="117" spans="1:17" ht="18" customHeight="1" x14ac:dyDescent="0.25">
      <c r="A117" s="103"/>
      <c r="B117" s="12"/>
      <c r="C117" s="12"/>
      <c r="D117" s="12"/>
      <c r="E117" s="12"/>
      <c r="F117" s="12"/>
      <c r="G117" s="12"/>
      <c r="H117" s="12"/>
      <c r="I117" s="12"/>
      <c r="J117" s="12"/>
      <c r="K117" s="12"/>
      <c r="L117" s="12"/>
      <c r="M117" s="12"/>
      <c r="N117" s="12"/>
      <c r="O117" s="12"/>
      <c r="P117" s="12"/>
      <c r="Q117" s="20"/>
    </row>
    <row r="118" spans="1:17" s="51" customFormat="1" ht="18" customHeight="1" x14ac:dyDescent="0.35">
      <c r="A118" s="28" t="s">
        <v>58</v>
      </c>
      <c r="O118" s="12"/>
      <c r="P118" s="12"/>
      <c r="Q118" s="52"/>
    </row>
    <row r="119" spans="1:17" ht="18" customHeight="1" x14ac:dyDescent="0.25">
      <c r="A119" s="35" t="s">
        <v>75</v>
      </c>
      <c r="B119" s="21" t="s">
        <v>15</v>
      </c>
      <c r="C119" s="21"/>
      <c r="D119" s="68">
        <f>'Model inputs'!D24</f>
        <v>35.596730000000001</v>
      </c>
      <c r="E119" s="68">
        <f>'Model inputs'!E24</f>
        <v>2083.924</v>
      </c>
      <c r="F119" s="68">
        <f>'Model inputs'!F24</f>
        <v>3772.3516400000003</v>
      </c>
      <c r="G119" s="68">
        <f>'Model inputs'!G24</f>
        <v>9675.6143000000011</v>
      </c>
      <c r="H119" s="68">
        <f>'Model inputs'!H24</f>
        <v>24249.238949999999</v>
      </c>
      <c r="I119" s="68">
        <f>'Model inputs'!I24</f>
        <v>42109.964838</v>
      </c>
      <c r="J119" s="68">
        <f>'Model inputs'!J24</f>
        <v>54832.258948000002</v>
      </c>
      <c r="K119" s="68">
        <f>'Model inputs'!K24</f>
        <v>69680.848107999991</v>
      </c>
      <c r="L119" s="68">
        <f>'Model inputs'!L24</f>
        <v>85491.768060000002</v>
      </c>
      <c r="M119" s="68">
        <f>'Model inputs'!M24</f>
        <v>99432.095694999996</v>
      </c>
      <c r="N119" s="68">
        <f>'Model inputs'!N24</f>
        <v>52229.675210000001</v>
      </c>
      <c r="O119" s="12"/>
      <c r="P119" s="12"/>
      <c r="Q119" s="20"/>
    </row>
    <row r="120" spans="1:17" ht="18" customHeight="1" x14ac:dyDescent="0.25">
      <c r="A120" s="35" t="s">
        <v>76</v>
      </c>
      <c r="B120" s="21" t="s">
        <v>15</v>
      </c>
      <c r="C120" s="21"/>
      <c r="D120" s="68">
        <f>-'Model inputs'!D25</f>
        <v>-1327.4679400000002</v>
      </c>
      <c r="E120" s="68">
        <f>-'Model inputs'!E25</f>
        <v>-8159.7489050000004</v>
      </c>
      <c r="F120" s="68">
        <f>-'Model inputs'!F25</f>
        <v>-12758.516665000001</v>
      </c>
      <c r="G120" s="68">
        <f>-'Model inputs'!G25</f>
        <v>-15309.94189</v>
      </c>
      <c r="H120" s="68">
        <f>-'Model inputs'!H25</f>
        <v>-22392.638360000001</v>
      </c>
      <c r="I120" s="68">
        <f>-'Model inputs'!I25</f>
        <v>-24808.302345</v>
      </c>
      <c r="J120" s="68">
        <f>-'Model inputs'!J25</f>
        <v>-25967.833429999999</v>
      </c>
      <c r="K120" s="68">
        <f>-'Model inputs'!K25</f>
        <v>-29616.747070000001</v>
      </c>
      <c r="L120" s="68">
        <f>-'Model inputs'!L25</f>
        <v>-29300.660839999997</v>
      </c>
      <c r="M120" s="68">
        <f>-'Model inputs'!M25</f>
        <v>-31920.795383333334</v>
      </c>
      <c r="N120" s="68">
        <f>-'Model inputs'!N25</f>
        <v>-19384.758691666666</v>
      </c>
      <c r="O120" s="12"/>
      <c r="P120" s="12"/>
      <c r="Q120" s="20"/>
    </row>
    <row r="121" spans="1:17" ht="18" customHeight="1" x14ac:dyDescent="0.25">
      <c r="A121" s="35" t="s">
        <v>118</v>
      </c>
      <c r="B121" s="21" t="s">
        <v>15</v>
      </c>
      <c r="C121" s="21"/>
      <c r="D121" s="96">
        <f>IF(-D345&gt;0,0,-D345)</f>
        <v>0</v>
      </c>
      <c r="E121" s="96">
        <f>IF(-E345&gt;0,0,-E345)</f>
        <v>0</v>
      </c>
      <c r="F121" s="96">
        <f t="shared" ref="F121:N121" si="49">IF(-F345&gt;0,0,-F345)</f>
        <v>0</v>
      </c>
      <c r="G121" s="96">
        <f t="shared" si="49"/>
        <v>0</v>
      </c>
      <c r="H121" s="96">
        <f t="shared" si="49"/>
        <v>-1039.2808175890727</v>
      </c>
      <c r="I121" s="96">
        <f t="shared" si="49"/>
        <v>-4268.5161007460792</v>
      </c>
      <c r="J121" s="96">
        <f t="shared" si="49"/>
        <v>-7066.0448187167531</v>
      </c>
      <c r="K121" s="96">
        <f t="shared" si="49"/>
        <v>-7840.0319887365822</v>
      </c>
      <c r="L121" s="96">
        <f t="shared" si="49"/>
        <v>-8611.0016405919814</v>
      </c>
      <c r="M121" s="96">
        <f t="shared" si="49"/>
        <v>-8777.8512187298329</v>
      </c>
      <c r="N121" s="96">
        <f t="shared" si="49"/>
        <v>-4305.8826811982835</v>
      </c>
      <c r="O121" s="12"/>
      <c r="P121" s="12"/>
      <c r="Q121" s="20"/>
    </row>
    <row r="122" spans="1:17" ht="18" customHeight="1" x14ac:dyDescent="0.25">
      <c r="A122" s="35" t="s">
        <v>81</v>
      </c>
      <c r="B122" s="21" t="s">
        <v>15</v>
      </c>
      <c r="C122" s="21"/>
      <c r="D122" s="17">
        <f t="shared" ref="D122:N122" si="50">D114</f>
        <v>-294.29651000000001</v>
      </c>
      <c r="E122" s="17">
        <f t="shared" si="50"/>
        <v>-6169.68019</v>
      </c>
      <c r="F122" s="17">
        <f t="shared" si="50"/>
        <v>-13761.880069999999</v>
      </c>
      <c r="G122" s="17">
        <f t="shared" si="50"/>
        <v>-22433.78945</v>
      </c>
      <c r="H122" s="17">
        <f t="shared" si="50"/>
        <v>-30024.665409999998</v>
      </c>
      <c r="I122" s="17">
        <f t="shared" si="50"/>
        <v>-20935.204300000027</v>
      </c>
      <c r="J122" s="17">
        <f t="shared" si="50"/>
        <v>20062.01450999999</v>
      </c>
      <c r="K122" s="17">
        <f t="shared" si="50"/>
        <v>-25265.77598999998</v>
      </c>
      <c r="L122" s="17">
        <f t="shared" si="50"/>
        <v>-21287.190489999997</v>
      </c>
      <c r="M122" s="17">
        <f t="shared" si="50"/>
        <v>-40811.610180000011</v>
      </c>
      <c r="N122" s="17">
        <f t="shared" si="50"/>
        <v>-16425.546539999963</v>
      </c>
      <c r="O122" s="12"/>
      <c r="P122" s="12"/>
      <c r="Q122" s="20"/>
    </row>
    <row r="123" spans="1:17" ht="18" customHeight="1" x14ac:dyDescent="0.25">
      <c r="A123" s="35" t="s">
        <v>61</v>
      </c>
      <c r="B123" s="21" t="s">
        <v>15</v>
      </c>
      <c r="C123" s="21"/>
      <c r="D123" s="30">
        <f>SUM(D119:D122)</f>
        <v>-1586.1677200000004</v>
      </c>
      <c r="E123" s="30">
        <f t="shared" ref="E123:N123" si="51">SUM(E119:E122)</f>
        <v>-12245.505095</v>
      </c>
      <c r="F123" s="30">
        <f t="shared" si="51"/>
        <v>-22748.045095000001</v>
      </c>
      <c r="G123" s="30">
        <f t="shared" si="51"/>
        <v>-28068.117039999997</v>
      </c>
      <c r="H123" s="30">
        <f>SUM(H119:H122)</f>
        <v>-29207.345637589071</v>
      </c>
      <c r="I123" s="30">
        <f t="shared" si="51"/>
        <v>-7902.0579077461061</v>
      </c>
      <c r="J123" s="30">
        <f t="shared" si="51"/>
        <v>41860.395209283241</v>
      </c>
      <c r="K123" s="30">
        <f t="shared" si="51"/>
        <v>6958.2930592634293</v>
      </c>
      <c r="L123" s="30">
        <f t="shared" si="51"/>
        <v>26292.915089408027</v>
      </c>
      <c r="M123" s="30">
        <f t="shared" si="51"/>
        <v>17921.838912936822</v>
      </c>
      <c r="N123" s="30">
        <f t="shared" si="51"/>
        <v>12113.487297135092</v>
      </c>
      <c r="O123" s="12"/>
      <c r="P123" s="12"/>
      <c r="Q123" s="20"/>
    </row>
    <row r="124" spans="1:17" ht="18" customHeight="1" x14ac:dyDescent="0.25">
      <c r="A124" s="35" t="s">
        <v>63</v>
      </c>
      <c r="B124" s="21" t="s">
        <v>15</v>
      </c>
      <c r="C124" s="21"/>
      <c r="D124" s="68">
        <f>D123*'Model inputs'!D29</f>
        <v>-444.12696160000013</v>
      </c>
      <c r="E124" s="68">
        <f>E123*'Model inputs'!E29</f>
        <v>-3428.7414266000005</v>
      </c>
      <c r="F124" s="68">
        <f>F123*'Model inputs'!F29</f>
        <v>-6369.4526266000012</v>
      </c>
      <c r="G124" s="68">
        <f>G123*'Model inputs'!G29</f>
        <v>-7859.0727711999998</v>
      </c>
      <c r="H124" s="68">
        <f>H123*'Model inputs'!H29</f>
        <v>-8178.0567785249405</v>
      </c>
      <c r="I124" s="68">
        <f>I123*'Model inputs'!I29</f>
        <v>-2212.5762141689102</v>
      </c>
      <c r="J124" s="68">
        <f>J123*'Model inputs'!J29</f>
        <v>11720.910658599309</v>
      </c>
      <c r="K124" s="68">
        <f>K123*'Model inputs'!K29</f>
        <v>1948.3220565937604</v>
      </c>
      <c r="L124" s="68">
        <f>L123*'Model inputs'!L29</f>
        <v>7362.0162250342482</v>
      </c>
      <c r="M124" s="68">
        <f>M123*'Model inputs'!M29</f>
        <v>5018.1148956223105</v>
      </c>
      <c r="N124" s="68">
        <f>N123*'Model inputs'!N29</f>
        <v>3391.7764431978262</v>
      </c>
      <c r="O124" s="12"/>
      <c r="P124" s="12"/>
      <c r="Q124" s="20"/>
    </row>
    <row r="125" spans="1:17" ht="18" customHeight="1" x14ac:dyDescent="0.25">
      <c r="A125" s="15" t="s">
        <v>58</v>
      </c>
      <c r="B125" s="21" t="s">
        <v>15</v>
      </c>
      <c r="C125" s="21"/>
      <c r="D125" s="72">
        <f>IF(D124&lt;0,0,D124-D136)</f>
        <v>0</v>
      </c>
      <c r="E125" s="72">
        <f>IF(E124&lt;0,0,E124-E136)</f>
        <v>0</v>
      </c>
      <c r="F125" s="72">
        <f t="shared" ref="F125:M125" si="52">IF(F124&lt;0,0,F124-F136)</f>
        <v>0</v>
      </c>
      <c r="G125" s="72">
        <f t="shared" si="52"/>
        <v>0</v>
      </c>
      <c r="H125" s="72">
        <f t="shared" si="52"/>
        <v>0</v>
      </c>
      <c r="I125" s="72">
        <f t="shared" si="52"/>
        <v>0</v>
      </c>
      <c r="J125" s="72">
        <f t="shared" si="52"/>
        <v>0</v>
      </c>
      <c r="K125" s="72">
        <f t="shared" si="52"/>
        <v>0</v>
      </c>
      <c r="L125" s="72">
        <f t="shared" si="52"/>
        <v>0</v>
      </c>
      <c r="M125" s="72">
        <f t="shared" si="52"/>
        <v>0</v>
      </c>
      <c r="N125" s="72">
        <f>IF(N124&lt;0,0,N124-N136)</f>
        <v>949.11350035360329</v>
      </c>
      <c r="O125" s="12"/>
      <c r="P125" s="12"/>
      <c r="Q125" s="20"/>
    </row>
    <row r="126" spans="1:17" ht="18" customHeight="1" x14ac:dyDescent="0.25">
      <c r="A126"/>
      <c r="O126" s="12"/>
      <c r="P126" s="12"/>
    </row>
    <row r="127" spans="1:17" ht="18" customHeight="1" x14ac:dyDescent="0.3">
      <c r="A127" s="33" t="s">
        <v>125</v>
      </c>
      <c r="B127" s="96"/>
      <c r="C127" s="96"/>
      <c r="D127" s="96"/>
      <c r="E127" s="96"/>
      <c r="F127" s="96"/>
      <c r="G127" s="96"/>
      <c r="H127" s="96"/>
      <c r="I127" s="96"/>
      <c r="J127" s="96"/>
      <c r="K127" s="96"/>
      <c r="L127" s="96"/>
      <c r="M127" s="96"/>
      <c r="N127" s="96"/>
      <c r="O127" s="12"/>
      <c r="P127" s="12"/>
    </row>
    <row r="128" spans="1:17" ht="18" customHeight="1" x14ac:dyDescent="0.25">
      <c r="A128" s="35" t="s">
        <v>127</v>
      </c>
      <c r="B128" s="21" t="s">
        <v>15</v>
      </c>
      <c r="C128" s="96"/>
      <c r="D128" s="174">
        <v>0</v>
      </c>
      <c r="E128" s="96">
        <f>D131</f>
        <v>1586.1677200000004</v>
      </c>
      <c r="F128" s="96">
        <f>E131</f>
        <v>13831.672815000002</v>
      </c>
      <c r="G128" s="96">
        <f t="shared" ref="G128:N128" si="53">F131</f>
        <v>36579.717910000007</v>
      </c>
      <c r="H128" s="96">
        <f t="shared" si="53"/>
        <v>64647.834950000004</v>
      </c>
      <c r="I128" s="96">
        <f t="shared" si="53"/>
        <v>93855.180587589071</v>
      </c>
      <c r="J128" s="96">
        <f t="shared" si="53"/>
        <v>101757.23849533517</v>
      </c>
      <c r="K128" s="96">
        <f t="shared" si="53"/>
        <v>59896.843286051931</v>
      </c>
      <c r="L128" s="96">
        <f t="shared" si="53"/>
        <v>52938.550226788502</v>
      </c>
      <c r="M128" s="96">
        <f t="shared" si="53"/>
        <v>26645.635137380475</v>
      </c>
      <c r="N128" s="96">
        <f t="shared" si="53"/>
        <v>8723.796224443653</v>
      </c>
      <c r="O128" s="12"/>
      <c r="P128" s="12"/>
    </row>
    <row r="129" spans="1:16" ht="18" customHeight="1" x14ac:dyDescent="0.25">
      <c r="A129" s="35" t="s">
        <v>129</v>
      </c>
      <c r="B129" s="21" t="s">
        <v>15</v>
      </c>
      <c r="C129" s="96"/>
      <c r="D129" s="96">
        <f>IF(D123&gt;=0,0,-D123)</f>
        <v>1586.1677200000004</v>
      </c>
      <c r="E129" s="96">
        <f t="shared" ref="E129:N129" si="54">IF(E123&gt;=0,0,-E123)</f>
        <v>12245.505095</v>
      </c>
      <c r="F129" s="96">
        <f t="shared" si="54"/>
        <v>22748.045095000001</v>
      </c>
      <c r="G129" s="96">
        <f t="shared" si="54"/>
        <v>28068.117039999997</v>
      </c>
      <c r="H129" s="96">
        <f t="shared" si="54"/>
        <v>29207.345637589071</v>
      </c>
      <c r="I129" s="96">
        <f t="shared" si="54"/>
        <v>7902.0579077461061</v>
      </c>
      <c r="J129" s="96">
        <f t="shared" si="54"/>
        <v>0</v>
      </c>
      <c r="K129" s="96">
        <f t="shared" si="54"/>
        <v>0</v>
      </c>
      <c r="L129" s="96">
        <f t="shared" si="54"/>
        <v>0</v>
      </c>
      <c r="M129" s="96">
        <f t="shared" si="54"/>
        <v>0</v>
      </c>
      <c r="N129" s="96">
        <f t="shared" si="54"/>
        <v>0</v>
      </c>
      <c r="O129" s="12"/>
      <c r="P129" s="12"/>
    </row>
    <row r="130" spans="1:16" ht="18" customHeight="1" x14ac:dyDescent="0.25">
      <c r="A130" s="35" t="s">
        <v>126</v>
      </c>
      <c r="B130" s="21" t="s">
        <v>15</v>
      </c>
      <c r="C130" s="96"/>
      <c r="D130" s="140">
        <f>D136/'Model inputs'!D$29</f>
        <v>0</v>
      </c>
      <c r="E130" s="140">
        <f>E136/'Model inputs'!E$29</f>
        <v>0</v>
      </c>
      <c r="F130" s="140">
        <f>F136/'Model inputs'!F$29</f>
        <v>0</v>
      </c>
      <c r="G130" s="140">
        <f>G136/'Model inputs'!G$29</f>
        <v>0</v>
      </c>
      <c r="H130" s="140">
        <f>H136/'Model inputs'!H$29</f>
        <v>0</v>
      </c>
      <c r="I130" s="140">
        <f>I136/'Model inputs'!I$29</f>
        <v>0</v>
      </c>
      <c r="J130" s="140">
        <f>J136/'Model inputs'!J$29</f>
        <v>41860.395209283241</v>
      </c>
      <c r="K130" s="140">
        <f>K136/'Model inputs'!K$29</f>
        <v>6958.2930592634293</v>
      </c>
      <c r="L130" s="140">
        <f>L136/'Model inputs'!L$29</f>
        <v>26292.915089408027</v>
      </c>
      <c r="M130" s="140">
        <f>M136/'Model inputs'!M$29</f>
        <v>17921.838912936822</v>
      </c>
      <c r="N130" s="140">
        <f>N136/'Model inputs'!N$29</f>
        <v>8723.796224443653</v>
      </c>
      <c r="O130" s="12"/>
      <c r="P130" s="12"/>
    </row>
    <row r="131" spans="1:16" ht="18" customHeight="1" x14ac:dyDescent="0.25">
      <c r="A131" s="71" t="s">
        <v>128</v>
      </c>
      <c r="B131" s="21" t="s">
        <v>15</v>
      </c>
      <c r="C131" s="96"/>
      <c r="D131" s="139">
        <f>D128+D129-D130</f>
        <v>1586.1677200000004</v>
      </c>
      <c r="E131" s="139">
        <f t="shared" ref="E131:N131" si="55">E128+E129-E130</f>
        <v>13831.672815000002</v>
      </c>
      <c r="F131" s="139">
        <f t="shared" si="55"/>
        <v>36579.717910000007</v>
      </c>
      <c r="G131" s="139">
        <f t="shared" si="55"/>
        <v>64647.834950000004</v>
      </c>
      <c r="H131" s="139">
        <f t="shared" si="55"/>
        <v>93855.180587589071</v>
      </c>
      <c r="I131" s="139">
        <f t="shared" si="55"/>
        <v>101757.23849533517</v>
      </c>
      <c r="J131" s="139">
        <f t="shared" si="55"/>
        <v>59896.843286051931</v>
      </c>
      <c r="K131" s="139">
        <f t="shared" si="55"/>
        <v>52938.550226788502</v>
      </c>
      <c r="L131" s="139">
        <f t="shared" si="55"/>
        <v>26645.635137380475</v>
      </c>
      <c r="M131" s="139">
        <f t="shared" si="55"/>
        <v>8723.796224443653</v>
      </c>
      <c r="N131" s="141">
        <f t="shared" si="55"/>
        <v>0</v>
      </c>
      <c r="O131" s="12"/>
      <c r="P131" s="12"/>
    </row>
    <row r="132" spans="1:16" ht="18" customHeight="1" x14ac:dyDescent="0.25">
      <c r="A132" s="35"/>
      <c r="B132" s="21"/>
      <c r="C132" s="96"/>
      <c r="D132" s="96"/>
      <c r="E132" s="96"/>
      <c r="F132" s="96"/>
      <c r="G132" s="96"/>
      <c r="H132" s="96"/>
      <c r="I132" s="96"/>
      <c r="J132" s="96"/>
      <c r="K132" s="96"/>
      <c r="L132" s="96"/>
      <c r="M132" s="96"/>
      <c r="N132" s="96"/>
      <c r="O132" s="12"/>
      <c r="P132" s="12"/>
    </row>
    <row r="133" spans="1:16" s="142" customFormat="1" ht="18" customHeight="1" x14ac:dyDescent="0.35">
      <c r="A133" s="28" t="s">
        <v>130</v>
      </c>
      <c r="D133" s="143"/>
      <c r="E133" s="143"/>
      <c r="F133" s="143"/>
      <c r="G133" s="143"/>
      <c r="H133" s="143"/>
      <c r="I133" s="143"/>
      <c r="J133" s="143"/>
      <c r="K133" s="143"/>
      <c r="L133" s="143"/>
      <c r="M133" s="143"/>
      <c r="N133" s="143"/>
      <c r="O133" s="116"/>
      <c r="P133" s="116"/>
    </row>
    <row r="134" spans="1:16" s="142" customFormat="1" ht="18" customHeight="1" x14ac:dyDescent="0.25">
      <c r="A134" s="109" t="s">
        <v>84</v>
      </c>
      <c r="B134" s="21" t="s">
        <v>15</v>
      </c>
      <c r="C134" s="21"/>
      <c r="D134" s="96">
        <v>0</v>
      </c>
      <c r="E134" s="96">
        <f t="shared" ref="E134:N134" si="56">D137</f>
        <v>-444.12696160000013</v>
      </c>
      <c r="F134" s="96">
        <f t="shared" si="56"/>
        <v>-3872.8683882000005</v>
      </c>
      <c r="G134" s="96">
        <f t="shared" si="56"/>
        <v>-10242.321014800002</v>
      </c>
      <c r="H134" s="96">
        <f t="shared" si="56"/>
        <v>-18101.393786000001</v>
      </c>
      <c r="I134" s="96">
        <f t="shared" si="56"/>
        <v>-26279.450564524941</v>
      </c>
      <c r="J134" s="96">
        <f t="shared" si="56"/>
        <v>-28492.026778693849</v>
      </c>
      <c r="K134" s="96">
        <f t="shared" si="56"/>
        <v>-16771.116120094543</v>
      </c>
      <c r="L134" s="96">
        <f t="shared" si="56"/>
        <v>-14822.794063500782</v>
      </c>
      <c r="M134" s="96">
        <f t="shared" si="56"/>
        <v>-7460.7778384665335</v>
      </c>
      <c r="N134" s="96">
        <f t="shared" si="56"/>
        <v>-2442.6629428442229</v>
      </c>
      <c r="O134" s="116"/>
      <c r="P134" s="116"/>
    </row>
    <row r="135" spans="1:16" s="142" customFormat="1" ht="18" customHeight="1" x14ac:dyDescent="0.25">
      <c r="A135" s="109" t="s">
        <v>85</v>
      </c>
      <c r="B135" s="21" t="s">
        <v>15</v>
      </c>
      <c r="C135" s="21"/>
      <c r="D135" s="96">
        <f t="shared" ref="D135:N135" si="57">IF(D124&lt;0,D124,0)</f>
        <v>-444.12696160000013</v>
      </c>
      <c r="E135" s="96">
        <f t="shared" si="57"/>
        <v>-3428.7414266000005</v>
      </c>
      <c r="F135" s="96">
        <f t="shared" si="57"/>
        <v>-6369.4526266000012</v>
      </c>
      <c r="G135" s="96">
        <f t="shared" si="57"/>
        <v>-7859.0727711999998</v>
      </c>
      <c r="H135" s="96">
        <f t="shared" si="57"/>
        <v>-8178.0567785249405</v>
      </c>
      <c r="I135" s="96">
        <f t="shared" si="57"/>
        <v>-2212.5762141689102</v>
      </c>
      <c r="J135" s="96">
        <f t="shared" si="57"/>
        <v>0</v>
      </c>
      <c r="K135" s="96">
        <f t="shared" si="57"/>
        <v>0</v>
      </c>
      <c r="L135" s="96">
        <f t="shared" si="57"/>
        <v>0</v>
      </c>
      <c r="M135" s="96">
        <f t="shared" si="57"/>
        <v>0</v>
      </c>
      <c r="N135" s="96">
        <f t="shared" si="57"/>
        <v>0</v>
      </c>
      <c r="O135" s="116"/>
      <c r="P135" s="116"/>
    </row>
    <row r="136" spans="1:16" s="142" customFormat="1" ht="18" customHeight="1" x14ac:dyDescent="0.25">
      <c r="A136" s="109" t="s">
        <v>86</v>
      </c>
      <c r="B136" s="21" t="s">
        <v>15</v>
      </c>
      <c r="C136" s="21"/>
      <c r="D136" s="140">
        <f t="shared" ref="D136:N136" si="58">IF(D135&lt;0,0,IF(D135=0,IF(D134&gt;-D124,-D134,D124)))</f>
        <v>0</v>
      </c>
      <c r="E136" s="140">
        <f t="shared" si="58"/>
        <v>0</v>
      </c>
      <c r="F136" s="140">
        <f t="shared" si="58"/>
        <v>0</v>
      </c>
      <c r="G136" s="140">
        <f t="shared" si="58"/>
        <v>0</v>
      </c>
      <c r="H136" s="140">
        <f t="shared" si="58"/>
        <v>0</v>
      </c>
      <c r="I136" s="140">
        <f t="shared" si="58"/>
        <v>0</v>
      </c>
      <c r="J136" s="140">
        <f t="shared" si="58"/>
        <v>11720.910658599309</v>
      </c>
      <c r="K136" s="140">
        <f t="shared" si="58"/>
        <v>1948.3220565937604</v>
      </c>
      <c r="L136" s="140">
        <f t="shared" si="58"/>
        <v>7362.0162250342482</v>
      </c>
      <c r="M136" s="140">
        <f t="shared" si="58"/>
        <v>5018.1148956223105</v>
      </c>
      <c r="N136" s="140">
        <f t="shared" si="58"/>
        <v>2442.6629428442229</v>
      </c>
      <c r="O136" s="116"/>
      <c r="P136" s="116"/>
    </row>
    <row r="137" spans="1:16" s="142" customFormat="1" ht="18" customHeight="1" x14ac:dyDescent="0.25">
      <c r="A137" s="144" t="s">
        <v>87</v>
      </c>
      <c r="B137" s="21" t="s">
        <v>15</v>
      </c>
      <c r="C137" s="21"/>
      <c r="D137" s="139">
        <f>SUM(D134:D136)</f>
        <v>-444.12696160000013</v>
      </c>
      <c r="E137" s="139">
        <f t="shared" ref="E137:N137" si="59">SUM(E134:E136)</f>
        <v>-3872.8683882000005</v>
      </c>
      <c r="F137" s="139">
        <f t="shared" si="59"/>
        <v>-10242.321014800002</v>
      </c>
      <c r="G137" s="139">
        <f t="shared" si="59"/>
        <v>-18101.393786000001</v>
      </c>
      <c r="H137" s="139">
        <f t="shared" si="59"/>
        <v>-26279.450564524941</v>
      </c>
      <c r="I137" s="139">
        <f t="shared" si="59"/>
        <v>-28492.026778693849</v>
      </c>
      <c r="J137" s="139">
        <f t="shared" si="59"/>
        <v>-16771.116120094543</v>
      </c>
      <c r="K137" s="139">
        <f t="shared" si="59"/>
        <v>-14822.794063500782</v>
      </c>
      <c r="L137" s="139">
        <f t="shared" si="59"/>
        <v>-7460.7778384665335</v>
      </c>
      <c r="M137" s="139">
        <f t="shared" si="59"/>
        <v>-2442.6629428442229</v>
      </c>
      <c r="N137" s="141">
        <f t="shared" si="59"/>
        <v>0</v>
      </c>
      <c r="O137" s="116"/>
      <c r="P137" s="116"/>
    </row>
    <row r="138" spans="1:16" s="142" customFormat="1" ht="18" customHeight="1" x14ac:dyDescent="0.25">
      <c r="A138" s="145"/>
      <c r="O138" s="116"/>
      <c r="P138" s="116"/>
    </row>
    <row r="139" spans="1:16" ht="18" customHeight="1" x14ac:dyDescent="0.25">
      <c r="A139" s="15"/>
      <c r="B139" s="21"/>
      <c r="C139" s="21"/>
      <c r="D139" s="21"/>
      <c r="E139" s="21"/>
      <c r="F139" s="21"/>
      <c r="G139" s="21"/>
      <c r="H139" s="21"/>
      <c r="I139" s="21"/>
      <c r="J139" s="21"/>
      <c r="K139" s="21"/>
      <c r="L139" s="21"/>
      <c r="M139" s="21"/>
      <c r="N139" s="21"/>
      <c r="O139" s="12"/>
      <c r="P139" s="12"/>
    </row>
    <row r="140" spans="1:16" ht="18" customHeight="1" x14ac:dyDescent="0.35">
      <c r="A140" s="131" t="s">
        <v>102</v>
      </c>
      <c r="B140" s="115"/>
      <c r="C140" s="62" t="s">
        <v>41</v>
      </c>
      <c r="D140" s="62" t="s">
        <v>64</v>
      </c>
      <c r="E140" s="62" t="s">
        <v>42</v>
      </c>
      <c r="F140" s="62" t="s">
        <v>42</v>
      </c>
      <c r="G140" s="62" t="s">
        <v>42</v>
      </c>
      <c r="H140" s="62" t="s">
        <v>42</v>
      </c>
      <c r="I140" s="62" t="s">
        <v>42</v>
      </c>
      <c r="J140" s="62" t="s">
        <v>42</v>
      </c>
      <c r="K140" s="62" t="s">
        <v>42</v>
      </c>
      <c r="L140" s="62" t="s">
        <v>42</v>
      </c>
      <c r="M140" s="62" t="s">
        <v>42</v>
      </c>
      <c r="N140" s="62" t="s">
        <v>65</v>
      </c>
      <c r="O140" s="12"/>
      <c r="P140" s="12"/>
    </row>
    <row r="141" spans="1:16" ht="18" customHeight="1" x14ac:dyDescent="0.25">
      <c r="B141" s="41"/>
      <c r="C141" s="63">
        <f>'Model inputs'!$C$53</f>
        <v>40878</v>
      </c>
      <c r="D141" s="63">
        <f t="shared" ref="D141:N141" si="60">D104</f>
        <v>41090</v>
      </c>
      <c r="E141" s="63">
        <f t="shared" si="60"/>
        <v>41455</v>
      </c>
      <c r="F141" s="63">
        <f t="shared" si="60"/>
        <v>41820</v>
      </c>
      <c r="G141" s="63">
        <f t="shared" si="60"/>
        <v>42185</v>
      </c>
      <c r="H141" s="63">
        <f t="shared" si="60"/>
        <v>42551</v>
      </c>
      <c r="I141" s="63">
        <f t="shared" si="60"/>
        <v>42916</v>
      </c>
      <c r="J141" s="63">
        <f t="shared" si="60"/>
        <v>43281</v>
      </c>
      <c r="K141" s="63">
        <f t="shared" si="60"/>
        <v>43646</v>
      </c>
      <c r="L141" s="63">
        <f t="shared" si="60"/>
        <v>44012</v>
      </c>
      <c r="M141" s="63">
        <f t="shared" si="60"/>
        <v>44377</v>
      </c>
      <c r="N141" s="63">
        <f t="shared" si="60"/>
        <v>44561</v>
      </c>
      <c r="O141" s="12"/>
      <c r="P141" s="12"/>
    </row>
    <row r="142" spans="1:16" ht="18" customHeight="1" x14ac:dyDescent="0.25">
      <c r="A142" s="111" t="s">
        <v>1</v>
      </c>
      <c r="B142" s="21"/>
      <c r="C142" s="21"/>
      <c r="D142" s="21"/>
      <c r="E142" s="21"/>
      <c r="F142" s="21"/>
      <c r="G142" s="21"/>
      <c r="H142" s="21"/>
      <c r="I142" s="21"/>
      <c r="J142" s="21"/>
      <c r="K142" s="21"/>
      <c r="L142" s="21"/>
      <c r="M142" s="21"/>
      <c r="N142" s="21"/>
      <c r="O142" s="12"/>
      <c r="P142" s="12"/>
    </row>
    <row r="143" spans="1:16" ht="18" customHeight="1" x14ac:dyDescent="0.25">
      <c r="A143" s="35" t="s">
        <v>88</v>
      </c>
      <c r="B143" s="21" t="s">
        <v>121</v>
      </c>
      <c r="C143" s="68"/>
      <c r="D143" s="68">
        <f>'Model inputs'!D54</f>
        <v>213</v>
      </c>
      <c r="E143" s="68">
        <f>'Model inputs'!E54</f>
        <v>365</v>
      </c>
      <c r="F143" s="68">
        <f>'Model inputs'!F54</f>
        <v>365</v>
      </c>
      <c r="G143" s="68">
        <f>'Model inputs'!G54</f>
        <v>365</v>
      </c>
      <c r="H143" s="68">
        <f>'Model inputs'!H54</f>
        <v>366</v>
      </c>
      <c r="I143" s="68">
        <f>'Model inputs'!I54</f>
        <v>365</v>
      </c>
      <c r="J143" s="68">
        <f>'Model inputs'!J54</f>
        <v>365</v>
      </c>
      <c r="K143" s="68">
        <f>'Model inputs'!K54</f>
        <v>365</v>
      </c>
      <c r="L143" s="68">
        <f>'Model inputs'!L54</f>
        <v>366</v>
      </c>
      <c r="M143" s="68">
        <f>'Model inputs'!M54</f>
        <v>365</v>
      </c>
      <c r="N143" s="68">
        <f>'Model inputs'!N54</f>
        <v>184</v>
      </c>
      <c r="O143" s="12"/>
      <c r="P143" s="12"/>
    </row>
    <row r="144" spans="1:16" ht="18" customHeight="1" x14ac:dyDescent="0.25">
      <c r="A144" s="35" t="s">
        <v>89</v>
      </c>
      <c r="B144" s="21" t="s">
        <v>121</v>
      </c>
      <c r="C144" s="68"/>
      <c r="D144" s="68">
        <f>'Model inputs'!D$57-1</f>
        <v>105</v>
      </c>
      <c r="E144" s="68">
        <f>'Model inputs'!E$57-1</f>
        <v>181</v>
      </c>
      <c r="F144" s="68">
        <f>'Model inputs'!F$57-1</f>
        <v>181</v>
      </c>
      <c r="G144" s="68">
        <f>'Model inputs'!G$57-1</f>
        <v>181</v>
      </c>
      <c r="H144" s="68">
        <f>'Model inputs'!H$57-1</f>
        <v>182</v>
      </c>
      <c r="I144" s="68">
        <f>'Model inputs'!I$57-1</f>
        <v>181</v>
      </c>
      <c r="J144" s="68">
        <f>'Model inputs'!J$57-1</f>
        <v>181</v>
      </c>
      <c r="K144" s="68">
        <f>'Model inputs'!K$57-1</f>
        <v>181</v>
      </c>
      <c r="L144" s="68">
        <f>'Model inputs'!L$57-1</f>
        <v>182</v>
      </c>
      <c r="M144" s="68">
        <f>'Model inputs'!M$57-1</f>
        <v>181</v>
      </c>
      <c r="N144" s="68">
        <f>'Model inputs'!N$57-1</f>
        <v>91</v>
      </c>
      <c r="O144" s="12"/>
      <c r="P144" s="12"/>
    </row>
    <row r="145" spans="1:16" ht="18" customHeight="1" x14ac:dyDescent="0.25">
      <c r="A145" s="35" t="s">
        <v>91</v>
      </c>
      <c r="B145" s="21" t="s">
        <v>121</v>
      </c>
      <c r="C145" s="68"/>
      <c r="D145" s="68">
        <f>'Model inputs'!D$74</f>
        <v>72</v>
      </c>
      <c r="E145" s="68">
        <f>'Model inputs'!E$74</f>
        <v>148</v>
      </c>
      <c r="F145" s="68">
        <f>'Model inputs'!F$74</f>
        <v>148</v>
      </c>
      <c r="G145" s="68">
        <f>'Model inputs'!G$74</f>
        <v>148</v>
      </c>
      <c r="H145" s="68">
        <f>'Model inputs'!H$74</f>
        <v>149</v>
      </c>
      <c r="I145" s="68">
        <f>'Model inputs'!I$74</f>
        <v>148</v>
      </c>
      <c r="J145" s="68">
        <f>'Model inputs'!J$74</f>
        <v>148</v>
      </c>
      <c r="K145" s="68">
        <f>'Model inputs'!K$74</f>
        <v>148</v>
      </c>
      <c r="L145" s="68">
        <f>'Model inputs'!L$74</f>
        <v>149</v>
      </c>
      <c r="M145" s="68">
        <f>'Model inputs'!M$74</f>
        <v>148</v>
      </c>
      <c r="N145" s="68">
        <f>'Model inputs'!N$74</f>
        <v>58</v>
      </c>
    </row>
    <row r="146" spans="1:16" ht="18" customHeight="1" x14ac:dyDescent="0.25">
      <c r="A146" s="35" t="s">
        <v>100</v>
      </c>
      <c r="B146" s="21"/>
      <c r="C146" s="68"/>
      <c r="D146" s="88">
        <f t="shared" ref="D146:N148" si="61">D143/365.25</f>
        <v>0.58316221765913756</v>
      </c>
      <c r="E146" s="88">
        <f t="shared" si="61"/>
        <v>0.99931553730321698</v>
      </c>
      <c r="F146" s="88">
        <f t="shared" si="61"/>
        <v>0.99931553730321698</v>
      </c>
      <c r="G146" s="88">
        <f t="shared" si="61"/>
        <v>0.99931553730321698</v>
      </c>
      <c r="H146" s="88">
        <f t="shared" si="61"/>
        <v>1.0020533880903491</v>
      </c>
      <c r="I146" s="88">
        <f t="shared" si="61"/>
        <v>0.99931553730321698</v>
      </c>
      <c r="J146" s="88">
        <f t="shared" si="61"/>
        <v>0.99931553730321698</v>
      </c>
      <c r="K146" s="88">
        <f t="shared" si="61"/>
        <v>0.99931553730321698</v>
      </c>
      <c r="L146" s="88">
        <f t="shared" si="61"/>
        <v>1.0020533880903491</v>
      </c>
      <c r="M146" s="88">
        <f t="shared" si="61"/>
        <v>0.99931553730321698</v>
      </c>
      <c r="N146" s="88">
        <f t="shared" si="61"/>
        <v>0.50376454483230659</v>
      </c>
      <c r="O146" s="12"/>
      <c r="P146" s="12"/>
    </row>
    <row r="147" spans="1:16" ht="18" customHeight="1" x14ac:dyDescent="0.25">
      <c r="A147" s="35" t="s">
        <v>90</v>
      </c>
      <c r="B147" s="68"/>
      <c r="C147" s="68"/>
      <c r="D147" s="88">
        <f>D144/365.25</f>
        <v>0.28747433264887062</v>
      </c>
      <c r="E147" s="88">
        <f t="shared" si="61"/>
        <v>0.49555099247091033</v>
      </c>
      <c r="F147" s="88">
        <f t="shared" si="61"/>
        <v>0.49555099247091033</v>
      </c>
      <c r="G147" s="88">
        <f t="shared" si="61"/>
        <v>0.49555099247091033</v>
      </c>
      <c r="H147" s="88">
        <f t="shared" si="61"/>
        <v>0.49828884325804246</v>
      </c>
      <c r="I147" s="88">
        <f t="shared" si="61"/>
        <v>0.49555099247091033</v>
      </c>
      <c r="J147" s="88">
        <f t="shared" si="61"/>
        <v>0.49555099247091033</v>
      </c>
      <c r="K147" s="88">
        <f t="shared" si="61"/>
        <v>0.49555099247091033</v>
      </c>
      <c r="L147" s="88">
        <f t="shared" si="61"/>
        <v>0.49828884325804246</v>
      </c>
      <c r="M147" s="88">
        <f t="shared" si="61"/>
        <v>0.49555099247091033</v>
      </c>
      <c r="N147" s="88">
        <f t="shared" si="61"/>
        <v>0.24914442162902123</v>
      </c>
    </row>
    <row r="148" spans="1:16" ht="18" customHeight="1" x14ac:dyDescent="0.25">
      <c r="A148" s="35" t="s">
        <v>92</v>
      </c>
      <c r="B148" s="68"/>
      <c r="C148" s="68"/>
      <c r="D148" s="88">
        <f>D145/365.25</f>
        <v>0.1971252566735113</v>
      </c>
      <c r="E148" s="88">
        <f t="shared" si="61"/>
        <v>0.40520191649555098</v>
      </c>
      <c r="F148" s="88">
        <f t="shared" si="61"/>
        <v>0.40520191649555098</v>
      </c>
      <c r="G148" s="88">
        <f t="shared" si="61"/>
        <v>0.40520191649555098</v>
      </c>
      <c r="H148" s="88">
        <f t="shared" si="61"/>
        <v>0.40793976728268311</v>
      </c>
      <c r="I148" s="88">
        <f t="shared" si="61"/>
        <v>0.40520191649555098</v>
      </c>
      <c r="J148" s="88">
        <f t="shared" si="61"/>
        <v>0.40520191649555098</v>
      </c>
      <c r="K148" s="88">
        <f t="shared" si="61"/>
        <v>0.40520191649555098</v>
      </c>
      <c r="L148" s="88">
        <f t="shared" si="61"/>
        <v>0.40793976728268311</v>
      </c>
      <c r="M148" s="88">
        <f t="shared" si="61"/>
        <v>0.40520191649555098</v>
      </c>
      <c r="N148" s="88">
        <f t="shared" si="61"/>
        <v>0.15879534565366188</v>
      </c>
    </row>
    <row r="149" spans="1:16" ht="18" customHeight="1" x14ac:dyDescent="0.25">
      <c r="A149" s="35" t="s">
        <v>22</v>
      </c>
      <c r="B149" s="21" t="s">
        <v>17</v>
      </c>
      <c r="C149" s="97">
        <f>'Model inputs'!C45</f>
        <v>6.2339355589869902E-2</v>
      </c>
      <c r="D149" s="97">
        <f>'Model inputs'!D45</f>
        <v>6.4326867547209718E-2</v>
      </c>
      <c r="E149" s="97">
        <f>'Model inputs'!E45</f>
        <v>5.239123342763756E-2</v>
      </c>
      <c r="F149" s="97">
        <f>'Model inputs'!F45</f>
        <v>6.5210564262641602E-2</v>
      </c>
      <c r="G149" s="97">
        <f>'Model inputs'!G45</f>
        <v>5.6007340817272856E-2</v>
      </c>
      <c r="H149" s="97">
        <f>'Model inputs'!H45</f>
        <v>4.8566588558104418E-2</v>
      </c>
      <c r="I149" s="97">
        <f>'Model inputs'!I45</f>
        <v>4.7363493132139597E-2</v>
      </c>
      <c r="J149" s="97">
        <f>'Model inputs'!J45</f>
        <v>4.2480720370542777E-2</v>
      </c>
      <c r="K149" s="97">
        <f>'Model inputs'!K45</f>
        <v>4.0592888091034438E-2</v>
      </c>
      <c r="L149" s="97">
        <f>'Model inputs'!L45</f>
        <v>2.9597755753197487E-2</v>
      </c>
      <c r="M149" s="97">
        <f>'Model inputs'!M45</f>
        <v>2.0048153676001084E-2</v>
      </c>
      <c r="N149" s="97">
        <f>'Model inputs'!N45</f>
        <v>2.692481461E-2</v>
      </c>
      <c r="O149" s="12"/>
      <c r="P149" s="12"/>
    </row>
    <row r="150" spans="1:16" ht="18" customHeight="1" x14ac:dyDescent="0.25">
      <c r="A150" s="35" t="s">
        <v>171</v>
      </c>
      <c r="B150" s="21" t="s">
        <v>17</v>
      </c>
      <c r="C150" s="68"/>
      <c r="D150" s="97">
        <f>'Model inputs'!D106</f>
        <v>6.4326867547209718E-2</v>
      </c>
      <c r="E150" s="97">
        <f>'Model inputs'!E106</f>
        <v>5.239123342763756E-2</v>
      </c>
      <c r="F150" s="97">
        <f>'Model inputs'!F106</f>
        <v>6.5210564262641602E-2</v>
      </c>
      <c r="G150" s="97">
        <f>'Model inputs'!G106</f>
        <v>5.6007340817272856E-2</v>
      </c>
      <c r="H150" s="97">
        <f>'Model inputs'!H106</f>
        <v>4.8566588558104418E-2</v>
      </c>
      <c r="I150" s="97">
        <f>'Model inputs'!I106</f>
        <v>4.7363493132139597E-2</v>
      </c>
      <c r="J150" s="97">
        <f>'Model inputs'!J106</f>
        <v>4.2480720370542777E-2</v>
      </c>
      <c r="K150" s="97">
        <f>'Model inputs'!K106</f>
        <v>4.0592888091034438E-2</v>
      </c>
      <c r="L150" s="97">
        <f>'Model inputs'!L106</f>
        <v>2.9597755753197487E-2</v>
      </c>
      <c r="M150" s="97">
        <f>'Model inputs'!M106</f>
        <v>2.0048153676001084E-2</v>
      </c>
      <c r="N150" s="97">
        <f>'Model inputs'!N106</f>
        <v>2.692481461E-2</v>
      </c>
      <c r="O150" s="12"/>
      <c r="P150" s="12"/>
    </row>
    <row r="151" spans="1:16" ht="18" customHeight="1" x14ac:dyDescent="0.25">
      <c r="A151" s="35" t="s">
        <v>94</v>
      </c>
      <c r="B151" s="21" t="s">
        <v>17</v>
      </c>
      <c r="C151" s="68"/>
      <c r="D151" s="165">
        <f>IFERROR(D53/D51,0)</f>
        <v>-0.20190897257243173</v>
      </c>
      <c r="E151" s="133">
        <f t="shared" ref="E151:N151" si="62">(E$53-E$152)/(D$52+D$54)</f>
        <v>-0.10704455930294036</v>
      </c>
      <c r="F151" s="133">
        <f t="shared" si="62"/>
        <v>-3.3403485543932868E-2</v>
      </c>
      <c r="G151" s="133">
        <f t="shared" si="62"/>
        <v>-5.40216411023327E-2</v>
      </c>
      <c r="H151" s="133">
        <f t="shared" si="62"/>
        <v>-5.7654231377267433E-2</v>
      </c>
      <c r="I151" s="133">
        <f t="shared" si="62"/>
        <v>-5.7923499649621915E-2</v>
      </c>
      <c r="J151" s="133">
        <f t="shared" si="62"/>
        <v>-2.5528010855463506E-2</v>
      </c>
      <c r="K151" s="133">
        <f t="shared" si="62"/>
        <v>-3.5890293044495918E-2</v>
      </c>
      <c r="L151" s="133">
        <f t="shared" si="62"/>
        <v>-5.5685733205759466E-2</v>
      </c>
      <c r="M151" s="133">
        <f t="shared" si="62"/>
        <v>-7.2793496509723421E-3</v>
      </c>
      <c r="N151" s="133">
        <f t="shared" si="62"/>
        <v>-2.7336919571604879E-2</v>
      </c>
      <c r="O151" s="12"/>
      <c r="P151" s="12"/>
    </row>
    <row r="152" spans="1:16" ht="18" customHeight="1" x14ac:dyDescent="0.25">
      <c r="A152" s="35" t="s">
        <v>95</v>
      </c>
      <c r="B152" s="21" t="s">
        <v>15</v>
      </c>
      <c r="C152" s="68"/>
      <c r="D152" s="110"/>
      <c r="E152" s="122">
        <f>E159</f>
        <v>-366.29614116197183</v>
      </c>
      <c r="F152" s="12">
        <f t="shared" ref="F152:M152" si="63">E264-F153</f>
        <v>-2702.2073299999993</v>
      </c>
      <c r="G152" s="12">
        <f t="shared" si="63"/>
        <v>-4707.6875665140933</v>
      </c>
      <c r="H152" s="12">
        <f t="shared" si="63"/>
        <v>-7609.6852823238769</v>
      </c>
      <c r="I152" s="12">
        <f t="shared" si="63"/>
        <v>-11908.04024999895</v>
      </c>
      <c r="J152" s="12">
        <f t="shared" si="63"/>
        <v>-16440.877469998952</v>
      </c>
      <c r="K152" s="12">
        <f t="shared" si="63"/>
        <v>-19101.822690002129</v>
      </c>
      <c r="L152" s="12">
        <f t="shared" si="63"/>
        <v>-20813.847489999211</v>
      </c>
      <c r="M152" s="12">
        <f t="shared" si="63"/>
        <v>-25909.003210004568</v>
      </c>
      <c r="N152" s="122">
        <f>SUM(N168,N159,N177,N186,N195,N204,N213,N222,N231,N240)</f>
        <v>-12985.932039518795</v>
      </c>
      <c r="O152" s="12"/>
      <c r="P152" s="12"/>
    </row>
    <row r="153" spans="1:16" ht="18" customHeight="1" x14ac:dyDescent="0.25">
      <c r="A153" s="35" t="s">
        <v>96</v>
      </c>
      <c r="B153" s="21" t="s">
        <v>15</v>
      </c>
      <c r="C153" s="68"/>
      <c r="D153" s="110">
        <v>0</v>
      </c>
      <c r="E153" s="151">
        <v>0</v>
      </c>
      <c r="F153" s="17">
        <f t="shared" ref="F153:N153" si="64">E159-F159</f>
        <v>0</v>
      </c>
      <c r="G153" s="17">
        <f t="shared" si="64"/>
        <v>-254.5461534859154</v>
      </c>
      <c r="H153" s="17">
        <f t="shared" si="64"/>
        <v>-111.74998767605643</v>
      </c>
      <c r="I153" s="17">
        <f t="shared" si="64"/>
        <v>0</v>
      </c>
      <c r="J153" s="17">
        <f t="shared" si="64"/>
        <v>0</v>
      </c>
      <c r="K153" s="17">
        <f t="shared" si="64"/>
        <v>0</v>
      </c>
      <c r="L153" s="17">
        <f t="shared" si="64"/>
        <v>0</v>
      </c>
      <c r="M153" s="17">
        <f t="shared" si="64"/>
        <v>0</v>
      </c>
      <c r="N153" s="17">
        <f t="shared" si="64"/>
        <v>0</v>
      </c>
      <c r="O153" s="12"/>
      <c r="P153" s="12"/>
    </row>
    <row r="154" spans="1:16" ht="18" customHeight="1" x14ac:dyDescent="0.25">
      <c r="A154" s="35"/>
      <c r="B154" s="21"/>
      <c r="C154" s="68"/>
      <c r="D154" s="68"/>
      <c r="E154" s="68"/>
      <c r="F154" s="17"/>
      <c r="G154" s="17"/>
      <c r="H154" s="17"/>
      <c r="I154" s="17"/>
      <c r="J154" s="17"/>
      <c r="K154" s="17"/>
      <c r="L154" s="17"/>
      <c r="M154" s="17"/>
      <c r="N154" s="17"/>
      <c r="O154" s="12"/>
      <c r="P154" s="12"/>
    </row>
    <row r="155" spans="1:16" ht="18" customHeight="1" x14ac:dyDescent="0.3">
      <c r="A155" s="28" t="s">
        <v>176</v>
      </c>
      <c r="B155" s="21"/>
      <c r="C155" s="68"/>
      <c r="D155" s="68"/>
      <c r="E155" s="68"/>
      <c r="F155" s="68"/>
      <c r="G155" s="68"/>
      <c r="H155" s="68"/>
      <c r="I155" s="68"/>
      <c r="J155" s="68"/>
      <c r="K155" s="68"/>
      <c r="L155" s="68"/>
      <c r="M155" s="68"/>
      <c r="N155" s="68"/>
      <c r="O155" s="12"/>
      <c r="P155" s="12"/>
    </row>
    <row r="156" spans="1:16" ht="18" customHeight="1" x14ac:dyDescent="0.25">
      <c r="A156" s="15" t="s">
        <v>142</v>
      </c>
      <c r="B156" s="21"/>
      <c r="C156" s="68"/>
      <c r="D156" s="68"/>
      <c r="E156" s="68"/>
      <c r="F156" s="68"/>
      <c r="G156" s="68"/>
      <c r="H156" s="68"/>
      <c r="I156" s="68"/>
      <c r="J156" s="68"/>
      <c r="K156" s="68"/>
      <c r="L156" s="68"/>
      <c r="M156" s="68"/>
      <c r="N156" s="68"/>
      <c r="O156" s="12"/>
      <c r="P156" s="12"/>
    </row>
    <row r="157" spans="1:16" ht="18" customHeight="1" x14ac:dyDescent="0.25">
      <c r="A157" s="35" t="s">
        <v>97</v>
      </c>
      <c r="B157" s="21" t="s">
        <v>15</v>
      </c>
      <c r="C157" s="46"/>
      <c r="D157" s="46">
        <f>C160</f>
        <v>1057.95234</v>
      </c>
      <c r="E157" s="46">
        <f t="shared" ref="E157:N157" si="65">D160</f>
        <v>844.3422700000001</v>
      </c>
      <c r="F157" s="46">
        <f t="shared" si="65"/>
        <v>478.04612883802827</v>
      </c>
      <c r="G157" s="46">
        <f t="shared" si="65"/>
        <v>111.74998767605643</v>
      </c>
      <c r="H157" s="46">
        <f t="shared" si="65"/>
        <v>0</v>
      </c>
      <c r="I157" s="46">
        <f t="shared" si="65"/>
        <v>0</v>
      </c>
      <c r="J157" s="46">
        <f t="shared" si="65"/>
        <v>0</v>
      </c>
      <c r="K157" s="46">
        <f t="shared" si="65"/>
        <v>0</v>
      </c>
      <c r="L157" s="46">
        <f t="shared" si="65"/>
        <v>0</v>
      </c>
      <c r="M157" s="46">
        <f t="shared" si="65"/>
        <v>0</v>
      </c>
      <c r="N157" s="46">
        <f t="shared" si="65"/>
        <v>0</v>
      </c>
      <c r="O157" s="12"/>
      <c r="P157" s="12"/>
    </row>
    <row r="158" spans="1:16" ht="18" customHeight="1" x14ac:dyDescent="0.25">
      <c r="A158" s="35" t="s">
        <v>104</v>
      </c>
      <c r="B158" s="21" t="s">
        <v>15</v>
      </c>
      <c r="C158" s="46">
        <f>C22</f>
        <v>1057.95234</v>
      </c>
      <c r="D158" s="46"/>
      <c r="E158" s="46"/>
      <c r="F158" s="46"/>
      <c r="G158" s="46"/>
      <c r="H158" s="46"/>
      <c r="I158" s="46"/>
      <c r="J158" s="46"/>
      <c r="K158" s="46"/>
      <c r="L158" s="46"/>
      <c r="M158" s="46"/>
      <c r="N158" s="46"/>
      <c r="O158" s="12"/>
      <c r="P158" s="12"/>
    </row>
    <row r="159" spans="1:16" ht="18" customHeight="1" x14ac:dyDescent="0.25">
      <c r="A159" s="35" t="s">
        <v>3</v>
      </c>
      <c r="B159" s="21" t="s">
        <v>15</v>
      </c>
      <c r="C159" s="81"/>
      <c r="D159" s="150">
        <f>D157*D$151</f>
        <v>-213.61006999999998</v>
      </c>
      <c r="E159" s="150">
        <f>IF(E157+D159&lt;0,-E157,D159/D146)</f>
        <v>-366.29614116197183</v>
      </c>
      <c r="F159" s="81">
        <f t="shared" ref="F159:N159" si="66">IF(F157+E159&lt;0,-F157,E159)</f>
        <v>-366.29614116197183</v>
      </c>
      <c r="G159" s="81">
        <f t="shared" si="66"/>
        <v>-111.74998767605643</v>
      </c>
      <c r="H159" s="81">
        <f t="shared" si="66"/>
        <v>0</v>
      </c>
      <c r="I159" s="81">
        <f t="shared" si="66"/>
        <v>0</v>
      </c>
      <c r="J159" s="81">
        <f t="shared" si="66"/>
        <v>0</v>
      </c>
      <c r="K159" s="81">
        <f t="shared" si="66"/>
        <v>0</v>
      </c>
      <c r="L159" s="81">
        <f t="shared" si="66"/>
        <v>0</v>
      </c>
      <c r="M159" s="81">
        <f t="shared" si="66"/>
        <v>0</v>
      </c>
      <c r="N159" s="81">
        <f t="shared" si="66"/>
        <v>0</v>
      </c>
      <c r="O159" s="12"/>
      <c r="P159" s="12"/>
    </row>
    <row r="160" spans="1:16" ht="18" customHeight="1" x14ac:dyDescent="0.25">
      <c r="A160" s="35" t="s">
        <v>99</v>
      </c>
      <c r="B160" s="21" t="s">
        <v>15</v>
      </c>
      <c r="C160" s="46">
        <f>SUM(C157:C159)</f>
        <v>1057.95234</v>
      </c>
      <c r="D160" s="46">
        <f t="shared" ref="D160:N160" si="67">SUM(D157:D159)</f>
        <v>844.3422700000001</v>
      </c>
      <c r="E160" s="46">
        <f t="shared" si="67"/>
        <v>478.04612883802827</v>
      </c>
      <c r="F160" s="46">
        <f t="shared" si="67"/>
        <v>111.74998767605643</v>
      </c>
      <c r="G160" s="46">
        <f t="shared" si="67"/>
        <v>0</v>
      </c>
      <c r="H160" s="46">
        <f t="shared" si="67"/>
        <v>0</v>
      </c>
      <c r="I160" s="46">
        <f t="shared" si="67"/>
        <v>0</v>
      </c>
      <c r="J160" s="46">
        <f t="shared" si="67"/>
        <v>0</v>
      </c>
      <c r="K160" s="46">
        <f t="shared" si="67"/>
        <v>0</v>
      </c>
      <c r="L160" s="46">
        <f t="shared" si="67"/>
        <v>0</v>
      </c>
      <c r="M160" s="46">
        <f t="shared" si="67"/>
        <v>0</v>
      </c>
      <c r="N160" s="46">
        <f t="shared" si="67"/>
        <v>0</v>
      </c>
      <c r="O160" s="12"/>
      <c r="P160" s="12"/>
    </row>
    <row r="161" spans="1:17" ht="18" customHeight="1" x14ac:dyDescent="0.25">
      <c r="A161" s="35" t="s">
        <v>173</v>
      </c>
      <c r="B161" s="21" t="s">
        <v>15</v>
      </c>
      <c r="C161" s="46"/>
      <c r="D161" s="134">
        <f>D157*'Model inputs'!D$48*((1+$C$149)^D$146-1)</f>
        <v>11.012815353914112</v>
      </c>
      <c r="E161" s="134">
        <f>E157*'Model inputs'!E$48*((1+$C$149)^E$146-1)</f>
        <v>15.253601611073883</v>
      </c>
      <c r="F161" s="134">
        <f>F157*'Model inputs'!F$48*((1+$C$149)^F$146-1)</f>
        <v>8.6362195286176764</v>
      </c>
      <c r="G161" s="134">
        <f>G157*'Model inputs'!G$48*((1+$C$149)^G$146-1)</f>
        <v>2.0188374461614726</v>
      </c>
      <c r="H161" s="134">
        <f>H157*'Model inputs'!H$48*((1+$C$149)^H$146-1)</f>
        <v>0</v>
      </c>
      <c r="I161" s="134">
        <f>I157*'Model inputs'!I$48*((1+$C$149)^I$146-1)</f>
        <v>0</v>
      </c>
      <c r="J161" s="134">
        <f>J157*'Model inputs'!J$48*((1+$C$149)^J$146-1)</f>
        <v>0</v>
      </c>
      <c r="K161" s="134">
        <f>K157*'Model inputs'!K$48*((1+$C$149)^K$146-1)</f>
        <v>0</v>
      </c>
      <c r="L161" s="134">
        <f>L157*'Model inputs'!L$48*((1+$C$149)^L$146-1)</f>
        <v>0</v>
      </c>
      <c r="M161" s="134">
        <f>M157*'Model inputs'!M$48*((1+$C$149)^M$146-1)</f>
        <v>0</v>
      </c>
      <c r="N161" s="134">
        <f>N157*'Model inputs'!N$48*((1+$C$149)^N$146-1)</f>
        <v>0</v>
      </c>
      <c r="O161" s="12"/>
      <c r="P161" s="12"/>
    </row>
    <row r="162" spans="1:17" ht="18" customHeight="1" x14ac:dyDescent="0.25">
      <c r="A162" s="35" t="s">
        <v>93</v>
      </c>
      <c r="B162" s="21" t="s">
        <v>15</v>
      </c>
      <c r="C162" s="81"/>
      <c r="D162" s="175">
        <v>0</v>
      </c>
      <c r="E162" s="175">
        <v>0</v>
      </c>
      <c r="F162" s="175">
        <v>0</v>
      </c>
      <c r="G162" s="175">
        <v>0</v>
      </c>
      <c r="H162" s="175">
        <v>0</v>
      </c>
      <c r="I162" s="175">
        <v>0</v>
      </c>
      <c r="J162" s="175">
        <v>0</v>
      </c>
      <c r="K162" s="175">
        <v>0</v>
      </c>
      <c r="L162" s="175">
        <v>0</v>
      </c>
      <c r="M162" s="175">
        <v>0</v>
      </c>
      <c r="N162" s="175">
        <v>0</v>
      </c>
      <c r="O162" s="12"/>
      <c r="P162" s="12"/>
    </row>
    <row r="163" spans="1:17" ht="18" customHeight="1" x14ac:dyDescent="0.25">
      <c r="A163" s="35" t="s">
        <v>115</v>
      </c>
      <c r="B163" s="21" t="s">
        <v>15</v>
      </c>
      <c r="C163" s="46"/>
      <c r="D163" s="46">
        <f>SUM(D161:D162)</f>
        <v>11.012815353914112</v>
      </c>
      <c r="E163" s="46">
        <f t="shared" ref="E163:N163" si="68">SUM(E161:E162)</f>
        <v>15.253601611073883</v>
      </c>
      <c r="F163" s="46">
        <f t="shared" si="68"/>
        <v>8.6362195286176764</v>
      </c>
      <c r="G163" s="46">
        <f t="shared" si="68"/>
        <v>2.0188374461614726</v>
      </c>
      <c r="H163" s="46">
        <f t="shared" si="68"/>
        <v>0</v>
      </c>
      <c r="I163" s="46">
        <f t="shared" si="68"/>
        <v>0</v>
      </c>
      <c r="J163" s="46">
        <f t="shared" si="68"/>
        <v>0</v>
      </c>
      <c r="K163" s="46">
        <f t="shared" si="68"/>
        <v>0</v>
      </c>
      <c r="L163" s="46">
        <f t="shared" si="68"/>
        <v>0</v>
      </c>
      <c r="M163" s="46">
        <f t="shared" si="68"/>
        <v>0</v>
      </c>
      <c r="N163" s="46">
        <f t="shared" si="68"/>
        <v>0</v>
      </c>
      <c r="O163" s="12"/>
      <c r="P163" s="12"/>
    </row>
    <row r="164" spans="1:17" ht="18" customHeight="1" x14ac:dyDescent="0.25">
      <c r="A164" s="15"/>
      <c r="B164" s="21"/>
      <c r="C164" s="17"/>
      <c r="D164" s="12"/>
      <c r="E164" s="12"/>
      <c r="F164" s="12"/>
      <c r="G164" s="12"/>
      <c r="H164" s="12"/>
      <c r="I164" s="12"/>
      <c r="J164" s="12"/>
      <c r="K164" s="12"/>
      <c r="O164" s="12"/>
      <c r="P164" s="12"/>
    </row>
    <row r="165" spans="1:17" ht="18" customHeight="1" x14ac:dyDescent="0.25">
      <c r="A165" s="15" t="s">
        <v>143</v>
      </c>
      <c r="B165" s="21"/>
      <c r="C165" s="68"/>
      <c r="D165" s="68"/>
      <c r="E165" s="68"/>
      <c r="F165" s="68"/>
      <c r="G165" s="68"/>
      <c r="H165" s="68"/>
      <c r="I165" s="68"/>
      <c r="J165" s="68"/>
      <c r="K165" s="68"/>
      <c r="L165" s="68"/>
      <c r="M165" s="68"/>
      <c r="N165" s="68"/>
      <c r="O165" s="12"/>
      <c r="P165" s="12"/>
    </row>
    <row r="166" spans="1:17" ht="18" customHeight="1" x14ac:dyDescent="0.25">
      <c r="A166" s="35" t="s">
        <v>97</v>
      </c>
      <c r="B166" s="21" t="s">
        <v>15</v>
      </c>
      <c r="C166" s="17"/>
      <c r="D166" s="17"/>
      <c r="E166" s="46">
        <f t="shared" ref="E166:N166" si="69">D169</f>
        <v>21821.85815</v>
      </c>
      <c r="F166" s="46">
        <f t="shared" si="69"/>
        <v>19485.946961161972</v>
      </c>
      <c r="G166" s="46">
        <f t="shared" si="69"/>
        <v>17150.035772323943</v>
      </c>
      <c r="H166" s="46">
        <f t="shared" si="69"/>
        <v>14814.124583485915</v>
      </c>
      <c r="I166" s="46">
        <f t="shared" si="69"/>
        <v>12478.213394647886</v>
      </c>
      <c r="J166" s="46">
        <f t="shared" si="69"/>
        <v>10142.302205809858</v>
      </c>
      <c r="K166" s="46">
        <f t="shared" si="69"/>
        <v>7806.3910169718301</v>
      </c>
      <c r="L166" s="46">
        <f t="shared" si="69"/>
        <v>5470.4798281338026</v>
      </c>
      <c r="M166" s="46">
        <f t="shared" si="69"/>
        <v>3134.568639295775</v>
      </c>
      <c r="N166" s="46">
        <f t="shared" si="69"/>
        <v>798.65745045774747</v>
      </c>
      <c r="O166" s="12"/>
      <c r="P166" s="12"/>
    </row>
    <row r="167" spans="1:17" ht="18" customHeight="1" x14ac:dyDescent="0.25">
      <c r="A167" s="35" t="s">
        <v>103</v>
      </c>
      <c r="B167" s="21" t="s">
        <v>15</v>
      </c>
      <c r="C167" s="17"/>
      <c r="D167" s="46">
        <f>D$52+D$54</f>
        <v>21821.85815</v>
      </c>
      <c r="E167" s="46"/>
      <c r="F167" s="46"/>
      <c r="G167" s="46"/>
      <c r="H167" s="46"/>
      <c r="I167" s="46"/>
      <c r="J167" s="46"/>
      <c r="K167" s="46"/>
      <c r="L167" s="46"/>
      <c r="M167" s="46"/>
      <c r="N167" s="46"/>
      <c r="O167" s="12"/>
      <c r="P167" s="12"/>
    </row>
    <row r="168" spans="1:17" ht="18" customHeight="1" x14ac:dyDescent="0.25">
      <c r="A168" s="35" t="s">
        <v>3</v>
      </c>
      <c r="B168" s="21" t="s">
        <v>15</v>
      </c>
      <c r="C168" s="81"/>
      <c r="D168" s="81"/>
      <c r="E168" s="150">
        <f>E166*E$151</f>
        <v>-2335.9111888380276</v>
      </c>
      <c r="F168" s="81">
        <f t="shared" ref="F168:N168" si="70">IF(F166+E168&lt;0,-F166,E168)</f>
        <v>-2335.9111888380276</v>
      </c>
      <c r="G168" s="81">
        <f t="shared" si="70"/>
        <v>-2335.9111888380276</v>
      </c>
      <c r="H168" s="81">
        <f t="shared" si="70"/>
        <v>-2335.9111888380276</v>
      </c>
      <c r="I168" s="81">
        <f t="shared" si="70"/>
        <v>-2335.9111888380276</v>
      </c>
      <c r="J168" s="81">
        <f t="shared" si="70"/>
        <v>-2335.9111888380276</v>
      </c>
      <c r="K168" s="81">
        <f t="shared" si="70"/>
        <v>-2335.9111888380276</v>
      </c>
      <c r="L168" s="81">
        <f t="shared" si="70"/>
        <v>-2335.9111888380276</v>
      </c>
      <c r="M168" s="81">
        <f t="shared" si="70"/>
        <v>-2335.9111888380276</v>
      </c>
      <c r="N168" s="81">
        <f t="shared" si="70"/>
        <v>-798.65745045774747</v>
      </c>
      <c r="O168" s="12"/>
      <c r="P168" s="12"/>
    </row>
    <row r="169" spans="1:17" ht="18" customHeight="1" x14ac:dyDescent="0.25">
      <c r="A169" s="35" t="s">
        <v>99</v>
      </c>
      <c r="B169" s="21" t="s">
        <v>15</v>
      </c>
      <c r="C169" s="46"/>
      <c r="D169" s="46">
        <f>SUM(D166:D168)</f>
        <v>21821.85815</v>
      </c>
      <c r="E169" s="46">
        <f t="shared" ref="E169:N169" si="71">SUM(E166:E168)</f>
        <v>19485.946961161972</v>
      </c>
      <c r="F169" s="46">
        <f t="shared" si="71"/>
        <v>17150.035772323943</v>
      </c>
      <c r="G169" s="46">
        <f t="shared" si="71"/>
        <v>14814.124583485915</v>
      </c>
      <c r="H169" s="46">
        <f t="shared" si="71"/>
        <v>12478.213394647886</v>
      </c>
      <c r="I169" s="46">
        <f t="shared" si="71"/>
        <v>10142.302205809858</v>
      </c>
      <c r="J169" s="46">
        <f t="shared" si="71"/>
        <v>7806.3910169718301</v>
      </c>
      <c r="K169" s="46">
        <f t="shared" si="71"/>
        <v>5470.4798281338026</v>
      </c>
      <c r="L169" s="46">
        <f t="shared" si="71"/>
        <v>3134.568639295775</v>
      </c>
      <c r="M169" s="46">
        <f t="shared" si="71"/>
        <v>798.65745045774747</v>
      </c>
      <c r="N169" s="46">
        <f t="shared" si="71"/>
        <v>0</v>
      </c>
      <c r="O169" s="12"/>
      <c r="P169" s="12"/>
    </row>
    <row r="170" spans="1:17" ht="18" customHeight="1" x14ac:dyDescent="0.25">
      <c r="A170" s="35" t="s">
        <v>173</v>
      </c>
      <c r="B170" s="21" t="s">
        <v>15</v>
      </c>
      <c r="C170" s="17"/>
      <c r="D170" s="148">
        <f>D167*'Model inputs'!D$48*((1+D$149)^(D$147)-1)</f>
        <v>114.43815916857858</v>
      </c>
      <c r="E170" s="134">
        <f>E166*'Model inputs'!E$48*((1+$D$149)^E$146-1)</f>
        <v>406.7948138352757</v>
      </c>
      <c r="F170" s="134">
        <f>F166*'Model inputs'!F$48*((1+$D$149)^F$146-1)</f>
        <v>363.24964226155697</v>
      </c>
      <c r="G170" s="134">
        <f>G166*'Model inputs'!G$48*((1+$D$149)^G$146-1)</f>
        <v>319.70447068783818</v>
      </c>
      <c r="H170" s="134">
        <f>H166*'Model inputs'!H$48*((1+$D$149)^H$146-1)</f>
        <v>276.93977930823706</v>
      </c>
      <c r="I170" s="134">
        <f>I166*'Model inputs'!I$48*((1+$D$149)^I$146-1)</f>
        <v>232.61412754040063</v>
      </c>
      <c r="J170" s="134">
        <f>J166*'Model inputs'!J$48*((1+$D$149)^J$146-1)</f>
        <v>189.06895596668187</v>
      </c>
      <c r="K170" s="134">
        <f>K166*'Model inputs'!K$48*((1+$D$149)^K$146-1)</f>
        <v>145.52378439296308</v>
      </c>
      <c r="L170" s="134">
        <f>L166*'Model inputs'!L$48*((1+$D$149)^L$146-1)</f>
        <v>102.26682432537264</v>
      </c>
      <c r="M170" s="134">
        <f>M166*'Model inputs'!M$48*((1+$D$149)^M$146-1)</f>
        <v>58.433441245525572</v>
      </c>
      <c r="N170" s="134">
        <f>N166*'Model inputs'!N$48*((1+$D$149)^N$146-1)</f>
        <v>7.3893846434018098</v>
      </c>
      <c r="O170" s="12"/>
      <c r="P170" s="12"/>
    </row>
    <row r="171" spans="1:17" ht="18" customHeight="1" x14ac:dyDescent="0.25">
      <c r="A171" s="35" t="s">
        <v>93</v>
      </c>
      <c r="B171" s="21" t="s">
        <v>15</v>
      </c>
      <c r="C171" s="101"/>
      <c r="D171" s="149">
        <f>-(((1+D$149)^(D$147)-1)*'Model inputs'!D$102)</f>
        <v>-195.22129865058577</v>
      </c>
      <c r="E171" s="135">
        <f>-(((1+$D$149)^(E$146)-1)*'Model inputs'!$D$102)</f>
        <v>-693.9556911629428</v>
      </c>
      <c r="F171" s="135">
        <f>-(((1+$D$149)^(F$146)-1)*'Model inputs'!$D$102)</f>
        <v>-693.9556911629428</v>
      </c>
      <c r="G171" s="135">
        <f>-(((1+$D$149)^(G$146)-1)*'Model inputs'!$D$102)</f>
        <v>-693.9556911629428</v>
      </c>
      <c r="H171" s="135">
        <f>-(((1+$D$149)^(H$146)-1)*'Model inputs'!$D$102)</f>
        <v>-695.91694567903312</v>
      </c>
      <c r="I171" s="135">
        <f>-(((1+$D$149)^(I$146)-1)*'Model inputs'!$D$102)</f>
        <v>-693.9556911629428</v>
      </c>
      <c r="J171" s="135">
        <f>-(((1+$D$149)^(J$146)-1)*'Model inputs'!$D$102)</f>
        <v>-693.9556911629428</v>
      </c>
      <c r="K171" s="135">
        <f>-(((1+$D$149)^(K$146)-1)*'Model inputs'!$D$102)</f>
        <v>-693.9556911629428</v>
      </c>
      <c r="L171" s="135">
        <f>-(((1+$D$149)^(L$146)-1)*'Model inputs'!$D$102)</f>
        <v>-695.91694567903312</v>
      </c>
      <c r="M171" s="135">
        <f>-(((1+$D$149)^(M$146)-1)*'Model inputs'!$D$102)</f>
        <v>-693.9556911629428</v>
      </c>
      <c r="N171" s="135">
        <f>-(((1+$D$149)^(N$146)-1)*'Model inputs'!$D$102)</f>
        <v>-344.42588967818079</v>
      </c>
      <c r="O171" s="12"/>
      <c r="P171" s="12"/>
      <c r="Q171" s="12"/>
    </row>
    <row r="172" spans="1:17" ht="18" customHeight="1" x14ac:dyDescent="0.25">
      <c r="A172" s="35" t="s">
        <v>115</v>
      </c>
      <c r="B172" s="21" t="s">
        <v>15</v>
      </c>
      <c r="C172" s="100"/>
      <c r="D172" s="12">
        <f t="shared" ref="D172:E172" si="72">SUM(D170:D171)</f>
        <v>-80.783139482007186</v>
      </c>
      <c r="E172" s="46">
        <f t="shared" si="72"/>
        <v>-287.16087732766709</v>
      </c>
      <c r="F172" s="46">
        <f t="shared" ref="F172:N172" si="73">SUM(F170:F171)</f>
        <v>-330.70604890138583</v>
      </c>
      <c r="G172" s="46">
        <f t="shared" si="73"/>
        <v>-374.25122047510462</v>
      </c>
      <c r="H172" s="46">
        <f t="shared" si="73"/>
        <v>-418.97716637079606</v>
      </c>
      <c r="I172" s="46">
        <f t="shared" si="73"/>
        <v>-461.34156362254214</v>
      </c>
      <c r="J172" s="46">
        <f t="shared" si="73"/>
        <v>-504.88673519626093</v>
      </c>
      <c r="K172" s="46">
        <f t="shared" si="73"/>
        <v>-548.43190676997972</v>
      </c>
      <c r="L172" s="46">
        <f t="shared" si="73"/>
        <v>-593.65012135366044</v>
      </c>
      <c r="M172" s="46">
        <f t="shared" si="73"/>
        <v>-635.52224991741718</v>
      </c>
      <c r="N172" s="46">
        <f t="shared" si="73"/>
        <v>-337.036505034779</v>
      </c>
      <c r="O172" s="12"/>
      <c r="P172" s="12"/>
    </row>
    <row r="173" spans="1:17" ht="18" customHeight="1" x14ac:dyDescent="0.25">
      <c r="A173" s="35"/>
      <c r="B173" s="21"/>
      <c r="C173" s="17"/>
      <c r="D173" s="17"/>
      <c r="E173" s="46"/>
      <c r="F173" s="46"/>
      <c r="G173" s="46"/>
      <c r="H173" s="46"/>
      <c r="I173" s="46"/>
      <c r="J173" s="46"/>
      <c r="K173" s="46"/>
      <c r="L173" s="46"/>
      <c r="M173" s="46"/>
      <c r="N173" s="46"/>
      <c r="O173" s="12"/>
      <c r="P173" s="12"/>
    </row>
    <row r="174" spans="1:17" ht="18" customHeight="1" x14ac:dyDescent="0.25">
      <c r="A174" s="15" t="s">
        <v>144</v>
      </c>
      <c r="B174" s="21"/>
      <c r="C174" s="68"/>
      <c r="D174" s="68"/>
      <c r="E174" s="68"/>
      <c r="F174" s="68"/>
      <c r="G174" s="68"/>
      <c r="H174" s="68"/>
      <c r="I174" s="68"/>
      <c r="J174" s="68"/>
      <c r="K174" s="68"/>
      <c r="L174" s="68"/>
      <c r="M174" s="68"/>
      <c r="N174" s="68"/>
      <c r="O174" s="12"/>
      <c r="P174" s="12"/>
    </row>
    <row r="175" spans="1:17" ht="18" customHeight="1" x14ac:dyDescent="0.25">
      <c r="A175" s="35" t="s">
        <v>97</v>
      </c>
      <c r="B175" s="21" t="s">
        <v>15</v>
      </c>
      <c r="C175" s="17"/>
      <c r="D175" s="17"/>
      <c r="E175" s="17"/>
      <c r="F175" s="46">
        <f t="shared" ref="F175:N175" si="74">E178</f>
        <v>67658.400109999944</v>
      </c>
      <c r="G175" s="46">
        <f t="shared" si="74"/>
        <v>65398.373719999938</v>
      </c>
      <c r="H175" s="46">
        <f t="shared" si="74"/>
        <v>63138.347329999931</v>
      </c>
      <c r="I175" s="46">
        <f t="shared" si="74"/>
        <v>60878.320939999925</v>
      </c>
      <c r="J175" s="46">
        <f t="shared" si="74"/>
        <v>58618.294549999919</v>
      </c>
      <c r="K175" s="46">
        <f t="shared" si="74"/>
        <v>56358.268159999912</v>
      </c>
      <c r="L175" s="46">
        <f t="shared" si="74"/>
        <v>54098.241769999906</v>
      </c>
      <c r="M175" s="46">
        <f t="shared" si="74"/>
        <v>51838.2153799999</v>
      </c>
      <c r="N175" s="46">
        <f t="shared" si="74"/>
        <v>49578.188989999893</v>
      </c>
      <c r="O175" s="12"/>
      <c r="P175" s="12"/>
    </row>
    <row r="176" spans="1:17" ht="26.25" x14ac:dyDescent="0.25">
      <c r="A176" s="35" t="s">
        <v>106</v>
      </c>
      <c r="B176" s="21" t="s">
        <v>15</v>
      </c>
      <c r="C176" s="17"/>
      <c r="D176" s="17"/>
      <c r="E176" s="122">
        <f>E$52+E$54</f>
        <v>67658.400109999944</v>
      </c>
      <c r="F176" s="46"/>
      <c r="G176" s="46"/>
      <c r="H176" s="46"/>
      <c r="I176" s="46"/>
      <c r="J176" s="46"/>
      <c r="K176" s="46"/>
      <c r="L176" s="46"/>
      <c r="M176" s="46"/>
      <c r="N176" s="46"/>
      <c r="O176" s="12"/>
      <c r="P176" s="12"/>
    </row>
    <row r="177" spans="1:17" ht="18" customHeight="1" x14ac:dyDescent="0.25">
      <c r="A177" s="35" t="s">
        <v>3</v>
      </c>
      <c r="B177" s="21" t="s">
        <v>15</v>
      </c>
      <c r="C177" s="81"/>
      <c r="D177" s="81"/>
      <c r="E177" s="90"/>
      <c r="F177" s="150">
        <f>F175*F$151</f>
        <v>-2260.0263900000091</v>
      </c>
      <c r="G177" s="90">
        <f t="shared" ref="G177:M177" si="75">IF(G175+F177&lt;0,-G175,F177)</f>
        <v>-2260.0263900000091</v>
      </c>
      <c r="H177" s="90">
        <f t="shared" si="75"/>
        <v>-2260.0263900000091</v>
      </c>
      <c r="I177" s="90">
        <f t="shared" si="75"/>
        <v>-2260.0263900000091</v>
      </c>
      <c r="J177" s="90">
        <f t="shared" si="75"/>
        <v>-2260.0263900000091</v>
      </c>
      <c r="K177" s="90">
        <f t="shared" si="75"/>
        <v>-2260.0263900000091</v>
      </c>
      <c r="L177" s="90">
        <f t="shared" si="75"/>
        <v>-2260.0263900000091</v>
      </c>
      <c r="M177" s="90">
        <f t="shared" si="75"/>
        <v>-2260.0263900000091</v>
      </c>
      <c r="N177" s="150">
        <f>IF(N175+M177&lt;0,-N175,M177*N$146)</f>
        <v>-1138.5211656673555</v>
      </c>
      <c r="O177" s="12"/>
      <c r="P177" s="12"/>
    </row>
    <row r="178" spans="1:17" ht="18" customHeight="1" x14ac:dyDescent="0.25">
      <c r="A178" s="35" t="s">
        <v>99</v>
      </c>
      <c r="B178" s="21" t="s">
        <v>15</v>
      </c>
      <c r="C178" s="46"/>
      <c r="D178" s="46"/>
      <c r="E178" s="12">
        <f>SUM(E175:E177)</f>
        <v>67658.400109999944</v>
      </c>
      <c r="F178" s="46">
        <f t="shared" ref="F178:N178" si="76">SUM(F175:F177)</f>
        <v>65398.373719999938</v>
      </c>
      <c r="G178" s="46">
        <f t="shared" si="76"/>
        <v>63138.347329999931</v>
      </c>
      <c r="H178" s="46">
        <f t="shared" si="76"/>
        <v>60878.320939999925</v>
      </c>
      <c r="I178" s="46">
        <f t="shared" si="76"/>
        <v>58618.294549999919</v>
      </c>
      <c r="J178" s="46">
        <f t="shared" si="76"/>
        <v>56358.268159999912</v>
      </c>
      <c r="K178" s="46">
        <f t="shared" si="76"/>
        <v>54098.241769999906</v>
      </c>
      <c r="L178" s="46">
        <f t="shared" si="76"/>
        <v>51838.2153799999</v>
      </c>
      <c r="M178" s="46">
        <f t="shared" si="76"/>
        <v>49578.188989999893</v>
      </c>
      <c r="N178" s="46">
        <f t="shared" si="76"/>
        <v>48439.667824332537</v>
      </c>
      <c r="O178" s="12"/>
      <c r="P178" s="12"/>
    </row>
    <row r="179" spans="1:17" ht="18" customHeight="1" x14ac:dyDescent="0.25">
      <c r="A179" s="35" t="s">
        <v>173</v>
      </c>
      <c r="B179" s="21" t="s">
        <v>15</v>
      </c>
      <c r="C179" s="17"/>
      <c r="D179" s="17"/>
      <c r="E179" s="148">
        <f>E176*'Model inputs'!E$48*((1+E$149)^(E$147)-1)</f>
        <v>502.84884674216732</v>
      </c>
      <c r="F179" s="134">
        <f>F175*'Model inputs'!F$48*((1+$E$149)^F$146-1)</f>
        <v>1027.2433309763312</v>
      </c>
      <c r="G179" s="134">
        <f>G175*'Model inputs'!G$48*((1+$E$149)^G$146-1)</f>
        <v>992.92982321996192</v>
      </c>
      <c r="H179" s="134">
        <f>H175*'Model inputs'!H$48*((1+$E$149)^H$146-1)</f>
        <v>961.3104309683381</v>
      </c>
      <c r="I179" s="134">
        <f>I175*'Model inputs'!I$48*((1+$E$149)^I$146-1)</f>
        <v>924.30280770722345</v>
      </c>
      <c r="J179" s="134">
        <f>J175*'Model inputs'!J$48*((1+$E$149)^J$146-1)</f>
        <v>889.98929995085416</v>
      </c>
      <c r="K179" s="134">
        <f>K175*'Model inputs'!K$48*((1+$E$149)^K$146-1)</f>
        <v>855.67579219448487</v>
      </c>
      <c r="L179" s="134">
        <f>L175*'Model inputs'!L$48*((1+$E$149)^L$146-1)</f>
        <v>823.67065832015987</v>
      </c>
      <c r="M179" s="134">
        <f>M175*'Model inputs'!M$48*((1+$E$149)^M$146-1)</f>
        <v>787.04877668174629</v>
      </c>
      <c r="N179" s="134">
        <f>N175*'Model inputs'!N$48*((1+$E$149)^N$146-1)</f>
        <v>374.65980730879545</v>
      </c>
      <c r="O179" s="12"/>
      <c r="P179" s="12"/>
    </row>
    <row r="180" spans="1:17" ht="18" customHeight="1" x14ac:dyDescent="0.25">
      <c r="A180" s="35" t="s">
        <v>93</v>
      </c>
      <c r="B180" s="21" t="s">
        <v>15</v>
      </c>
      <c r="C180" s="101"/>
      <c r="D180" s="101"/>
      <c r="E180" s="149">
        <f>-(((1+E$149)^(E$147)-1)*'Model inputs'!E$102)</f>
        <v>-680.85609467158258</v>
      </c>
      <c r="F180" s="135">
        <f>-(((1+$E$149)^(F$146)-1)*'Model inputs'!$E$102)</f>
        <v>-1390.8849292133077</v>
      </c>
      <c r="G180" s="135">
        <f>-(((1+$E$149)^(G$146)-1)*'Model inputs'!$E$102)</f>
        <v>-1390.8849292133077</v>
      </c>
      <c r="H180" s="135">
        <f>-(((1+$E$149)^(H$146)-1)*'Model inputs'!$E$102)</f>
        <v>-1394.7939015442221</v>
      </c>
      <c r="I180" s="135">
        <f>-(((1+$E$149)^(I$146)-1)*'Model inputs'!$E$102)</f>
        <v>-1390.8849292133077</v>
      </c>
      <c r="J180" s="135">
        <f>-(((1+$E$149)^(J$146)-1)*'Model inputs'!$E$102)</f>
        <v>-1390.8849292133077</v>
      </c>
      <c r="K180" s="135">
        <f>-(((1+$E$149)^(K$146)-1)*'Model inputs'!$E$102)</f>
        <v>-1390.8849292133077</v>
      </c>
      <c r="L180" s="135">
        <f>-(((1+$E$149)^(L$146)-1)*'Model inputs'!$E$102)</f>
        <v>-1394.7939015442221</v>
      </c>
      <c r="M180" s="135">
        <f>-(((1+$E$149)^(M$146)-1)*'Model inputs'!$E$102)</f>
        <v>-1390.8849292133077</v>
      </c>
      <c r="N180" s="135">
        <f>-(((1+$E$149)^(N$146)-1)*'Model inputs'!$E$102)</f>
        <v>-692.28678538168242</v>
      </c>
      <c r="O180" s="12"/>
      <c r="P180" s="12"/>
      <c r="Q180" s="12"/>
    </row>
    <row r="181" spans="1:17" ht="18" customHeight="1" x14ac:dyDescent="0.25">
      <c r="A181" s="35" t="s">
        <v>115</v>
      </c>
      <c r="B181" s="21" t="s">
        <v>15</v>
      </c>
      <c r="C181" s="100"/>
      <c r="D181" s="100"/>
      <c r="E181" s="46">
        <f t="shared" ref="E181:F181" si="77">SUM(E179:E180)</f>
        <v>-178.00724792941526</v>
      </c>
      <c r="F181" s="46">
        <f t="shared" si="77"/>
        <v>-363.64159823697651</v>
      </c>
      <c r="G181" s="46">
        <f t="shared" ref="G181:N181" si="78">SUM(G179:G180)</f>
        <v>-397.9551059933458</v>
      </c>
      <c r="H181" s="46">
        <f t="shared" si="78"/>
        <v>-433.48347057588398</v>
      </c>
      <c r="I181" s="46">
        <f t="shared" si="78"/>
        <v>-466.58212150608426</v>
      </c>
      <c r="J181" s="46">
        <f t="shared" si="78"/>
        <v>-500.89562926245355</v>
      </c>
      <c r="K181" s="46">
        <f t="shared" si="78"/>
        <v>-535.20913701882284</v>
      </c>
      <c r="L181" s="46">
        <f t="shared" si="78"/>
        <v>-571.12324322406221</v>
      </c>
      <c r="M181" s="46">
        <f t="shared" si="78"/>
        <v>-603.83615253156142</v>
      </c>
      <c r="N181" s="46">
        <f t="shared" si="78"/>
        <v>-317.62697807288697</v>
      </c>
      <c r="O181" s="12"/>
      <c r="P181" s="12"/>
    </row>
    <row r="182" spans="1:17" ht="18" customHeight="1" x14ac:dyDescent="0.25">
      <c r="B182" s="21"/>
      <c r="C182" s="17"/>
      <c r="D182" s="17"/>
      <c r="E182" s="46"/>
      <c r="F182" s="46"/>
      <c r="G182" s="46"/>
      <c r="H182" s="46"/>
      <c r="I182" s="46"/>
      <c r="J182" s="46"/>
      <c r="K182" s="46"/>
      <c r="L182" s="46"/>
      <c r="M182" s="46"/>
      <c r="N182" s="46"/>
      <c r="O182" s="12"/>
      <c r="P182" s="12"/>
    </row>
    <row r="183" spans="1:17" ht="18" customHeight="1" x14ac:dyDescent="0.25">
      <c r="A183" s="15" t="s">
        <v>145</v>
      </c>
      <c r="B183" s="21"/>
      <c r="C183" s="68"/>
      <c r="D183" s="68"/>
      <c r="E183" s="68"/>
      <c r="F183" s="68"/>
      <c r="G183" s="68"/>
      <c r="H183" s="68"/>
      <c r="I183" s="68"/>
      <c r="J183" s="68"/>
      <c r="K183" s="68"/>
      <c r="L183" s="68"/>
      <c r="M183" s="68"/>
      <c r="N183" s="68"/>
      <c r="O183" s="12"/>
      <c r="P183" s="12"/>
    </row>
    <row r="184" spans="1:17" ht="20.25" customHeight="1" x14ac:dyDescent="0.25">
      <c r="A184" s="35" t="s">
        <v>97</v>
      </c>
      <c r="B184" s="21" t="s">
        <v>15</v>
      </c>
      <c r="C184" s="17"/>
      <c r="D184" s="17"/>
      <c r="E184" s="17"/>
      <c r="G184" s="12">
        <f t="shared" ref="G184:N184" si="79">F187</f>
        <v>55787.785080000169</v>
      </c>
      <c r="H184" s="12">
        <f t="shared" si="79"/>
        <v>52774.03737651433</v>
      </c>
      <c r="I184" s="12">
        <f t="shared" si="79"/>
        <v>49760.289673028492</v>
      </c>
      <c r="J184" s="12">
        <f t="shared" si="79"/>
        <v>46746.541969542654</v>
      </c>
      <c r="K184" s="12">
        <f t="shared" si="79"/>
        <v>43732.794266056815</v>
      </c>
      <c r="L184" s="12">
        <f t="shared" si="79"/>
        <v>40719.046562570977</v>
      </c>
      <c r="M184" s="12">
        <f t="shared" si="79"/>
        <v>37705.298859085138</v>
      </c>
      <c r="N184" s="12">
        <f t="shared" si="79"/>
        <v>34691.5511555993</v>
      </c>
      <c r="O184" s="12"/>
      <c r="P184" s="12"/>
    </row>
    <row r="185" spans="1:17" ht="26.25" x14ac:dyDescent="0.25">
      <c r="A185" s="35" t="s">
        <v>107</v>
      </c>
      <c r="B185" s="21" t="s">
        <v>15</v>
      </c>
      <c r="C185" s="17"/>
      <c r="D185" s="17"/>
      <c r="E185" s="17"/>
      <c r="F185" s="122">
        <f>F$52+F$54</f>
        <v>55787.785080000169</v>
      </c>
      <c r="G185" s="68"/>
      <c r="H185" s="68"/>
      <c r="I185" s="68"/>
      <c r="J185" s="68"/>
      <c r="K185" s="68"/>
      <c r="L185" s="68"/>
      <c r="M185" s="68"/>
      <c r="N185" s="68"/>
      <c r="O185" s="12"/>
      <c r="P185" s="12"/>
    </row>
    <row r="186" spans="1:17" ht="18" customHeight="1" x14ac:dyDescent="0.25">
      <c r="A186" s="35" t="s">
        <v>3</v>
      </c>
      <c r="B186" s="21" t="s">
        <v>15</v>
      </c>
      <c r="C186" s="81"/>
      <c r="D186" s="81"/>
      <c r="E186" s="81"/>
      <c r="F186" s="90"/>
      <c r="G186" s="150">
        <f>G184*G$151</f>
        <v>-3013.7477034858402</v>
      </c>
      <c r="H186" s="90">
        <f t="shared" ref="H186:M186" si="80">IF(H184+G186&lt;0,-H184,G186)</f>
        <v>-3013.7477034858402</v>
      </c>
      <c r="I186" s="90">
        <f t="shared" si="80"/>
        <v>-3013.7477034858402</v>
      </c>
      <c r="J186" s="90">
        <f t="shared" si="80"/>
        <v>-3013.7477034858402</v>
      </c>
      <c r="K186" s="90">
        <f t="shared" si="80"/>
        <v>-3013.7477034858402</v>
      </c>
      <c r="L186" s="90">
        <f t="shared" si="80"/>
        <v>-3013.7477034858402</v>
      </c>
      <c r="M186" s="90">
        <f t="shared" si="80"/>
        <v>-3013.7477034858402</v>
      </c>
      <c r="N186" s="150">
        <f>IF(N184+M186&lt;0,-N184,M186*N$146)</f>
        <v>-1518.2192400859535</v>
      </c>
      <c r="O186" s="12"/>
      <c r="P186" s="12"/>
    </row>
    <row r="187" spans="1:17" ht="18" customHeight="1" x14ac:dyDescent="0.25">
      <c r="A187" s="35" t="s">
        <v>99</v>
      </c>
      <c r="B187" s="21" t="s">
        <v>15</v>
      </c>
      <c r="C187" s="46"/>
      <c r="D187" s="46"/>
      <c r="E187" s="46"/>
      <c r="F187" s="12">
        <f>SUM(F184:F186)</f>
        <v>55787.785080000169</v>
      </c>
      <c r="G187" s="46">
        <f t="shared" ref="G187:N187" si="81">SUM(G184:G186)</f>
        <v>52774.03737651433</v>
      </c>
      <c r="H187" s="46">
        <f t="shared" si="81"/>
        <v>49760.289673028492</v>
      </c>
      <c r="I187" s="46">
        <f t="shared" si="81"/>
        <v>46746.541969542654</v>
      </c>
      <c r="J187" s="46">
        <f t="shared" si="81"/>
        <v>43732.794266056815</v>
      </c>
      <c r="K187" s="46">
        <f t="shared" si="81"/>
        <v>40719.046562570977</v>
      </c>
      <c r="L187" s="46">
        <f t="shared" si="81"/>
        <v>37705.298859085138</v>
      </c>
      <c r="M187" s="46">
        <f t="shared" si="81"/>
        <v>34691.5511555993</v>
      </c>
      <c r="N187" s="46">
        <f t="shared" si="81"/>
        <v>33173.331915513343</v>
      </c>
      <c r="O187" s="12"/>
      <c r="P187" s="12"/>
    </row>
    <row r="188" spans="1:17" ht="18" customHeight="1" x14ac:dyDescent="0.25">
      <c r="A188" s="35" t="s">
        <v>173</v>
      </c>
      <c r="B188" s="21" t="s">
        <v>15</v>
      </c>
      <c r="C188" s="17"/>
      <c r="D188" s="17"/>
      <c r="E188" s="17"/>
      <c r="F188" s="148">
        <f>F185*'Model inputs'!F$48*((1+F$149)^(F$147)-1)</f>
        <v>514.4806554357308</v>
      </c>
      <c r="G188" s="134">
        <f>G184*'Model inputs'!G$48*((1+$F$149)^G$146-1)</f>
        <v>1054.2612084290115</v>
      </c>
      <c r="H188" s="134">
        <f>H184*'Model inputs'!H$48*((1+$F$149)^H$146-1)</f>
        <v>1000.1280361441444</v>
      </c>
      <c r="I188" s="134">
        <f>I184*'Model inputs'!I$48*((1+$F$149)^I$146-1)</f>
        <v>940.35536716928425</v>
      </c>
      <c r="J188" s="134">
        <f>J184*'Model inputs'!J$48*((1+$F$149)^J$146-1)</f>
        <v>883.40244653942057</v>
      </c>
      <c r="K188" s="134">
        <f>K184*'Model inputs'!K$48*((1+$F$149)^K$146-1)</f>
        <v>826.449525909557</v>
      </c>
      <c r="L188" s="134">
        <f>L184*'Model inputs'!L$48*((1+$F$149)^L$146-1)</f>
        <v>771.67224826367601</v>
      </c>
      <c r="M188" s="134">
        <f>M184*'Model inputs'!M$48*((1+$F$149)^M$146-1)</f>
        <v>712.54368464982997</v>
      </c>
      <c r="N188" s="134">
        <f>N184*'Model inputs'!N$48*((1+$F$149)^N$146-1)</f>
        <v>325.31655281466539</v>
      </c>
      <c r="O188" s="12"/>
      <c r="P188" s="12"/>
    </row>
    <row r="189" spans="1:17" ht="18" customHeight="1" x14ac:dyDescent="0.25">
      <c r="A189" s="35" t="s">
        <v>93</v>
      </c>
      <c r="B189" s="21" t="s">
        <v>15</v>
      </c>
      <c r="C189" s="101"/>
      <c r="D189" s="101"/>
      <c r="E189" s="101"/>
      <c r="F189" s="149">
        <f>-(((1+F$149)^(F$147)-1)*'Model inputs'!F$102)</f>
        <v>-656.07594418111864</v>
      </c>
      <c r="G189" s="135">
        <f>-(((1+$F$149)^(G$146)-1)*'Model inputs'!$F$102)</f>
        <v>-1344.4148199270735</v>
      </c>
      <c r="H189" s="135">
        <f>-(((1+$F$149)^(H$146)-1)*'Model inputs'!$F$102)</f>
        <v>-1348.2159629736673</v>
      </c>
      <c r="I189" s="135">
        <f>-(((1+$F$149)^(I$146)-1)*'Model inputs'!$F$102)</f>
        <v>-1344.4148199270735</v>
      </c>
      <c r="J189" s="135">
        <f>-(((1+$F$149)^(J$146)-1)*'Model inputs'!$F$102)</f>
        <v>-1344.4148199270735</v>
      </c>
      <c r="K189" s="135">
        <f>-(((1+$F$149)^(K$146)-1)*'Model inputs'!$F$102)</f>
        <v>-1344.4148199270735</v>
      </c>
      <c r="L189" s="135">
        <f>-(((1+$F$149)^(L$146)-1)*'Model inputs'!$F$102)</f>
        <v>-1348.2159629736673</v>
      </c>
      <c r="M189" s="135">
        <f>-(((1+$F$149)^(M$146)-1)*'Model inputs'!$F$102)</f>
        <v>-1344.4148199270735</v>
      </c>
      <c r="N189" s="135">
        <f>-(((1+$F$149)^(N$146)-1)*'Model inputs'!$F$102)</f>
        <v>-667.12409444240541</v>
      </c>
      <c r="O189" s="12"/>
      <c r="P189" s="12"/>
      <c r="Q189" s="12"/>
    </row>
    <row r="190" spans="1:17" ht="18" customHeight="1" x14ac:dyDescent="0.25">
      <c r="A190" s="35" t="s">
        <v>115</v>
      </c>
      <c r="B190" s="21" t="s">
        <v>15</v>
      </c>
      <c r="C190" s="100"/>
      <c r="D190" s="100"/>
      <c r="E190" s="100"/>
      <c r="F190" s="12">
        <f t="shared" ref="F190:G190" si="82">SUM(F188:F189)</f>
        <v>-141.59528874538785</v>
      </c>
      <c r="G190" s="46">
        <f t="shared" si="82"/>
        <v>-290.15361149806199</v>
      </c>
      <c r="H190" s="46">
        <f t="shared" ref="H190:N190" si="83">SUM(H188:H189)</f>
        <v>-348.08792682952287</v>
      </c>
      <c r="I190" s="46">
        <f t="shared" si="83"/>
        <v>-404.05945275778924</v>
      </c>
      <c r="J190" s="46">
        <f t="shared" si="83"/>
        <v>-461.01237338765293</v>
      </c>
      <c r="K190" s="46">
        <f t="shared" si="83"/>
        <v>-517.9652940175165</v>
      </c>
      <c r="L190" s="46">
        <f t="shared" si="83"/>
        <v>-576.54371470999126</v>
      </c>
      <c r="M190" s="46">
        <f t="shared" si="83"/>
        <v>-631.87113527724352</v>
      </c>
      <c r="N190" s="46">
        <f t="shared" si="83"/>
        <v>-341.80754162774002</v>
      </c>
      <c r="O190" s="12"/>
      <c r="P190" s="12"/>
    </row>
    <row r="191" spans="1:17" ht="18" customHeight="1" x14ac:dyDescent="0.25">
      <c r="A191" s="35"/>
      <c r="B191" s="21"/>
      <c r="C191" s="17"/>
      <c r="D191" s="17"/>
      <c r="E191" s="17"/>
      <c r="F191" s="17"/>
      <c r="G191" s="17"/>
      <c r="H191" s="17"/>
      <c r="I191" s="17"/>
      <c r="J191" s="17"/>
      <c r="K191" s="17"/>
      <c r="L191" s="17"/>
      <c r="M191" s="17"/>
      <c r="N191" s="17"/>
      <c r="O191" s="12"/>
      <c r="P191" s="12"/>
    </row>
    <row r="192" spans="1:17" ht="18" customHeight="1" x14ac:dyDescent="0.25">
      <c r="A192" s="15" t="s">
        <v>146</v>
      </c>
      <c r="B192" s="21"/>
      <c r="C192" s="68"/>
      <c r="D192" s="68"/>
      <c r="E192" s="68"/>
      <c r="F192" s="68"/>
      <c r="G192" s="68"/>
      <c r="H192" s="68"/>
      <c r="I192" s="68"/>
      <c r="J192" s="68"/>
      <c r="K192" s="68"/>
      <c r="L192" s="68"/>
      <c r="M192" s="68"/>
      <c r="N192" s="68"/>
      <c r="O192" s="12"/>
      <c r="P192" s="12"/>
    </row>
    <row r="193" spans="1:17" ht="18" customHeight="1" x14ac:dyDescent="0.25">
      <c r="A193" s="35" t="s">
        <v>97</v>
      </c>
      <c r="B193" s="21" t="s">
        <v>15</v>
      </c>
      <c r="C193" s="17"/>
      <c r="D193" s="17"/>
      <c r="E193" s="17"/>
      <c r="F193" s="17"/>
      <c r="H193" s="46">
        <f t="shared" ref="H193:N193" si="84">G196</f>
        <v>74554.024309998451</v>
      </c>
      <c r="I193" s="46">
        <f t="shared" si="84"/>
        <v>70255.669342323381</v>
      </c>
      <c r="J193" s="46">
        <f t="shared" si="84"/>
        <v>65957.314374648311</v>
      </c>
      <c r="K193" s="46">
        <f t="shared" si="84"/>
        <v>61658.959406973241</v>
      </c>
      <c r="L193" s="46">
        <f t="shared" si="84"/>
        <v>57360.604439298171</v>
      </c>
      <c r="M193" s="46">
        <f t="shared" si="84"/>
        <v>53062.249471623101</v>
      </c>
      <c r="N193" s="46">
        <f t="shared" si="84"/>
        <v>48763.894503948031</v>
      </c>
      <c r="O193" s="12"/>
      <c r="P193" s="12"/>
    </row>
    <row r="194" spans="1:17" ht="26.25" x14ac:dyDescent="0.25">
      <c r="A194" s="35" t="s">
        <v>108</v>
      </c>
      <c r="B194" s="21" t="s">
        <v>15</v>
      </c>
      <c r="C194" s="17"/>
      <c r="D194" s="17"/>
      <c r="E194" s="17"/>
      <c r="F194" s="17"/>
      <c r="G194" s="122">
        <f>G$52+G$54</f>
        <v>74554.024309998451</v>
      </c>
      <c r="H194" s="46"/>
      <c r="I194" s="46"/>
      <c r="J194" s="46"/>
      <c r="K194" s="46"/>
      <c r="L194" s="46"/>
      <c r="M194" s="46"/>
      <c r="N194" s="46"/>
      <c r="O194" s="12"/>
      <c r="P194" s="12"/>
    </row>
    <row r="195" spans="1:17" ht="18" customHeight="1" x14ac:dyDescent="0.25">
      <c r="A195" s="35" t="s">
        <v>3</v>
      </c>
      <c r="B195" s="21" t="s">
        <v>15</v>
      </c>
      <c r="C195" s="81"/>
      <c r="D195" s="81"/>
      <c r="E195" s="81"/>
      <c r="F195" s="81"/>
      <c r="G195" s="90"/>
      <c r="H195" s="150">
        <f>H193*H$151</f>
        <v>-4298.3549676750717</v>
      </c>
      <c r="I195" s="90">
        <f>IF(I193+H195&lt;0,-I193,H195)</f>
        <v>-4298.3549676750717</v>
      </c>
      <c r="J195" s="90">
        <f>IF(J193+I195&lt;0,-J193,I195)</f>
        <v>-4298.3549676750717</v>
      </c>
      <c r="K195" s="90">
        <f>IF(K193+J195&lt;0,-K193,J195)</f>
        <v>-4298.3549676750717</v>
      </c>
      <c r="L195" s="90">
        <f>IF(L193+K195&lt;0,-L193,K195)</f>
        <v>-4298.3549676750717</v>
      </c>
      <c r="M195" s="90">
        <f>IF(M193+L195&lt;0,-M193,L195)</f>
        <v>-4298.3549676750717</v>
      </c>
      <c r="N195" s="150">
        <f>IF(N193+M195&lt;0,-N193,M195*N$146)</f>
        <v>-2165.3588338185164</v>
      </c>
      <c r="O195" s="12"/>
      <c r="P195" s="12"/>
    </row>
    <row r="196" spans="1:17" ht="18" customHeight="1" x14ac:dyDescent="0.25">
      <c r="A196" s="35" t="s">
        <v>99</v>
      </c>
      <c r="B196" s="21" t="s">
        <v>15</v>
      </c>
      <c r="C196" s="46"/>
      <c r="D196" s="46"/>
      <c r="E196" s="46"/>
      <c r="F196" s="46"/>
      <c r="G196" s="12">
        <f>SUM(G193:G195)</f>
        <v>74554.024309998451</v>
      </c>
      <c r="H196" s="46">
        <f t="shared" ref="H196:N196" si="85">SUM(H193:H195)</f>
        <v>70255.669342323381</v>
      </c>
      <c r="I196" s="46">
        <f t="shared" si="85"/>
        <v>65957.314374648311</v>
      </c>
      <c r="J196" s="46">
        <f t="shared" si="85"/>
        <v>61658.959406973241</v>
      </c>
      <c r="K196" s="46">
        <f t="shared" si="85"/>
        <v>57360.604439298171</v>
      </c>
      <c r="L196" s="46">
        <f t="shared" si="85"/>
        <v>53062.249471623101</v>
      </c>
      <c r="M196" s="46">
        <f t="shared" si="85"/>
        <v>48763.894503948031</v>
      </c>
      <c r="N196" s="46">
        <f t="shared" si="85"/>
        <v>46598.535670129517</v>
      </c>
      <c r="O196" s="12"/>
      <c r="P196" s="12"/>
    </row>
    <row r="197" spans="1:17" ht="18" customHeight="1" x14ac:dyDescent="0.25">
      <c r="A197" s="35" t="s">
        <v>173</v>
      </c>
      <c r="B197" s="21" t="s">
        <v>15</v>
      </c>
      <c r="C197" s="17"/>
      <c r="D197" s="17"/>
      <c r="E197" s="17"/>
      <c r="F197" s="17"/>
      <c r="G197" s="148">
        <f>G194*'Model inputs'!G$48*((1+G$149)^(G$147)-1)</f>
        <v>591.82385959266719</v>
      </c>
      <c r="H197" s="134">
        <f>H193*'Model inputs'!H$48*((1+$G$149)^H$146-1)</f>
        <v>1213.4710576084185</v>
      </c>
      <c r="I197" s="134">
        <f>I193*'Model inputs'!I$48*((1+$G$149)^I$146-1)</f>
        <v>1140.2991316923094</v>
      </c>
      <c r="J197" s="134">
        <f>J193*'Model inputs'!J$48*((1+$G$149)^J$146-1)</f>
        <v>1070.5337948415151</v>
      </c>
      <c r="K197" s="134">
        <f>K193*'Model inputs'!K$48*((1+$G$149)^K$146-1)</f>
        <v>1000.7684579907209</v>
      </c>
      <c r="L197" s="134">
        <f>L193*'Model inputs'!L$48*((1+$G$149)^L$146-1)</f>
        <v>933.62409310852615</v>
      </c>
      <c r="M197" s="134">
        <f>M193*'Model inputs'!M$48*((1+$G$149)^M$146-1)</f>
        <v>861.23778428913249</v>
      </c>
      <c r="N197" s="134">
        <f>N193*'Model inputs'!N$48*((1+$G$149)^N$146-1)</f>
        <v>393.60141044827179</v>
      </c>
      <c r="O197" s="12"/>
      <c r="P197" s="12"/>
    </row>
    <row r="198" spans="1:17" ht="18" customHeight="1" x14ac:dyDescent="0.25">
      <c r="A198" s="35" t="s">
        <v>93</v>
      </c>
      <c r="B198" s="21" t="s">
        <v>15</v>
      </c>
      <c r="C198" s="101"/>
      <c r="D198" s="101"/>
      <c r="E198" s="101"/>
      <c r="F198" s="101"/>
      <c r="G198" s="149">
        <f>-(((1+G$149)^(G$147)-1)*'Model inputs'!G$102)</f>
        <v>-486.77991228133658</v>
      </c>
      <c r="H198" s="135">
        <f>-(((1+$G$149)^(H$146)-1)*'Model inputs'!$G$102)</f>
        <v>-998.08976168200024</v>
      </c>
      <c r="I198" s="135">
        <f>-(((1+$G$149)^(I$146)-1)*'Model inputs'!$G$102)</f>
        <v>-995.28781461698327</v>
      </c>
      <c r="J198" s="135">
        <f>-(((1+$G$149)^(J$146)-1)*'Model inputs'!$G$102)</f>
        <v>-995.28781461698327</v>
      </c>
      <c r="K198" s="135">
        <f>-(((1+$G$149)^(K$146)-1)*'Model inputs'!$G$102)</f>
        <v>-995.28781461698327</v>
      </c>
      <c r="L198" s="135">
        <f>-(((1+$G$149)^(L$146)-1)*'Model inputs'!$G$102)</f>
        <v>-998.08976168200024</v>
      </c>
      <c r="M198" s="135">
        <f>-(((1+$G$149)^(M$146)-1)*'Model inputs'!$G$102)</f>
        <v>-995.28781461698327</v>
      </c>
      <c r="N198" s="135">
        <f>-(((1+$G$149)^(N$146)-1)*'Model inputs'!$G$102)</f>
        <v>-494.95934937866906</v>
      </c>
      <c r="O198" s="12"/>
      <c r="P198" s="12"/>
      <c r="Q198" s="12"/>
    </row>
    <row r="199" spans="1:17" ht="18" customHeight="1" x14ac:dyDescent="0.25">
      <c r="A199" s="35" t="s">
        <v>115</v>
      </c>
      <c r="B199" s="21" t="s">
        <v>15</v>
      </c>
      <c r="C199" s="100"/>
      <c r="D199" s="100"/>
      <c r="E199" s="100"/>
      <c r="F199" s="100"/>
      <c r="G199" s="12">
        <f t="shared" ref="G199:H199" si="86">SUM(G197:G198)</f>
        <v>105.04394731133061</v>
      </c>
      <c r="H199" s="46">
        <f t="shared" si="86"/>
        <v>215.38129592641826</v>
      </c>
      <c r="I199" s="46">
        <f t="shared" ref="I199:N199" si="87">SUM(I197:I198)</f>
        <v>145.01131707532613</v>
      </c>
      <c r="J199" s="46">
        <f t="shared" si="87"/>
        <v>75.245980224531877</v>
      </c>
      <c r="K199" s="46">
        <f t="shared" si="87"/>
        <v>5.480643373737621</v>
      </c>
      <c r="L199" s="46">
        <f t="shared" si="87"/>
        <v>-64.46566857347409</v>
      </c>
      <c r="M199" s="46">
        <f t="shared" si="87"/>
        <v>-134.05003032785078</v>
      </c>
      <c r="N199" s="46">
        <f t="shared" si="87"/>
        <v>-101.35793893039727</v>
      </c>
      <c r="O199" s="12"/>
      <c r="P199" s="12"/>
    </row>
    <row r="200" spans="1:17" ht="18" customHeight="1" x14ac:dyDescent="0.25">
      <c r="A200" s="35"/>
      <c r="B200" s="21"/>
      <c r="C200" s="17"/>
      <c r="D200" s="17"/>
      <c r="E200" s="17"/>
      <c r="F200" s="17"/>
      <c r="G200" s="17"/>
      <c r="H200" s="12"/>
      <c r="I200" s="12"/>
      <c r="J200" s="12"/>
      <c r="K200" s="12"/>
      <c r="L200" s="12"/>
      <c r="M200" s="12"/>
      <c r="N200" s="12"/>
      <c r="O200" s="12"/>
      <c r="P200" s="12"/>
    </row>
    <row r="201" spans="1:17" ht="18" customHeight="1" x14ac:dyDescent="0.25">
      <c r="A201" s="15" t="s">
        <v>147</v>
      </c>
      <c r="B201" s="21"/>
      <c r="C201" s="68"/>
      <c r="D201" s="68"/>
      <c r="E201" s="68"/>
      <c r="F201" s="68"/>
      <c r="G201" s="68"/>
      <c r="H201" s="68"/>
      <c r="I201" s="68"/>
      <c r="J201" s="68"/>
      <c r="K201" s="68"/>
      <c r="L201" s="68"/>
      <c r="M201" s="68"/>
      <c r="N201" s="68"/>
      <c r="O201" s="12"/>
      <c r="P201" s="12"/>
    </row>
    <row r="202" spans="1:17" ht="18" customHeight="1" x14ac:dyDescent="0.25">
      <c r="A202" s="35" t="s">
        <v>97</v>
      </c>
      <c r="B202" s="21" t="s">
        <v>15</v>
      </c>
      <c r="C202" s="17"/>
      <c r="D202" s="17"/>
      <c r="E202" s="17"/>
      <c r="F202" s="17"/>
      <c r="G202" s="17"/>
      <c r="I202" s="46">
        <f t="shared" ref="I202:N202" si="88">H205</f>
        <v>78255.582749989946</v>
      </c>
      <c r="J202" s="46">
        <f t="shared" si="88"/>
        <v>73722.745529989945</v>
      </c>
      <c r="K202" s="46">
        <f t="shared" si="88"/>
        <v>69189.908309989944</v>
      </c>
      <c r="L202" s="46">
        <f t="shared" si="88"/>
        <v>64657.071089989942</v>
      </c>
      <c r="M202" s="46">
        <f t="shared" si="88"/>
        <v>60124.233869989941</v>
      </c>
      <c r="N202" s="46">
        <f t="shared" si="88"/>
        <v>55591.39664998994</v>
      </c>
      <c r="O202" s="12"/>
      <c r="P202" s="12"/>
    </row>
    <row r="203" spans="1:17" ht="26.25" x14ac:dyDescent="0.25">
      <c r="A203" s="35" t="s">
        <v>109</v>
      </c>
      <c r="B203" s="21" t="s">
        <v>15</v>
      </c>
      <c r="C203" s="17"/>
      <c r="D203" s="17"/>
      <c r="E203" s="17"/>
      <c r="F203" s="17"/>
      <c r="G203" s="17"/>
      <c r="H203" s="122">
        <f>H$52+H$54</f>
        <v>78255.582749989946</v>
      </c>
      <c r="I203" s="46"/>
      <c r="J203" s="46"/>
      <c r="K203" s="46"/>
      <c r="L203" s="46"/>
      <c r="M203" s="46"/>
      <c r="N203" s="46"/>
      <c r="O203" s="12"/>
      <c r="P203" s="12"/>
    </row>
    <row r="204" spans="1:17" ht="18" customHeight="1" x14ac:dyDescent="0.25">
      <c r="A204" s="35" t="s">
        <v>3</v>
      </c>
      <c r="B204" s="21" t="s">
        <v>15</v>
      </c>
      <c r="C204" s="81"/>
      <c r="D204" s="81"/>
      <c r="E204" s="81"/>
      <c r="F204" s="81"/>
      <c r="G204" s="81"/>
      <c r="H204" s="90"/>
      <c r="I204" s="150">
        <f>I202*I$151</f>
        <v>-4532.8372200000013</v>
      </c>
      <c r="J204" s="90">
        <f>IF(J202+I204&lt;0,-J202,I204)</f>
        <v>-4532.8372200000013</v>
      </c>
      <c r="K204" s="90">
        <f>IF(K202+J204&lt;0,-K202,J204)</f>
        <v>-4532.8372200000013</v>
      </c>
      <c r="L204" s="90">
        <f>IF(L202+K204&lt;0,-L202,K204)</f>
        <v>-4532.8372200000013</v>
      </c>
      <c r="M204" s="90">
        <f>IF(M202+L204&lt;0,-M202,L204)</f>
        <v>-4532.8372200000013</v>
      </c>
      <c r="N204" s="150">
        <f>IF(N202+M204&lt;0,-N202,M204*N$146)</f>
        <v>-2283.4826789322387</v>
      </c>
      <c r="O204" s="12"/>
      <c r="P204" s="12"/>
    </row>
    <row r="205" spans="1:17" ht="18" customHeight="1" x14ac:dyDescent="0.25">
      <c r="A205" s="35" t="s">
        <v>99</v>
      </c>
      <c r="B205" s="21" t="s">
        <v>15</v>
      </c>
      <c r="C205" s="46"/>
      <c r="D205" s="46"/>
      <c r="E205" s="46"/>
      <c r="F205" s="46"/>
      <c r="G205" s="46"/>
      <c r="H205" s="12">
        <f>SUM(H202:H204)</f>
        <v>78255.582749989946</v>
      </c>
      <c r="I205" s="46">
        <f t="shared" ref="I205:N205" si="89">SUM(I202:I204)</f>
        <v>73722.745529989945</v>
      </c>
      <c r="J205" s="46">
        <f t="shared" si="89"/>
        <v>69189.908309989944</v>
      </c>
      <c r="K205" s="46">
        <f t="shared" si="89"/>
        <v>64657.071089989942</v>
      </c>
      <c r="L205" s="46">
        <f t="shared" si="89"/>
        <v>60124.233869989941</v>
      </c>
      <c r="M205" s="46">
        <f t="shared" si="89"/>
        <v>55591.39664998994</v>
      </c>
      <c r="N205" s="46">
        <f t="shared" si="89"/>
        <v>53307.9139710577</v>
      </c>
      <c r="O205" s="12"/>
      <c r="P205" s="12"/>
    </row>
    <row r="206" spans="1:17" ht="18" customHeight="1" x14ac:dyDescent="0.25">
      <c r="A206" s="35" t="s">
        <v>173</v>
      </c>
      <c r="B206" s="21" t="s">
        <v>15</v>
      </c>
      <c r="C206" s="17"/>
      <c r="D206" s="17"/>
      <c r="E206" s="17"/>
      <c r="F206" s="17"/>
      <c r="G206" s="17"/>
      <c r="H206" s="148">
        <f>H203*'Model inputs'!H$48*((1+H$149)^(H$147)-1)</f>
        <v>542.66882390650426</v>
      </c>
      <c r="I206" s="134">
        <f>I202*'Model inputs'!I$48*((1+$H$149)^I$146-1)</f>
        <v>1101.4035245537955</v>
      </c>
      <c r="J206" s="134">
        <f>J202*'Model inputs'!J$48*((1+$H$149)^J$146-1)</f>
        <v>1037.6063778852113</v>
      </c>
      <c r="K206" s="134">
        <f>K202*'Model inputs'!K$48*((1+$H$149)^K$146-1)</f>
        <v>973.80923121662715</v>
      </c>
      <c r="L206" s="134">
        <f>L202*'Model inputs'!L$48*((1+$H$149)^L$146-1)</f>
        <v>912.56497869457542</v>
      </c>
      <c r="M206" s="134">
        <f>M202*'Model inputs'!M$48*((1+$H$149)^M$146-1)</f>
        <v>846.21493787945894</v>
      </c>
      <c r="N206" s="134">
        <f>N202*'Model inputs'!N$48*((1+$H$149)^N$146-1)</f>
        <v>389.78953466477464</v>
      </c>
      <c r="O206" s="12"/>
      <c r="P206" s="12"/>
    </row>
    <row r="207" spans="1:17" ht="18" customHeight="1" x14ac:dyDescent="0.25">
      <c r="A207" s="35" t="s">
        <v>93</v>
      </c>
      <c r="B207" s="21" t="s">
        <v>15</v>
      </c>
      <c r="C207" s="101"/>
      <c r="D207" s="101"/>
      <c r="E207" s="101"/>
      <c r="F207" s="101"/>
      <c r="G207" s="101"/>
      <c r="H207" s="149">
        <f>-(((1+H$149)^(H$147)-1)*'Model inputs'!H$102)</f>
        <v>125.83327420560674</v>
      </c>
      <c r="I207" s="135">
        <f>-(((1+$H$149)^(I$146)-1)*'Model inputs'!$H$102)</f>
        <v>255.3918810343848</v>
      </c>
      <c r="J207" s="135">
        <f>-(((1+$H$149)^(J$146)-1)*'Model inputs'!$H$102)</f>
        <v>255.3918810343848</v>
      </c>
      <c r="K207" s="135">
        <f>-(((1+$H$149)^(K$146)-1)*'Model inputs'!$H$102)</f>
        <v>255.3918810343848</v>
      </c>
      <c r="L207" s="135">
        <f>-(((1+$H$149)^(L$146)-1)*'Model inputs'!$H$102)</f>
        <v>256.10834233114701</v>
      </c>
      <c r="M207" s="135">
        <f>-(((1+$H$149)^(M$146)-1)*'Model inputs'!$H$102)</f>
        <v>255.3918810343848</v>
      </c>
      <c r="N207" s="135">
        <f>-(((1+$H$149)^(N$146)-1)*'Model inputs'!$H$102)</f>
        <v>127.23264167024055</v>
      </c>
      <c r="O207" s="12"/>
      <c r="P207" s="12"/>
      <c r="Q207" s="12"/>
    </row>
    <row r="208" spans="1:17" ht="18" customHeight="1" x14ac:dyDescent="0.25">
      <c r="A208" s="35" t="s">
        <v>115</v>
      </c>
      <c r="B208" s="21" t="s">
        <v>15</v>
      </c>
      <c r="C208" s="100"/>
      <c r="D208" s="100"/>
      <c r="E208" s="100"/>
      <c r="F208" s="100"/>
      <c r="G208" s="100"/>
      <c r="H208" s="12">
        <f t="shared" ref="H208:I208" si="90">SUM(H206:H207)</f>
        <v>668.50209811211096</v>
      </c>
      <c r="I208" s="46">
        <f t="shared" si="90"/>
        <v>1356.7954055881803</v>
      </c>
      <c r="J208" s="46">
        <f t="shared" ref="J208:N208" si="91">SUM(J206:J207)</f>
        <v>1292.9982589195961</v>
      </c>
      <c r="K208" s="46">
        <f t="shared" si="91"/>
        <v>1229.2011122510119</v>
      </c>
      <c r="L208" s="46">
        <f t="shared" si="91"/>
        <v>1168.6733210257225</v>
      </c>
      <c r="M208" s="46">
        <f t="shared" si="91"/>
        <v>1101.6068189138437</v>
      </c>
      <c r="N208" s="46">
        <f t="shared" si="91"/>
        <v>517.02217633501516</v>
      </c>
      <c r="O208" s="12"/>
      <c r="P208" s="12"/>
    </row>
    <row r="209" spans="1:17" ht="18" customHeight="1" x14ac:dyDescent="0.25">
      <c r="A209" s="35"/>
      <c r="B209" s="21"/>
      <c r="C209" s="17"/>
      <c r="D209" s="17"/>
      <c r="E209" s="17"/>
      <c r="F209" s="17"/>
      <c r="G209" s="17"/>
      <c r="H209" s="17"/>
      <c r="I209" s="46"/>
      <c r="J209" s="46"/>
      <c r="K209" s="46"/>
      <c r="L209" s="46"/>
      <c r="M209" s="46"/>
      <c r="N209" s="46"/>
      <c r="O209" s="12"/>
      <c r="P209" s="12"/>
    </row>
    <row r="210" spans="1:17" ht="18" customHeight="1" x14ac:dyDescent="0.25">
      <c r="A210" s="15" t="s">
        <v>148</v>
      </c>
      <c r="B210" s="21"/>
      <c r="C210" s="68"/>
      <c r="D210" s="68"/>
      <c r="E210" s="68"/>
      <c r="F210" s="68"/>
      <c r="G210" s="68"/>
      <c r="H210" s="68"/>
      <c r="I210" s="68"/>
      <c r="J210" s="68"/>
      <c r="K210" s="68"/>
      <c r="L210" s="68"/>
      <c r="M210" s="68"/>
      <c r="N210" s="68"/>
      <c r="O210" s="12"/>
      <c r="P210" s="12"/>
    </row>
    <row r="211" spans="1:17" ht="18" customHeight="1" x14ac:dyDescent="0.25">
      <c r="A211" s="35" t="s">
        <v>97</v>
      </c>
      <c r="B211" s="21" t="s">
        <v>15</v>
      </c>
      <c r="C211" s="17"/>
      <c r="D211" s="17"/>
      <c r="E211" s="17"/>
      <c r="F211" s="17"/>
      <c r="G211" s="17"/>
      <c r="H211" s="17"/>
      <c r="J211" s="46">
        <f>I214</f>
        <v>104236.29303000245</v>
      </c>
      <c r="K211" s="46">
        <f>J214</f>
        <v>101575.34780999926</v>
      </c>
      <c r="L211" s="46">
        <f>K214</f>
        <v>98914.402589996083</v>
      </c>
      <c r="M211" s="46">
        <f>L214</f>
        <v>96253.457369992902</v>
      </c>
      <c r="N211" s="46">
        <f>M214</f>
        <v>93592.512149989721</v>
      </c>
      <c r="O211" s="12"/>
      <c r="P211" s="12"/>
    </row>
    <row r="212" spans="1:17" ht="26.25" x14ac:dyDescent="0.25">
      <c r="A212" s="35" t="s">
        <v>110</v>
      </c>
      <c r="B212" s="21" t="s">
        <v>15</v>
      </c>
      <c r="C212" s="17"/>
      <c r="D212" s="17"/>
      <c r="E212" s="17"/>
      <c r="F212" s="17"/>
      <c r="G212" s="17"/>
      <c r="H212" s="17"/>
      <c r="I212" s="122">
        <f>I$52+I$54</f>
        <v>104236.29303000245</v>
      </c>
      <c r="J212" s="46"/>
      <c r="K212" s="46"/>
      <c r="L212" s="46"/>
      <c r="M212" s="46"/>
      <c r="N212" s="46"/>
      <c r="O212" s="12"/>
      <c r="P212" s="12"/>
    </row>
    <row r="213" spans="1:17" ht="18" customHeight="1" x14ac:dyDescent="0.25">
      <c r="A213" s="35" t="s">
        <v>3</v>
      </c>
      <c r="B213" s="21" t="s">
        <v>15</v>
      </c>
      <c r="C213" s="81"/>
      <c r="D213" s="81"/>
      <c r="E213" s="81"/>
      <c r="F213" s="81"/>
      <c r="G213" s="81"/>
      <c r="H213" s="81"/>
      <c r="I213" s="90"/>
      <c r="J213" s="150">
        <f>J211*J$151</f>
        <v>-2660.9452200031774</v>
      </c>
      <c r="K213" s="90">
        <f>IF(K211+J213&lt;0,-K211,J213)</f>
        <v>-2660.9452200031774</v>
      </c>
      <c r="L213" s="90">
        <f>IF(L211+K213&lt;0,-L211,K213)</f>
        <v>-2660.9452200031774</v>
      </c>
      <c r="M213" s="90">
        <f>IF(M211+L213&lt;0,-M211,L213)</f>
        <v>-2660.9452200031774</v>
      </c>
      <c r="N213" s="150">
        <f>IF(N211+M213&lt;0,-N211,M213*N$146)</f>
        <v>-1340.4898575786026</v>
      </c>
      <c r="O213" s="12"/>
      <c r="P213" s="12"/>
    </row>
    <row r="214" spans="1:17" ht="18" customHeight="1" x14ac:dyDescent="0.25">
      <c r="A214" s="35" t="s">
        <v>99</v>
      </c>
      <c r="B214" s="21" t="s">
        <v>15</v>
      </c>
      <c r="C214" s="46"/>
      <c r="D214" s="46"/>
      <c r="E214" s="46"/>
      <c r="F214" s="46"/>
      <c r="G214" s="46"/>
      <c r="H214" s="46"/>
      <c r="I214" s="12">
        <f>SUM(I211:I213)</f>
        <v>104236.29303000245</v>
      </c>
      <c r="J214" s="46">
        <f t="shared" ref="J214:N214" si="92">SUM(J211:J213)</f>
        <v>101575.34780999926</v>
      </c>
      <c r="K214" s="46">
        <f t="shared" si="92"/>
        <v>98914.402589996083</v>
      </c>
      <c r="L214" s="46">
        <f t="shared" si="92"/>
        <v>96253.457369992902</v>
      </c>
      <c r="M214" s="46">
        <f t="shared" si="92"/>
        <v>93592.512149989721</v>
      </c>
      <c r="N214" s="46">
        <f t="shared" si="92"/>
        <v>92252.022292411115</v>
      </c>
      <c r="O214" s="12"/>
      <c r="P214" s="12"/>
    </row>
    <row r="215" spans="1:17" ht="18" customHeight="1" x14ac:dyDescent="0.25">
      <c r="A215" s="35" t="s">
        <v>173</v>
      </c>
      <c r="B215" s="21" t="s">
        <v>15</v>
      </c>
      <c r="C215" s="17"/>
      <c r="D215" s="17"/>
      <c r="E215" s="17"/>
      <c r="F215" s="17"/>
      <c r="G215" s="17"/>
      <c r="H215" s="17"/>
      <c r="I215" s="148">
        <f>I212*'Model inputs'!I$48*((1+I$149)^(I$147)-1)</f>
        <v>701.21424776707158</v>
      </c>
      <c r="J215" s="134">
        <f>J211*'Model inputs'!J$48*((1+$I$149)^J$146-1)</f>
        <v>1430.7257370080147</v>
      </c>
      <c r="K215" s="134">
        <f>K211*'Model inputs'!K$48*((1+$I$149)^K$146-1)</f>
        <v>1394.202154862483</v>
      </c>
      <c r="L215" s="134">
        <f>L211*'Model inputs'!L$48*((1+$I$149)^L$146-1)</f>
        <v>1361.4851508824092</v>
      </c>
      <c r="M215" s="134">
        <f>M211*'Model inputs'!M$48*((1+$I$149)^M$146-1)</f>
        <v>1321.1549905714196</v>
      </c>
      <c r="N215" s="134">
        <f>N211*'Model inputs'!N$48*((1+$I$149)^N$146-1)</f>
        <v>640.16950165408309</v>
      </c>
      <c r="O215" s="12"/>
      <c r="P215" s="12"/>
    </row>
    <row r="216" spans="1:17" ht="18" customHeight="1" x14ac:dyDescent="0.25">
      <c r="A216" s="35" t="s">
        <v>93</v>
      </c>
      <c r="B216" s="21" t="s">
        <v>15</v>
      </c>
      <c r="C216" s="101"/>
      <c r="D216" s="101"/>
      <c r="E216" s="101"/>
      <c r="F216" s="101"/>
      <c r="G216" s="101"/>
      <c r="H216" s="101"/>
      <c r="I216" s="149">
        <f>-(((1+I$149)^(I$147)-1)*'Model inputs'!I$102)</f>
        <v>1635.7267569701185</v>
      </c>
      <c r="J216" s="135">
        <f>-(((1+$I$149)^(J$146)-1)*'Model inputs'!$I$102)</f>
        <v>3337.462661892735</v>
      </c>
      <c r="K216" s="135">
        <f>-(((1+$I$149)^(K$146)-1)*'Model inputs'!$I$102)</f>
        <v>3337.462661892735</v>
      </c>
      <c r="L216" s="135">
        <f>-(((1+$I$149)^(L$146)-1)*'Model inputs'!$I$102)</f>
        <v>3346.8200405478087</v>
      </c>
      <c r="M216" s="135">
        <f>-(((1+$I$149)^(M$146)-1)*'Model inputs'!$I$102)</f>
        <v>3337.462661892735</v>
      </c>
      <c r="N216" s="135">
        <f>-(((1+$I$149)^(N$146)-1)*'Model inputs'!$I$102)</f>
        <v>1663.1555129661472</v>
      </c>
      <c r="O216" s="12"/>
      <c r="P216" s="12"/>
      <c r="Q216" s="12"/>
    </row>
    <row r="217" spans="1:17" ht="18" customHeight="1" x14ac:dyDescent="0.25">
      <c r="A217" s="35" t="s">
        <v>115</v>
      </c>
      <c r="B217" s="21" t="s">
        <v>15</v>
      </c>
      <c r="C217" s="100"/>
      <c r="D217" s="100"/>
      <c r="E217" s="100"/>
      <c r="F217" s="100"/>
      <c r="G217" s="100"/>
      <c r="H217" s="100"/>
      <c r="I217" s="12">
        <f t="shared" ref="I217:J217" si="93">SUM(I215:I216)</f>
        <v>2336.9410047371903</v>
      </c>
      <c r="J217" s="46">
        <f t="shared" si="93"/>
        <v>4768.1883989007492</v>
      </c>
      <c r="K217" s="46">
        <f t="shared" ref="K217:N217" si="94">SUM(K215:K216)</f>
        <v>4731.6648167552175</v>
      </c>
      <c r="L217" s="46">
        <f t="shared" si="94"/>
        <v>4708.3051914302177</v>
      </c>
      <c r="M217" s="46">
        <f t="shared" si="94"/>
        <v>4658.6176524641542</v>
      </c>
      <c r="N217" s="46">
        <f t="shared" si="94"/>
        <v>2303.3250146202304</v>
      </c>
      <c r="O217" s="12"/>
      <c r="P217" s="12"/>
    </row>
    <row r="218" spans="1:17" ht="18" customHeight="1" x14ac:dyDescent="0.25">
      <c r="A218" s="35"/>
      <c r="B218" s="21"/>
      <c r="C218" s="17"/>
      <c r="D218" s="17"/>
      <c r="E218" s="17"/>
      <c r="F218" s="17"/>
      <c r="G218" s="17"/>
      <c r="H218" s="17"/>
      <c r="I218" s="17"/>
      <c r="J218" s="46"/>
      <c r="K218" s="46"/>
      <c r="L218" s="46"/>
      <c r="M218" s="46"/>
      <c r="N218" s="46"/>
      <c r="O218" s="12"/>
      <c r="P218" s="12"/>
    </row>
    <row r="219" spans="1:17" ht="18" customHeight="1" x14ac:dyDescent="0.25">
      <c r="A219" s="15" t="s">
        <v>149</v>
      </c>
      <c r="B219" s="21"/>
      <c r="C219" s="68"/>
      <c r="D219" s="68"/>
      <c r="E219" s="68"/>
      <c r="F219" s="68"/>
      <c r="G219" s="68"/>
      <c r="H219" s="68"/>
      <c r="I219" s="68"/>
      <c r="J219" s="68"/>
      <c r="K219" s="68"/>
      <c r="L219" s="68"/>
      <c r="M219" s="68"/>
      <c r="N219" s="68"/>
      <c r="O219" s="12"/>
      <c r="P219" s="12"/>
    </row>
    <row r="220" spans="1:17" ht="18" customHeight="1" x14ac:dyDescent="0.25">
      <c r="A220" s="35" t="s">
        <v>97</v>
      </c>
      <c r="B220" s="21" t="s">
        <v>15</v>
      </c>
      <c r="C220" s="17"/>
      <c r="D220" s="17"/>
      <c r="E220" s="17"/>
      <c r="F220" s="17"/>
      <c r="G220" s="17"/>
      <c r="H220" s="17"/>
      <c r="I220" s="17"/>
      <c r="K220" s="46">
        <f>J223</f>
        <v>47701.611070005878</v>
      </c>
      <c r="L220" s="46">
        <f>K223</f>
        <v>45989.586270008796</v>
      </c>
      <c r="M220" s="46">
        <f>L223</f>
        <v>44277.561470011715</v>
      </c>
      <c r="N220" s="46">
        <f>M223</f>
        <v>42565.536670014633</v>
      </c>
      <c r="O220" s="138"/>
      <c r="P220" s="12"/>
    </row>
    <row r="221" spans="1:17" ht="26.25" x14ac:dyDescent="0.25">
      <c r="A221" s="35" t="s">
        <v>111</v>
      </c>
      <c r="B221" s="21" t="s">
        <v>15</v>
      </c>
      <c r="C221" s="17"/>
      <c r="D221" s="17"/>
      <c r="E221" s="17"/>
      <c r="F221" s="17"/>
      <c r="G221" s="17"/>
      <c r="H221" s="17"/>
      <c r="I221" s="17"/>
      <c r="J221" s="122">
        <f>J$52+J$54</f>
        <v>47701.611070005878</v>
      </c>
      <c r="K221" s="46"/>
      <c r="L221" s="46"/>
      <c r="M221" s="46"/>
      <c r="N221" s="46"/>
      <c r="O221" s="138"/>
      <c r="P221" s="12"/>
    </row>
    <row r="222" spans="1:17" ht="18" customHeight="1" x14ac:dyDescent="0.25">
      <c r="A222" s="35" t="s">
        <v>3</v>
      </c>
      <c r="B222" s="21" t="s">
        <v>15</v>
      </c>
      <c r="C222" s="81"/>
      <c r="D222" s="81"/>
      <c r="E222" s="81"/>
      <c r="F222" s="81"/>
      <c r="G222" s="81"/>
      <c r="H222" s="81"/>
      <c r="I222" s="81"/>
      <c r="J222" s="90"/>
      <c r="K222" s="122">
        <f>K220*K$151</f>
        <v>-1712.0247999970813</v>
      </c>
      <c r="L222" s="90">
        <f>IF(L220+K222&lt;0,-L220,K222)</f>
        <v>-1712.0247999970813</v>
      </c>
      <c r="M222" s="90">
        <f>IF(M220+L222&lt;0,-M220,L222)</f>
        <v>-1712.0247999970813</v>
      </c>
      <c r="N222" s="122">
        <f>IF(N220+M222&lt;0,-N220,M222*N$146)</f>
        <v>-862.45739411215038</v>
      </c>
      <c r="O222" s="138"/>
      <c r="P222" s="12"/>
    </row>
    <row r="223" spans="1:17" ht="18" customHeight="1" x14ac:dyDescent="0.25">
      <c r="A223" s="35" t="s">
        <v>99</v>
      </c>
      <c r="B223" s="21" t="s">
        <v>15</v>
      </c>
      <c r="C223" s="46"/>
      <c r="D223" s="46"/>
      <c r="E223" s="46"/>
      <c r="F223" s="46"/>
      <c r="G223" s="46"/>
      <c r="H223" s="46"/>
      <c r="I223" s="46"/>
      <c r="J223" s="12">
        <f>SUM(J220:J222)</f>
        <v>47701.611070005878</v>
      </c>
      <c r="K223" s="46">
        <f t="shared" ref="K223:N223" si="95">SUM(K220:K222)</f>
        <v>45989.586270008796</v>
      </c>
      <c r="L223" s="46">
        <f t="shared" si="95"/>
        <v>44277.561470011715</v>
      </c>
      <c r="M223" s="46">
        <f t="shared" si="95"/>
        <v>42565.536670014633</v>
      </c>
      <c r="N223" s="46">
        <f t="shared" si="95"/>
        <v>41703.079275902484</v>
      </c>
      <c r="O223" s="138"/>
      <c r="P223" s="12"/>
    </row>
    <row r="224" spans="1:17" ht="18" customHeight="1" x14ac:dyDescent="0.25">
      <c r="A224" s="35" t="s">
        <v>173</v>
      </c>
      <c r="B224" s="21" t="s">
        <v>15</v>
      </c>
      <c r="C224" s="17"/>
      <c r="D224" s="17"/>
      <c r="E224" s="17"/>
      <c r="F224" s="17"/>
      <c r="G224" s="17"/>
      <c r="H224" s="17"/>
      <c r="I224" s="17"/>
      <c r="J224" s="148">
        <f>J221*'Model inputs'!J$48*((1+J$149)^(J$147)-1)</f>
        <v>288.15783934970136</v>
      </c>
      <c r="K224" s="134">
        <f>K220*'Model inputs'!K$48*((1+$J$149)^K$146-1)</f>
        <v>587.24500478636753</v>
      </c>
      <c r="L224" s="134">
        <f>L220*'Model inputs'!L$48*((1+$J$149)^L$146-1)</f>
        <v>567.752314198411</v>
      </c>
      <c r="M224" s="134">
        <f>M220*'Model inputs'!M$48*((1+$J$149)^M$146-1)</f>
        <v>545.09221416496916</v>
      </c>
      <c r="N224" s="134">
        <f>N220*'Model inputs'!N$48*((1+$J$149)^N$146-1)</f>
        <v>261.43830064298794</v>
      </c>
      <c r="O224" s="138"/>
      <c r="P224" s="12"/>
    </row>
    <row r="225" spans="1:17" ht="18" customHeight="1" x14ac:dyDescent="0.25">
      <c r="A225" s="35" t="s">
        <v>93</v>
      </c>
      <c r="B225" s="21" t="s">
        <v>15</v>
      </c>
      <c r="C225" s="101"/>
      <c r="D225" s="101"/>
      <c r="E225" s="101"/>
      <c r="F225" s="101"/>
      <c r="G225" s="101"/>
      <c r="H225" s="101"/>
      <c r="I225" s="101"/>
      <c r="J225" s="149">
        <f>-(((1+J$149)^(J$147)-1)*'Model inputs'!J$102)</f>
        <v>0</v>
      </c>
      <c r="K225" s="135">
        <f>-(((1+$J$149)^(K$146)-1)*'Model inputs'!$J$102)</f>
        <v>0</v>
      </c>
      <c r="L225" s="135">
        <f>-(((1+$J$149)^(L$146)-1)*'Model inputs'!$J$102)</f>
        <v>0</v>
      </c>
      <c r="M225" s="135">
        <f>-(((1+$J$149)^(M$146)-1)*'Model inputs'!$J$102)</f>
        <v>0</v>
      </c>
      <c r="N225" s="135">
        <f>-(((1+$J$149)^(N$146)-1)*'Model inputs'!$J$102)</f>
        <v>0</v>
      </c>
      <c r="O225" s="138"/>
      <c r="P225" s="12"/>
      <c r="Q225" s="12"/>
    </row>
    <row r="226" spans="1:17" ht="18" customHeight="1" x14ac:dyDescent="0.25">
      <c r="A226" s="35" t="s">
        <v>115</v>
      </c>
      <c r="B226" s="21" t="s">
        <v>15</v>
      </c>
      <c r="C226" s="100"/>
      <c r="D226" s="100"/>
      <c r="E226" s="100"/>
      <c r="F226" s="100"/>
      <c r="G226" s="100"/>
      <c r="H226" s="100"/>
      <c r="I226" s="12"/>
      <c r="J226" s="46">
        <f t="shared" ref="J226:K226" si="96">SUM(J224:J225)</f>
        <v>288.15783934970136</v>
      </c>
      <c r="K226" s="46">
        <f t="shared" si="96"/>
        <v>587.24500478636753</v>
      </c>
      <c r="L226" s="46">
        <f t="shared" ref="L226:N226" si="97">SUM(L224:L225)</f>
        <v>567.752314198411</v>
      </c>
      <c r="M226" s="46">
        <f t="shared" si="97"/>
        <v>545.09221416496916</v>
      </c>
      <c r="N226" s="46">
        <f t="shared" si="97"/>
        <v>261.43830064298794</v>
      </c>
      <c r="O226" s="138"/>
      <c r="P226" s="12"/>
    </row>
    <row r="227" spans="1:17" ht="18" customHeight="1" x14ac:dyDescent="0.25">
      <c r="A227" s="35"/>
      <c r="B227" s="21"/>
      <c r="C227" s="17"/>
      <c r="D227" s="17"/>
      <c r="E227" s="17"/>
      <c r="F227" s="17"/>
      <c r="G227" s="17"/>
      <c r="H227" s="17"/>
      <c r="I227" s="17"/>
      <c r="J227" s="12"/>
      <c r="K227" s="12"/>
      <c r="L227" s="12"/>
      <c r="M227" s="12"/>
      <c r="N227" s="12"/>
      <c r="O227" s="138"/>
      <c r="P227" s="12"/>
    </row>
    <row r="228" spans="1:17" ht="18" customHeight="1" x14ac:dyDescent="0.25">
      <c r="A228" s="15" t="s">
        <v>150</v>
      </c>
      <c r="B228" s="21"/>
      <c r="C228" s="68"/>
      <c r="D228" s="68"/>
      <c r="E228" s="68"/>
      <c r="F228" s="68"/>
      <c r="G228" s="68"/>
      <c r="H228" s="68"/>
      <c r="I228" s="68"/>
      <c r="J228" s="68"/>
      <c r="K228" s="68"/>
      <c r="L228" s="68"/>
      <c r="M228" s="68"/>
      <c r="N228" s="68"/>
      <c r="O228" s="138"/>
      <c r="P228" s="12"/>
    </row>
    <row r="229" spans="1:17" ht="18" customHeight="1" x14ac:dyDescent="0.25">
      <c r="A229" s="35" t="s">
        <v>97</v>
      </c>
      <c r="B229" s="21" t="s">
        <v>15</v>
      </c>
      <c r="C229" s="17"/>
      <c r="D229" s="17"/>
      <c r="E229" s="17"/>
      <c r="F229" s="17"/>
      <c r="G229" s="17"/>
      <c r="H229" s="17"/>
      <c r="I229" s="17"/>
      <c r="J229" s="17"/>
      <c r="L229" s="46">
        <f>K232</f>
        <v>91498.40410969709</v>
      </c>
      <c r="M229" s="46">
        <f>L232</f>
        <v>86403.248389691726</v>
      </c>
      <c r="N229" s="46">
        <f>M232</f>
        <v>81308.092669686361</v>
      </c>
      <c r="O229" s="138"/>
      <c r="P229" s="12"/>
    </row>
    <row r="230" spans="1:17" ht="26.25" x14ac:dyDescent="0.25">
      <c r="A230" s="35" t="s">
        <v>112</v>
      </c>
      <c r="B230" s="21" t="s">
        <v>15</v>
      </c>
      <c r="C230" s="17"/>
      <c r="D230" s="17"/>
      <c r="E230" s="17"/>
      <c r="F230" s="17"/>
      <c r="G230" s="17"/>
      <c r="H230" s="17"/>
      <c r="I230" s="17"/>
      <c r="J230" s="17"/>
      <c r="K230" s="122">
        <f>K$52+K$54</f>
        <v>91498.40410969709</v>
      </c>
      <c r="L230" s="46"/>
      <c r="M230" s="46"/>
      <c r="N230" s="46"/>
      <c r="O230" s="138"/>
      <c r="P230" s="12"/>
    </row>
    <row r="231" spans="1:17" ht="18" customHeight="1" x14ac:dyDescent="0.25">
      <c r="A231" s="35" t="s">
        <v>3</v>
      </c>
      <c r="B231" s="21" t="s">
        <v>15</v>
      </c>
      <c r="C231" s="81"/>
      <c r="D231" s="81"/>
      <c r="E231" s="81"/>
      <c r="F231" s="81"/>
      <c r="G231" s="81"/>
      <c r="H231" s="81"/>
      <c r="I231" s="81"/>
      <c r="J231" s="81"/>
      <c r="K231" s="90"/>
      <c r="L231" s="150">
        <f>L229*L$151</f>
        <v>-5095.1557200053576</v>
      </c>
      <c r="M231" s="90">
        <f>IF(M229+L231&lt;0,-M229,L231)</f>
        <v>-5095.1557200053576</v>
      </c>
      <c r="N231" s="150">
        <f>IF(N229+M231&lt;0,-N229,M231*N$146)</f>
        <v>-2566.7588021382226</v>
      </c>
      <c r="O231" s="138"/>
      <c r="P231" s="12"/>
    </row>
    <row r="232" spans="1:17" ht="18" customHeight="1" x14ac:dyDescent="0.25">
      <c r="A232" s="35" t="s">
        <v>99</v>
      </c>
      <c r="B232" s="21" t="s">
        <v>15</v>
      </c>
      <c r="C232" s="46"/>
      <c r="D232" s="46"/>
      <c r="E232" s="46"/>
      <c r="F232" s="46"/>
      <c r="G232" s="46"/>
      <c r="H232" s="46"/>
      <c r="I232" s="46"/>
      <c r="J232" s="46"/>
      <c r="K232" s="116">
        <f>SUM(K229:K231)</f>
        <v>91498.40410969709</v>
      </c>
      <c r="L232" s="46">
        <f t="shared" ref="L232:N232" si="98">SUM(L229:L231)</f>
        <v>86403.248389691726</v>
      </c>
      <c r="M232" s="46">
        <f t="shared" si="98"/>
        <v>81308.092669686361</v>
      </c>
      <c r="N232" s="46">
        <f t="shared" si="98"/>
        <v>78741.333867548135</v>
      </c>
      <c r="O232" s="138"/>
      <c r="P232" s="12"/>
    </row>
    <row r="233" spans="1:17" ht="18" customHeight="1" x14ac:dyDescent="0.25">
      <c r="A233" s="35" t="s">
        <v>173</v>
      </c>
      <c r="B233" s="21" t="s">
        <v>15</v>
      </c>
      <c r="C233" s="17"/>
      <c r="D233" s="17"/>
      <c r="E233" s="17"/>
      <c r="F233" s="17"/>
      <c r="G233" s="17"/>
      <c r="H233" s="17"/>
      <c r="I233" s="17"/>
      <c r="J233" s="17"/>
      <c r="K233" s="148">
        <f>K230*'Model inputs'!K$48*((1+K$149)^(K$147)-1)</f>
        <v>528.40820145039447</v>
      </c>
      <c r="L233" s="134">
        <f>L229*'Model inputs'!L$48*((1+$K$149)^L$146-1)</f>
        <v>1079.3696178948674</v>
      </c>
      <c r="M233" s="134">
        <f>M229*'Model inputs'!M$48*((1+$K$149)^M$146-1)</f>
        <v>1016.4235207071856</v>
      </c>
      <c r="N233" s="134">
        <f>N229*'Model inputs'!N$48*((1+$K$149)^N$146-1)</f>
        <v>477.41961232764686</v>
      </c>
      <c r="O233" s="138"/>
      <c r="P233" s="12"/>
    </row>
    <row r="234" spans="1:17" ht="18" customHeight="1" x14ac:dyDescent="0.25">
      <c r="A234" s="35" t="s">
        <v>93</v>
      </c>
      <c r="B234" s="21" t="s">
        <v>15</v>
      </c>
      <c r="C234" s="101"/>
      <c r="D234" s="101"/>
      <c r="E234" s="101"/>
      <c r="F234" s="101"/>
      <c r="G234" s="101"/>
      <c r="H234" s="101"/>
      <c r="I234" s="101"/>
      <c r="J234" s="101"/>
      <c r="K234" s="149">
        <f>-(((1+K$149)^(K$147)-1)*'Model inputs'!K$102)</f>
        <v>0</v>
      </c>
      <c r="L234" s="135">
        <f>-(((1+$K$149)^(L$146)-1)*'Model inputs'!$K$102)</f>
        <v>0</v>
      </c>
      <c r="M234" s="135">
        <f>-(((1+$K$149)^(M$146)-1)*'Model inputs'!$K$102)</f>
        <v>0</v>
      </c>
      <c r="N234" s="135">
        <f>-(((1+$K$149)^(N$146)-1)*'Model inputs'!$K$102)</f>
        <v>0</v>
      </c>
      <c r="O234" s="138"/>
      <c r="P234" s="12"/>
      <c r="Q234" s="12"/>
    </row>
    <row r="235" spans="1:17" ht="18" customHeight="1" x14ac:dyDescent="0.25">
      <c r="A235" s="35" t="s">
        <v>115</v>
      </c>
      <c r="B235" s="21" t="s">
        <v>15</v>
      </c>
      <c r="C235" s="100"/>
      <c r="D235" s="100"/>
      <c r="E235" s="100"/>
      <c r="F235" s="100"/>
      <c r="G235" s="100"/>
      <c r="H235" s="100"/>
      <c r="I235" s="100"/>
      <c r="J235" s="100"/>
      <c r="K235" s="12">
        <f t="shared" ref="K235:L235" si="99">SUM(K233:K234)</f>
        <v>528.40820145039447</v>
      </c>
      <c r="L235" s="12">
        <f t="shared" si="99"/>
        <v>1079.3696178948674</v>
      </c>
      <c r="M235" s="12">
        <f t="shared" ref="M235:N235" si="100">SUM(M233:M234)</f>
        <v>1016.4235207071856</v>
      </c>
      <c r="N235" s="12">
        <f t="shared" si="100"/>
        <v>477.41961232764686</v>
      </c>
      <c r="O235" s="138"/>
      <c r="P235" s="12"/>
    </row>
    <row r="236" spans="1:17" ht="18" customHeight="1" x14ac:dyDescent="0.25">
      <c r="A236" s="35"/>
      <c r="B236" s="21"/>
      <c r="C236" s="17"/>
      <c r="D236" s="17"/>
      <c r="E236" s="17"/>
      <c r="F236" s="17"/>
      <c r="G236" s="17"/>
      <c r="H236" s="17"/>
      <c r="I236" s="17"/>
      <c r="J236" s="17"/>
      <c r="K236" s="17"/>
      <c r="L236" s="17"/>
      <c r="M236" s="17"/>
      <c r="N236" s="17"/>
      <c r="O236" s="138"/>
      <c r="P236" s="12"/>
    </row>
    <row r="237" spans="1:17" ht="18" customHeight="1" x14ac:dyDescent="0.25">
      <c r="A237" s="15" t="s">
        <v>151</v>
      </c>
      <c r="B237" s="21"/>
      <c r="C237" s="68"/>
      <c r="D237" s="68"/>
      <c r="E237" s="68"/>
      <c r="F237" s="68"/>
      <c r="G237" s="68"/>
      <c r="H237" s="68"/>
      <c r="I237" s="68"/>
      <c r="J237" s="68"/>
      <c r="K237" s="68"/>
      <c r="L237" s="68"/>
      <c r="M237" s="68"/>
      <c r="N237" s="68"/>
      <c r="O237" s="138"/>
      <c r="P237" s="12"/>
    </row>
    <row r="238" spans="1:17" ht="18" customHeight="1" x14ac:dyDescent="0.25">
      <c r="A238" s="35" t="s">
        <v>97</v>
      </c>
      <c r="B238" s="21" t="s">
        <v>15</v>
      </c>
      <c r="C238" s="17"/>
      <c r="D238" s="17"/>
      <c r="E238" s="17"/>
      <c r="F238" s="17"/>
      <c r="G238" s="17"/>
      <c r="H238" s="17"/>
      <c r="I238" s="17"/>
      <c r="J238" s="17"/>
      <c r="K238" s="17"/>
      <c r="L238" s="46"/>
      <c r="M238" s="46">
        <f>L241</f>
        <v>85077.7088193253</v>
      </c>
      <c r="N238" s="46">
        <f>M241</f>
        <v>84458.398429325811</v>
      </c>
      <c r="O238" s="138"/>
      <c r="P238" s="12"/>
    </row>
    <row r="239" spans="1:17" ht="26.25" x14ac:dyDescent="0.25">
      <c r="A239" s="35" t="s">
        <v>113</v>
      </c>
      <c r="B239" s="21" t="s">
        <v>15</v>
      </c>
      <c r="C239" s="17"/>
      <c r="D239" s="17"/>
      <c r="E239" s="17"/>
      <c r="F239" s="17"/>
      <c r="G239" s="17"/>
      <c r="H239" s="17"/>
      <c r="I239" s="17"/>
      <c r="J239" s="17"/>
      <c r="K239" s="17"/>
      <c r="L239" s="122">
        <f>L$52+L$54</f>
        <v>85077.7088193253</v>
      </c>
      <c r="M239" s="98"/>
      <c r="N239" s="98"/>
      <c r="O239" s="138"/>
      <c r="P239" s="12"/>
    </row>
    <row r="240" spans="1:17" ht="18" customHeight="1" x14ac:dyDescent="0.25">
      <c r="A240" s="35" t="s">
        <v>3</v>
      </c>
      <c r="B240" s="21" t="s">
        <v>15</v>
      </c>
      <c r="C240" s="81"/>
      <c r="D240" s="81"/>
      <c r="E240" s="81"/>
      <c r="F240" s="81"/>
      <c r="G240" s="81"/>
      <c r="H240" s="81"/>
      <c r="I240" s="81"/>
      <c r="J240" s="81"/>
      <c r="K240" s="81"/>
      <c r="L240" s="90"/>
      <c r="M240" s="150">
        <f>M238*M$151</f>
        <v>-619.31038999948214</v>
      </c>
      <c r="N240" s="150">
        <f>IF(N238+M240&lt;0,-N238,M240*N$146)</f>
        <v>-311.98661672800739</v>
      </c>
      <c r="O240" s="138"/>
      <c r="P240" s="12"/>
    </row>
    <row r="241" spans="1:17" ht="18" customHeight="1" x14ac:dyDescent="0.25">
      <c r="A241" s="35" t="s">
        <v>99</v>
      </c>
      <c r="B241" s="21" t="s">
        <v>15</v>
      </c>
      <c r="C241" s="46"/>
      <c r="D241" s="46"/>
      <c r="E241" s="46"/>
      <c r="F241" s="46"/>
      <c r="G241" s="46"/>
      <c r="H241" s="46"/>
      <c r="I241" s="46"/>
      <c r="J241" s="46"/>
      <c r="K241" s="46"/>
      <c r="L241" s="12">
        <f>SUM(L238:L240)</f>
        <v>85077.7088193253</v>
      </c>
      <c r="M241" s="46">
        <f t="shared" ref="M241:N241" si="101">SUM(M238:M240)</f>
        <v>84458.398429325811</v>
      </c>
      <c r="N241" s="46">
        <f t="shared" si="101"/>
        <v>84146.411812597798</v>
      </c>
      <c r="O241" s="138"/>
      <c r="P241" s="12"/>
    </row>
    <row r="242" spans="1:17" ht="18" customHeight="1" x14ac:dyDescent="0.25">
      <c r="A242" s="35" t="s">
        <v>173</v>
      </c>
      <c r="B242" s="21" t="s">
        <v>15</v>
      </c>
      <c r="C242" s="17"/>
      <c r="D242" s="17"/>
      <c r="E242" s="17"/>
      <c r="F242" s="17"/>
      <c r="G242" s="17"/>
      <c r="H242" s="17"/>
      <c r="I242" s="17"/>
      <c r="J242" s="17"/>
      <c r="K242" s="17"/>
      <c r="L242" s="148">
        <f>L239*'Model inputs'!L$48*((1+L$149)^(L$147)-1)</f>
        <v>361.21387254003298</v>
      </c>
      <c r="M242" s="134">
        <f>M238*'Model inputs'!M$48*((1+$L$149)^M$146-1)</f>
        <v>729.744531266124</v>
      </c>
      <c r="N242" s="134">
        <f>N238*'Model inputs'!N$48*((1+$L$149)^N$146-1)</f>
        <v>362.5539814058011</v>
      </c>
      <c r="O242" s="138"/>
      <c r="P242" s="12"/>
    </row>
    <row r="243" spans="1:17" ht="18" customHeight="1" x14ac:dyDescent="0.25">
      <c r="A243" s="35" t="s">
        <v>93</v>
      </c>
      <c r="B243" s="21" t="s">
        <v>15</v>
      </c>
      <c r="C243" s="101"/>
      <c r="D243" s="101"/>
      <c r="E243" s="101"/>
      <c r="F243" s="101"/>
      <c r="G243" s="101"/>
      <c r="H243" s="101"/>
      <c r="I243" s="101"/>
      <c r="J243" s="101"/>
      <c r="K243" s="101"/>
      <c r="L243" s="149">
        <f>-(((1+L$149)^(L$147)-1)*'Model inputs'!L$102)</f>
        <v>0</v>
      </c>
      <c r="M243" s="135">
        <f>-(((1+$L$149)^(M$146)-1)*'Model inputs'!$L$102)</f>
        <v>0</v>
      </c>
      <c r="N243" s="135">
        <f>-(((1+$L$149)^(N$146)-1)*'Model inputs'!$L$102)</f>
        <v>0</v>
      </c>
      <c r="O243" s="138"/>
      <c r="P243" s="12"/>
      <c r="Q243" s="12"/>
    </row>
    <row r="244" spans="1:17" ht="18" customHeight="1" x14ac:dyDescent="0.25">
      <c r="A244" s="35" t="s">
        <v>115</v>
      </c>
      <c r="B244" s="21" t="s">
        <v>15</v>
      </c>
      <c r="C244" s="100"/>
      <c r="D244" s="100"/>
      <c r="E244" s="100"/>
      <c r="F244" s="100"/>
      <c r="G244" s="100"/>
      <c r="H244" s="100"/>
      <c r="I244" s="100"/>
      <c r="J244" s="100"/>
      <c r="K244" s="100"/>
      <c r="L244" s="12">
        <f t="shared" ref="L244:N244" si="102">SUM(L242:L243)</f>
        <v>361.21387254003298</v>
      </c>
      <c r="M244" s="46">
        <f t="shared" si="102"/>
        <v>729.744531266124</v>
      </c>
      <c r="N244" s="46">
        <f t="shared" si="102"/>
        <v>362.5539814058011</v>
      </c>
      <c r="O244" s="138"/>
      <c r="P244" s="12"/>
    </row>
    <row r="245" spans="1:17" ht="18" customHeight="1" x14ac:dyDescent="0.25">
      <c r="A245" s="35"/>
      <c r="B245" s="21"/>
      <c r="C245" s="17"/>
      <c r="D245" s="17"/>
      <c r="E245" s="17"/>
      <c r="F245" s="17"/>
      <c r="G245" s="17"/>
      <c r="H245" s="17"/>
      <c r="I245" s="17"/>
      <c r="J245" s="17"/>
      <c r="K245" s="17"/>
      <c r="L245" s="17"/>
      <c r="M245" s="46"/>
      <c r="N245" s="46"/>
      <c r="O245" s="138"/>
      <c r="P245" s="12"/>
    </row>
    <row r="246" spans="1:17" ht="18" customHeight="1" x14ac:dyDescent="0.25">
      <c r="A246" s="15" t="s">
        <v>152</v>
      </c>
      <c r="B246" s="21"/>
      <c r="C246" s="68"/>
      <c r="D246" s="68"/>
      <c r="E246" s="68"/>
      <c r="F246" s="68"/>
      <c r="G246" s="68"/>
      <c r="H246" s="68"/>
      <c r="I246" s="68"/>
      <c r="J246" s="68"/>
      <c r="K246" s="68"/>
      <c r="L246" s="68"/>
      <c r="M246" s="68"/>
      <c r="N246" s="68"/>
      <c r="O246" s="138"/>
      <c r="P246" s="12"/>
    </row>
    <row r="247" spans="1:17" ht="18" customHeight="1" x14ac:dyDescent="0.25">
      <c r="A247" s="35" t="s">
        <v>97</v>
      </c>
      <c r="B247" s="21" t="s">
        <v>15</v>
      </c>
      <c r="C247" s="17"/>
      <c r="D247" s="17"/>
      <c r="E247" s="17"/>
      <c r="F247" s="17"/>
      <c r="G247" s="17"/>
      <c r="H247" s="17"/>
      <c r="I247" s="17"/>
      <c r="J247" s="17"/>
      <c r="K247" s="17"/>
      <c r="L247" s="17"/>
      <c r="N247" s="46">
        <f>M250</f>
        <v>44399.719847293374</v>
      </c>
      <c r="O247" s="138"/>
      <c r="P247" s="12"/>
    </row>
    <row r="248" spans="1:17" ht="26.25" x14ac:dyDescent="0.25">
      <c r="A248" s="35" t="s">
        <v>114</v>
      </c>
      <c r="B248" s="21" t="s">
        <v>15</v>
      </c>
      <c r="C248" s="17"/>
      <c r="D248" s="17"/>
      <c r="E248" s="17"/>
      <c r="F248" s="17"/>
      <c r="G248" s="17"/>
      <c r="H248" s="17"/>
      <c r="I248" s="17"/>
      <c r="J248" s="17"/>
      <c r="K248" s="17"/>
      <c r="L248" s="17"/>
      <c r="M248" s="122">
        <f>M$52+M$54</f>
        <v>44399.719847293374</v>
      </c>
      <c r="N248" s="46"/>
      <c r="O248" s="138"/>
      <c r="P248" s="12"/>
    </row>
    <row r="249" spans="1:17" ht="18" customHeight="1" x14ac:dyDescent="0.25">
      <c r="A249" s="35" t="s">
        <v>3</v>
      </c>
      <c r="B249" s="21" t="s">
        <v>15</v>
      </c>
      <c r="C249" s="81"/>
      <c r="D249" s="81"/>
      <c r="E249" s="81"/>
      <c r="F249" s="81"/>
      <c r="G249" s="81"/>
      <c r="H249" s="81"/>
      <c r="I249" s="81"/>
      <c r="J249" s="81"/>
      <c r="K249" s="81"/>
      <c r="L249" s="81"/>
      <c r="M249" s="90"/>
      <c r="N249" s="150">
        <f>N247*N$151</f>
        <v>-1213.7515704672478</v>
      </c>
      <c r="O249" s="138"/>
      <c r="P249" s="12"/>
    </row>
    <row r="250" spans="1:17" ht="18" customHeight="1" x14ac:dyDescent="0.25">
      <c r="A250" s="35" t="s">
        <v>99</v>
      </c>
      <c r="B250" s="21" t="s">
        <v>15</v>
      </c>
      <c r="C250" s="46"/>
      <c r="D250" s="46"/>
      <c r="E250" s="46"/>
      <c r="F250" s="46"/>
      <c r="G250" s="46"/>
      <c r="H250" s="46"/>
      <c r="I250" s="46"/>
      <c r="J250" s="46"/>
      <c r="K250" s="46"/>
      <c r="L250" s="46"/>
      <c r="M250" s="12">
        <f>SUM(M247:M249)</f>
        <v>44399.719847293374</v>
      </c>
      <c r="N250" s="46">
        <f t="shared" ref="N250" si="103">SUM(N247:N249)</f>
        <v>43185.968276826126</v>
      </c>
      <c r="O250" s="138"/>
      <c r="P250" s="12"/>
    </row>
    <row r="251" spans="1:17" ht="18" customHeight="1" x14ac:dyDescent="0.25">
      <c r="A251" s="35" t="s">
        <v>173</v>
      </c>
      <c r="B251" s="21" t="s">
        <v>15</v>
      </c>
      <c r="C251" s="17"/>
      <c r="D251" s="17"/>
      <c r="E251" s="17"/>
      <c r="F251" s="17"/>
      <c r="G251" s="17"/>
      <c r="H251" s="17"/>
      <c r="I251" s="17"/>
      <c r="J251" s="17"/>
      <c r="K251" s="17"/>
      <c r="L251" s="17"/>
      <c r="M251" s="148">
        <f>M248*'Model inputs'!M$48*((1+M$149)^(M$147)-1)</f>
        <v>127.2803135149852</v>
      </c>
      <c r="N251" s="134">
        <f>N247*'Model inputs'!N$48*((1+$M$149)^N$146-1)</f>
        <v>129.40049755412102</v>
      </c>
      <c r="O251" s="138"/>
      <c r="P251" s="12"/>
    </row>
    <row r="252" spans="1:17" ht="18" customHeight="1" x14ac:dyDescent="0.25">
      <c r="A252" s="35" t="s">
        <v>93</v>
      </c>
      <c r="B252" s="21" t="s">
        <v>15</v>
      </c>
      <c r="C252" s="101"/>
      <c r="D252" s="101"/>
      <c r="E252" s="101"/>
      <c r="F252" s="101"/>
      <c r="G252" s="101"/>
      <c r="H252" s="101"/>
      <c r="I252" s="101"/>
      <c r="J252" s="101"/>
      <c r="K252" s="101"/>
      <c r="L252" s="101"/>
      <c r="M252" s="149">
        <f>-(((1+M$149)^(M$147)-1)*'Model inputs'!M$102)</f>
        <v>0</v>
      </c>
      <c r="N252" s="135">
        <f>-(((1+$M$149)^(N$146)-1)*'Model inputs'!$M$102)</f>
        <v>0</v>
      </c>
      <c r="O252" s="138"/>
      <c r="P252" s="12"/>
      <c r="Q252" s="12"/>
    </row>
    <row r="253" spans="1:17" ht="18" customHeight="1" x14ac:dyDescent="0.25">
      <c r="A253" s="35" t="s">
        <v>115</v>
      </c>
      <c r="B253" s="21" t="s">
        <v>15</v>
      </c>
      <c r="C253" s="100"/>
      <c r="D253" s="100"/>
      <c r="E253" s="100"/>
      <c r="F253" s="100"/>
      <c r="G253" s="100"/>
      <c r="H253" s="100"/>
      <c r="I253" s="100"/>
      <c r="J253" s="100"/>
      <c r="K253" s="100"/>
      <c r="L253" s="100"/>
      <c r="M253" s="46">
        <f t="shared" ref="M253:N253" si="104">SUM(M251:M252)</f>
        <v>127.2803135149852</v>
      </c>
      <c r="N253" s="46">
        <f t="shared" si="104"/>
        <v>129.40049755412102</v>
      </c>
      <c r="O253" s="138"/>
      <c r="P253" s="12"/>
    </row>
    <row r="254" spans="1:17" x14ac:dyDescent="0.25">
      <c r="A254" s="35"/>
      <c r="B254" s="21"/>
      <c r="C254" s="17"/>
      <c r="D254" s="17"/>
      <c r="E254" s="17"/>
      <c r="F254" s="17"/>
      <c r="G254" s="17"/>
      <c r="H254" s="17"/>
      <c r="I254" s="17"/>
      <c r="J254" s="17"/>
      <c r="K254" s="17"/>
      <c r="L254" s="17"/>
      <c r="M254" s="46"/>
      <c r="N254" s="46"/>
      <c r="O254" s="138"/>
      <c r="P254" s="12"/>
    </row>
    <row r="255" spans="1:17" ht="26.25" x14ac:dyDescent="0.25">
      <c r="A255" s="15" t="s">
        <v>153</v>
      </c>
      <c r="B255" s="21"/>
      <c r="C255" s="68"/>
      <c r="D255" s="68"/>
      <c r="E255" s="68"/>
      <c r="F255" s="68"/>
      <c r="G255" s="68"/>
      <c r="H255" s="68"/>
      <c r="I255" s="68"/>
      <c r="J255" s="68"/>
      <c r="K255" s="68"/>
      <c r="L255" s="68"/>
      <c r="M255" s="68"/>
      <c r="N255" s="68"/>
      <c r="O255" s="138"/>
      <c r="P255" s="12"/>
    </row>
    <row r="256" spans="1:17" ht="18" customHeight="1" x14ac:dyDescent="0.25">
      <c r="A256" s="35" t="s">
        <v>97</v>
      </c>
      <c r="B256" s="21" t="s">
        <v>15</v>
      </c>
      <c r="C256" s="17"/>
      <c r="D256" s="17"/>
      <c r="E256" s="17"/>
      <c r="F256" s="17"/>
      <c r="G256" s="17"/>
      <c r="H256" s="17"/>
      <c r="I256" s="17"/>
      <c r="J256" s="17"/>
      <c r="K256" s="17"/>
      <c r="L256" s="17"/>
      <c r="M256" s="17"/>
      <c r="N256" s="99"/>
      <c r="O256" s="138"/>
      <c r="P256" s="12"/>
    </row>
    <row r="257" spans="1:17" ht="26.25" x14ac:dyDescent="0.25">
      <c r="A257" s="35" t="s">
        <v>105</v>
      </c>
      <c r="B257" s="21" t="s">
        <v>15</v>
      </c>
      <c r="C257" s="17"/>
      <c r="D257" s="17"/>
      <c r="E257" s="17"/>
      <c r="F257" s="17"/>
      <c r="G257" s="17"/>
      <c r="H257" s="17"/>
      <c r="I257" s="17"/>
      <c r="J257" s="17"/>
      <c r="K257" s="17"/>
      <c r="L257" s="17"/>
      <c r="M257" s="17"/>
      <c r="N257" s="113">
        <f>N$52+N$54</f>
        <v>17681.592660153015</v>
      </c>
      <c r="O257" s="138"/>
      <c r="P257" s="12"/>
    </row>
    <row r="258" spans="1:17" ht="18" customHeight="1" x14ac:dyDescent="0.25">
      <c r="A258" s="35" t="s">
        <v>3</v>
      </c>
      <c r="B258" s="21" t="s">
        <v>15</v>
      </c>
      <c r="C258" s="81"/>
      <c r="D258" s="81"/>
      <c r="E258" s="81"/>
      <c r="F258" s="81"/>
      <c r="G258" s="81"/>
      <c r="H258" s="81"/>
      <c r="I258" s="81"/>
      <c r="J258" s="81"/>
      <c r="K258" s="81"/>
      <c r="L258" s="81"/>
      <c r="M258" s="81"/>
      <c r="N258" s="90"/>
      <c r="O258" s="138"/>
      <c r="P258" s="12"/>
    </row>
    <row r="259" spans="1:17" ht="18" customHeight="1" x14ac:dyDescent="0.25">
      <c r="A259" s="35" t="s">
        <v>99</v>
      </c>
      <c r="B259" s="21" t="s">
        <v>15</v>
      </c>
      <c r="C259" s="46"/>
      <c r="D259" s="46"/>
      <c r="E259" s="46"/>
      <c r="F259" s="46"/>
      <c r="G259" s="46"/>
      <c r="H259" s="46"/>
      <c r="I259" s="46"/>
      <c r="J259" s="46"/>
      <c r="K259" s="46"/>
      <c r="L259" s="46"/>
      <c r="M259" s="46"/>
      <c r="N259" s="12">
        <f>SUM(N256:N258)</f>
        <v>17681.592660153015</v>
      </c>
      <c r="O259" s="138"/>
      <c r="P259" s="12"/>
    </row>
    <row r="260" spans="1:17" ht="18" customHeight="1" x14ac:dyDescent="0.25">
      <c r="A260" s="35" t="s">
        <v>173</v>
      </c>
      <c r="B260" s="21" t="s">
        <v>15</v>
      </c>
      <c r="C260" s="17"/>
      <c r="D260" s="17"/>
      <c r="E260" s="17"/>
      <c r="F260" s="17"/>
      <c r="G260" s="17"/>
      <c r="H260" s="17"/>
      <c r="I260" s="17"/>
      <c r="J260" s="17"/>
      <c r="K260" s="17"/>
      <c r="L260" s="17"/>
      <c r="M260" s="17"/>
      <c r="N260" s="148">
        <f>N257*'Model inputs'!N$48*((1+N$149)^(N$147)-1)</f>
        <v>34.054880345073016</v>
      </c>
      <c r="O260" s="138"/>
      <c r="P260" s="12"/>
    </row>
    <row r="261" spans="1:17" ht="18" customHeight="1" x14ac:dyDescent="0.25">
      <c r="A261" s="35" t="s">
        <v>93</v>
      </c>
      <c r="B261" s="21" t="s">
        <v>15</v>
      </c>
      <c r="C261" s="101"/>
      <c r="D261" s="101"/>
      <c r="E261" s="101"/>
      <c r="F261" s="101"/>
      <c r="G261" s="101"/>
      <c r="H261" s="101"/>
      <c r="I261" s="101"/>
      <c r="J261" s="101"/>
      <c r="K261" s="101"/>
      <c r="L261" s="101"/>
      <c r="M261" s="101"/>
      <c r="N261" s="149">
        <f>-(((1+N$149)^(N$147)-1)*'Model inputs'!N$102)</f>
        <v>0</v>
      </c>
      <c r="O261" s="138"/>
      <c r="P261" s="12"/>
      <c r="Q261" s="12"/>
    </row>
    <row r="262" spans="1:17" ht="18" customHeight="1" x14ac:dyDescent="0.25">
      <c r="A262" s="35" t="s">
        <v>115</v>
      </c>
      <c r="B262" s="21" t="s">
        <v>15</v>
      </c>
      <c r="C262" s="100"/>
      <c r="D262" s="100"/>
      <c r="E262" s="100"/>
      <c r="F262" s="100"/>
      <c r="G262" s="100"/>
      <c r="H262" s="100"/>
      <c r="I262" s="100"/>
      <c r="J262" s="100"/>
      <c r="K262" s="100"/>
      <c r="L262" s="100"/>
      <c r="M262" s="100"/>
      <c r="N262" s="12">
        <f t="shared" ref="N262" si="105">SUM(N260:N261)</f>
        <v>34.054880345073016</v>
      </c>
      <c r="O262" s="138"/>
    </row>
    <row r="263" spans="1:17" ht="18" customHeight="1" x14ac:dyDescent="0.25">
      <c r="A263" s="15"/>
      <c r="B263" s="21"/>
      <c r="C263" s="17"/>
      <c r="D263" s="17"/>
      <c r="E263" s="17"/>
      <c r="F263" s="17"/>
      <c r="G263" s="17"/>
      <c r="H263" s="17"/>
      <c r="I263" s="17"/>
      <c r="J263" s="17"/>
      <c r="K263" s="17"/>
      <c r="L263" s="17"/>
      <c r="M263" s="17"/>
      <c r="N263" s="17"/>
      <c r="O263" s="138"/>
    </row>
    <row r="264" spans="1:17" ht="18" customHeight="1" x14ac:dyDescent="0.25">
      <c r="A264" s="35" t="s">
        <v>98</v>
      </c>
      <c r="B264" s="21" t="s">
        <v>15</v>
      </c>
      <c r="C264" s="17"/>
      <c r="D264" s="17">
        <f>SUM(D258,D249,D240,D231,D222,D213,D204,D195,D186,D177,D168,D159)</f>
        <v>-213.61006999999998</v>
      </c>
      <c r="E264" s="17">
        <f t="shared" ref="E264:N264" si="106">SUM(E258,E249,E240,E231,E222,E213,E204,E195,E186,E177,E168,E159)</f>
        <v>-2702.2073299999993</v>
      </c>
      <c r="F264" s="17">
        <f t="shared" si="106"/>
        <v>-4962.2337200000084</v>
      </c>
      <c r="G264" s="17">
        <f t="shared" si="106"/>
        <v>-7721.4352699999336</v>
      </c>
      <c r="H264" s="17">
        <f t="shared" si="106"/>
        <v>-11908.04024999895</v>
      </c>
      <c r="I264" s="17">
        <f t="shared" si="106"/>
        <v>-16440.877469998952</v>
      </c>
      <c r="J264" s="17">
        <f t="shared" si="106"/>
        <v>-19101.822690002129</v>
      </c>
      <c r="K264" s="17">
        <f t="shared" si="106"/>
        <v>-20813.847489999211</v>
      </c>
      <c r="L264" s="17">
        <f t="shared" si="106"/>
        <v>-25909.003210004568</v>
      </c>
      <c r="M264" s="17">
        <f t="shared" si="106"/>
        <v>-26528.31360000405</v>
      </c>
      <c r="N264" s="17">
        <f t="shared" si="106"/>
        <v>-14199.683609986041</v>
      </c>
      <c r="O264" s="138"/>
    </row>
    <row r="265" spans="1:17" ht="18" customHeight="1" x14ac:dyDescent="0.25">
      <c r="A265" s="35" t="s">
        <v>165</v>
      </c>
      <c r="B265" s="21" t="s">
        <v>15</v>
      </c>
      <c r="C265" s="17"/>
      <c r="D265" s="17">
        <f t="shared" ref="D265:N265" si="107">D53</f>
        <v>-213.61006999999998</v>
      </c>
      <c r="E265" s="17">
        <f t="shared" si="107"/>
        <v>-2702.2073299999993</v>
      </c>
      <c r="F265" s="17">
        <f t="shared" si="107"/>
        <v>-4962.2337200000084</v>
      </c>
      <c r="G265" s="17">
        <f t="shared" si="107"/>
        <v>-7721.4352699999336</v>
      </c>
      <c r="H265" s="17">
        <f t="shared" si="107"/>
        <v>-11908.040249998949</v>
      </c>
      <c r="I265" s="17">
        <f t="shared" si="107"/>
        <v>-16440.877469998952</v>
      </c>
      <c r="J265" s="17">
        <f t="shared" si="107"/>
        <v>-19101.822690002129</v>
      </c>
      <c r="K265" s="17">
        <f t="shared" si="107"/>
        <v>-20813.847489999211</v>
      </c>
      <c r="L265" s="17">
        <f t="shared" si="107"/>
        <v>-25909.003210004568</v>
      </c>
      <c r="M265" s="17">
        <f t="shared" si="107"/>
        <v>-26528.31360000405</v>
      </c>
      <c r="N265" s="17">
        <f t="shared" si="107"/>
        <v>-14199.683609986043</v>
      </c>
      <c r="O265" s="138"/>
    </row>
    <row r="266" spans="1:17" ht="18" customHeight="1" x14ac:dyDescent="0.25">
      <c r="A266" s="35"/>
      <c r="B266" s="21"/>
      <c r="C266" s="17"/>
      <c r="D266" s="17"/>
      <c r="E266" s="17"/>
      <c r="F266" s="17"/>
      <c r="G266" s="17"/>
      <c r="H266" s="17"/>
      <c r="I266" s="17"/>
      <c r="J266" s="17"/>
      <c r="K266" s="17"/>
      <c r="L266" s="17"/>
      <c r="M266" s="17"/>
      <c r="N266" s="17"/>
      <c r="O266" s="138"/>
    </row>
    <row r="267" spans="1:17" ht="18" customHeight="1" x14ac:dyDescent="0.25">
      <c r="A267" s="71" t="s">
        <v>154</v>
      </c>
      <c r="B267" s="21"/>
      <c r="C267" s="17"/>
      <c r="D267" s="17">
        <f t="shared" ref="D267:N267" si="108">SUM(D260,D251,D242,D233,D224,D215,D206,D197,D188,D179,D170,D161)</f>
        <v>125.45097452249269</v>
      </c>
      <c r="E267" s="17">
        <f t="shared" si="108"/>
        <v>924.89726218851695</v>
      </c>
      <c r="F267" s="17">
        <f t="shared" si="108"/>
        <v>1913.6098482022367</v>
      </c>
      <c r="G267" s="17">
        <f t="shared" si="108"/>
        <v>2960.7381993756403</v>
      </c>
      <c r="H267" s="17">
        <f t="shared" si="108"/>
        <v>3994.5181279356425</v>
      </c>
      <c r="I267" s="17">
        <f t="shared" si="108"/>
        <v>5040.1892064300846</v>
      </c>
      <c r="J267" s="17">
        <f t="shared" si="108"/>
        <v>5789.4844515413988</v>
      </c>
      <c r="K267" s="17">
        <f t="shared" si="108"/>
        <v>6312.0821528035976</v>
      </c>
      <c r="L267" s="17">
        <f t="shared" si="108"/>
        <v>6913.6197582280302</v>
      </c>
      <c r="M267" s="17">
        <f t="shared" si="108"/>
        <v>7005.1741949703764</v>
      </c>
      <c r="N267" s="17">
        <f t="shared" si="108"/>
        <v>3395.7934638096222</v>
      </c>
      <c r="O267" s="138"/>
    </row>
    <row r="268" spans="1:17" ht="18" customHeight="1" x14ac:dyDescent="0.25">
      <c r="A268" s="15" t="s">
        <v>175</v>
      </c>
      <c r="B268" s="21" t="s">
        <v>15</v>
      </c>
      <c r="C268" s="17"/>
      <c r="D268" s="17">
        <f t="shared" ref="D268:N268" si="109">SUM(D261,D252,D243,D234,D225,D216,D207,D198,D189,D180,D171,D162)</f>
        <v>-195.22129865058577</v>
      </c>
      <c r="E268" s="17">
        <f t="shared" si="109"/>
        <v>-1374.8117858345254</v>
      </c>
      <c r="F268" s="17">
        <f t="shared" si="109"/>
        <v>-2740.9165645573694</v>
      </c>
      <c r="G268" s="17">
        <f t="shared" si="109"/>
        <v>-3916.0353525846608</v>
      </c>
      <c r="H268" s="17">
        <f t="shared" si="109"/>
        <v>-4311.1832976733158</v>
      </c>
      <c r="I268" s="17">
        <f t="shared" si="109"/>
        <v>-2533.4246169158041</v>
      </c>
      <c r="J268" s="17">
        <f t="shared" si="109"/>
        <v>-831.68871199318744</v>
      </c>
      <c r="K268" s="17">
        <f t="shared" si="109"/>
        <v>-831.68871199318744</v>
      </c>
      <c r="L268" s="17">
        <f t="shared" si="109"/>
        <v>-834.08818899996697</v>
      </c>
      <c r="M268" s="17">
        <f t="shared" si="109"/>
        <v>-831.68871199318744</v>
      </c>
      <c r="N268" s="17">
        <f t="shared" si="109"/>
        <v>-408.40796424454987</v>
      </c>
      <c r="O268" s="138"/>
    </row>
    <row r="269" spans="1:17" ht="18" customHeight="1" x14ac:dyDescent="0.25">
      <c r="A269" s="15"/>
      <c r="B269" s="21"/>
      <c r="C269" s="17"/>
    </row>
    <row r="270" spans="1:17" ht="18" customHeight="1" x14ac:dyDescent="0.25">
      <c r="A270" s="15" t="s">
        <v>155</v>
      </c>
      <c r="B270" s="21" t="s">
        <v>15</v>
      </c>
      <c r="C270" s="17"/>
      <c r="D270" s="17">
        <f>SUM(D262,D253,D244,D235,D226,D217,D208,D199,D190,D181,D172,D163)</f>
        <v>-69.77032412809308</v>
      </c>
      <c r="E270" s="17">
        <f t="shared" ref="E270:N270" si="110">SUM(E262,E253,E244,E235,E226,E217,E208,E199,E190,E181,E172,E163)</f>
        <v>-449.91452364600849</v>
      </c>
      <c r="F270" s="17">
        <f t="shared" si="110"/>
        <v>-827.30671635513249</v>
      </c>
      <c r="G270" s="17">
        <f t="shared" si="110"/>
        <v>-955.29715320902039</v>
      </c>
      <c r="H270" s="17">
        <f t="shared" si="110"/>
        <v>-316.66516973767369</v>
      </c>
      <c r="I270" s="17">
        <f t="shared" si="110"/>
        <v>2506.7645895142809</v>
      </c>
      <c r="J270" s="17">
        <f t="shared" si="110"/>
        <v>4957.7957395482117</v>
      </c>
      <c r="K270" s="17">
        <f t="shared" si="110"/>
        <v>5480.3934408104105</v>
      </c>
      <c r="L270" s="17">
        <f t="shared" si="110"/>
        <v>6079.5315692280637</v>
      </c>
      <c r="M270" s="17">
        <f t="shared" si="110"/>
        <v>6173.4854829771893</v>
      </c>
      <c r="N270" s="17">
        <f t="shared" si="110"/>
        <v>2987.3854995650713</v>
      </c>
    </row>
    <row r="271" spans="1:17" ht="18" customHeight="1" x14ac:dyDescent="0.25">
      <c r="B271" s="117"/>
      <c r="C271" s="117"/>
    </row>
    <row r="272" spans="1:17" ht="30" customHeight="1" x14ac:dyDescent="0.3">
      <c r="A272" s="28" t="s">
        <v>177</v>
      </c>
      <c r="B272" s="41"/>
      <c r="C272" s="41"/>
      <c r="D272" s="62" t="s">
        <v>64</v>
      </c>
      <c r="E272" s="62" t="s">
        <v>42</v>
      </c>
      <c r="F272" s="62" t="s">
        <v>42</v>
      </c>
      <c r="G272" s="62" t="s">
        <v>42</v>
      </c>
      <c r="H272" s="62" t="s">
        <v>42</v>
      </c>
      <c r="I272" s="62" t="s">
        <v>42</v>
      </c>
      <c r="J272" s="62" t="s">
        <v>42</v>
      </c>
      <c r="K272" s="62" t="s">
        <v>42</v>
      </c>
      <c r="L272" s="62" t="s">
        <v>42</v>
      </c>
      <c r="M272" s="62" t="s">
        <v>42</v>
      </c>
      <c r="N272" s="62" t="s">
        <v>65</v>
      </c>
    </row>
    <row r="273" spans="1:14" ht="18" customHeight="1" x14ac:dyDescent="0.25">
      <c r="A273"/>
      <c r="B273" s="21"/>
      <c r="C273" s="21"/>
      <c r="D273" s="63">
        <f t="shared" ref="D273:N273" si="111">D40</f>
        <v>41090</v>
      </c>
      <c r="E273" s="63">
        <f t="shared" si="111"/>
        <v>41455</v>
      </c>
      <c r="F273" s="63">
        <f t="shared" si="111"/>
        <v>41820</v>
      </c>
      <c r="G273" s="63">
        <f t="shared" si="111"/>
        <v>42185</v>
      </c>
      <c r="H273" s="63">
        <f t="shared" si="111"/>
        <v>42551</v>
      </c>
      <c r="I273" s="63">
        <f t="shared" si="111"/>
        <v>42916</v>
      </c>
      <c r="J273" s="63">
        <f t="shared" si="111"/>
        <v>43281</v>
      </c>
      <c r="K273" s="63">
        <f t="shared" si="111"/>
        <v>43646</v>
      </c>
      <c r="L273" s="63">
        <f t="shared" si="111"/>
        <v>44012</v>
      </c>
      <c r="M273" s="63">
        <f t="shared" si="111"/>
        <v>44377</v>
      </c>
      <c r="N273" s="63">
        <f t="shared" si="111"/>
        <v>44561</v>
      </c>
    </row>
    <row r="274" spans="1:14" ht="18" customHeight="1" x14ac:dyDescent="0.25">
      <c r="A274" s="112" t="s">
        <v>136</v>
      </c>
      <c r="B274" s="21"/>
      <c r="C274" s="21"/>
    </row>
    <row r="275" spans="1:14" ht="18" customHeight="1" x14ac:dyDescent="0.25">
      <c r="A275" s="108" t="s">
        <v>174</v>
      </c>
      <c r="B275" s="21" t="s">
        <v>15</v>
      </c>
      <c r="C275" s="21"/>
      <c r="D275" s="17">
        <f t="shared" ref="D275:N275" si="112">SUM(D26:D28)</f>
        <v>23173.382969999999</v>
      </c>
      <c r="E275" s="17">
        <f t="shared" si="112"/>
        <v>74638.055339999948</v>
      </c>
      <c r="F275" s="17">
        <f t="shared" si="112"/>
        <v>67645.945570000171</v>
      </c>
      <c r="G275" s="17">
        <f t="shared" si="112"/>
        <v>88207.600999998453</v>
      </c>
      <c r="H275" s="17">
        <f t="shared" si="112"/>
        <v>96357.319619989954</v>
      </c>
      <c r="I275" s="17">
        <f t="shared" si="112"/>
        <v>127305.81377000245</v>
      </c>
      <c r="J275" s="17">
        <f t="shared" si="112"/>
        <v>71489.700470005875</v>
      </c>
      <c r="K275" s="17">
        <f t="shared" si="112"/>
        <v>117430.81129969709</v>
      </c>
      <c r="L275" s="17">
        <f t="shared" si="112"/>
        <v>113260.4654793253</v>
      </c>
      <c r="M275" s="17">
        <f t="shared" si="112"/>
        <v>75623.983327293376</v>
      </c>
      <c r="N275" s="17">
        <f t="shared" si="112"/>
        <v>36612.78988015301</v>
      </c>
    </row>
    <row r="276" spans="1:14" ht="26.25" x14ac:dyDescent="0.25">
      <c r="A276" s="111" t="s">
        <v>139</v>
      </c>
      <c r="B276" s="159" t="s">
        <v>164</v>
      </c>
      <c r="C276" s="161" t="s">
        <v>174</v>
      </c>
    </row>
    <row r="277" spans="1:14" ht="18" customHeight="1" x14ac:dyDescent="0.25">
      <c r="A277" s="15"/>
      <c r="B277" s="136" cm="1">
        <f t="array" ref="B277:B288">TRANSPOSE('Model inputs'!C50:N50)</f>
        <v>7.0499999999999993E-2</v>
      </c>
      <c r="C277" s="17">
        <f>C22</f>
        <v>1057.95234</v>
      </c>
      <c r="D277" s="122">
        <f>SUM($C277:C277)*((1+$B277)^D$146-1)</f>
        <v>42.876838755995436</v>
      </c>
      <c r="E277" s="122">
        <f>SUM($C277:D277)*((1+$B277)^E$146-1)</f>
        <v>77.553508321193391</v>
      </c>
      <c r="F277" s="122">
        <f>SUM($C277:E277)*((1+$B277)^F$146-1)</f>
        <v>83.017159511582648</v>
      </c>
      <c r="G277" s="122">
        <f>SUM($C277:F277)*((1+$B277)^G$146-1)</f>
        <v>88.865725388314758</v>
      </c>
      <c r="H277" s="122">
        <f>SUM($C277:G277)*((1+$B277)^H$146-1)</f>
        <v>95.395940485114068</v>
      </c>
      <c r="I277" s="122">
        <f>SUM($C277:H277)*((1+$B277)^I$146-1)</f>
        <v>101.84697526192427</v>
      </c>
      <c r="J277" s="122">
        <f>SUM($C277:I277)*((1+$B277)^J$146-1)</f>
        <v>109.02210324353346</v>
      </c>
      <c r="K277" s="122">
        <f>SUM($C277:J277)*((1+$B277)^K$146-1)</f>
        <v>116.70271959551469</v>
      </c>
      <c r="L277" s="122">
        <f>SUM($C277:K277)*((1+$B277)^L$146-1)</f>
        <v>125.27851029558562</v>
      </c>
      <c r="M277" s="122">
        <f>SUM($C277:L277)*((1+$B277)^M$146-1)</f>
        <v>133.75031761352813</v>
      </c>
      <c r="N277" s="122">
        <f>SUM($C277:M277)*((1+$B277)^N$146-1)</f>
        <v>70.956599813785019</v>
      </c>
    </row>
    <row r="278" spans="1:14" ht="18" customHeight="1" x14ac:dyDescent="0.25">
      <c r="A278" s="15"/>
      <c r="B278" s="136">
        <v>7.1800000000000003E-2</v>
      </c>
      <c r="C278" s="17" cm="1">
        <f t="array" ref="C278:C288">TRANSPOSE(D275:N275)</f>
        <v>23173.382969999999</v>
      </c>
      <c r="D278" s="122">
        <f>SUM($C278:C278)*((1+$B278)^(D$147)-1)</f>
        <v>466.55702961054243</v>
      </c>
      <c r="E278" s="17">
        <f>SUM($C278:D278)*((1+$B278)^(E$146)-1)</f>
        <v>1696.1452055830994</v>
      </c>
      <c r="F278" s="17">
        <f>SUM($C278:E278)*((1+$B278)^(F$146)-1)</f>
        <v>1817.8421539877877</v>
      </c>
      <c r="G278" s="17">
        <f>SUM($C278:F278)*((1+$B278)^(G$146)-1)</f>
        <v>1948.270752962406</v>
      </c>
      <c r="H278" s="17">
        <f>SUM($C278:G278)*((1+$B278)^(H$146)-1)</f>
        <v>2093.9792467712464</v>
      </c>
      <c r="I278" s="17">
        <f>SUM($C278:H278)*((1+$B278)^(I$146)-1)</f>
        <v>2238.2986869135698</v>
      </c>
      <c r="J278" s="17">
        <f>SUM($C278:I278)*((1+$B278)^(J$146)-1)</f>
        <v>2398.8946777043225</v>
      </c>
      <c r="K278" s="17">
        <f>SUM($C278:J278)*((1+$B278)^(K$146)-1)</f>
        <v>2571.0132916413304</v>
      </c>
      <c r="L278" s="17">
        <f>SUM($C278:K278)*((1+$B278)^(L$146)-1)</f>
        <v>2763.2958446273296</v>
      </c>
      <c r="M278" s="17">
        <f>SUM($C278:L278)*((1+$B278)^(M$146)-1)</f>
        <v>2953.7453487755392</v>
      </c>
      <c r="N278" s="17">
        <f>SUM($C278:M278)*((1+$B278)^(N$146)-1)</f>
        <v>1568.4291276627923</v>
      </c>
    </row>
    <row r="279" spans="1:14" ht="18" customHeight="1" x14ac:dyDescent="0.25">
      <c r="A279" s="15"/>
      <c r="B279" s="136">
        <v>6.5100000000000005E-2</v>
      </c>
      <c r="C279" s="17">
        <v>74638.055339999948</v>
      </c>
      <c r="D279" s="17"/>
      <c r="E279" s="122">
        <f>SUM($C279:D279)*((1+$B279)^(E$147)-1)</f>
        <v>2369.555187689105</v>
      </c>
      <c r="F279" s="17">
        <f>SUM($C279:E279)*((1+$B279)^(F$146)-1)</f>
        <v>5009.654833953422</v>
      </c>
      <c r="G279" s="17">
        <f>SUM($C279:F279)*((1+$B279)^(G$146)-1)</f>
        <v>5335.5530326298904</v>
      </c>
      <c r="H279" s="17">
        <f>SUM($C279:G279)*((1+$B279)^(H$146)-1)</f>
        <v>5698.7182899240343</v>
      </c>
      <c r="I279" s="17">
        <f>SUM($C279:H279)*((1+$B279)^(I$146)-1)</f>
        <v>6053.3767683801379</v>
      </c>
      <c r="J279" s="17">
        <f>SUM($C279:I279)*((1+$B279)^(J$146)-1)</f>
        <v>6447.1732773440544</v>
      </c>
      <c r="K279" s="17">
        <f>SUM($C279:J279)*((1+$B279)^(K$146)-1)</f>
        <v>6866.5878332932853</v>
      </c>
      <c r="L279" s="17">
        <f>SUM($C279:K279)*((1+$B279)^(L$146)-1)</f>
        <v>7333.96321536903</v>
      </c>
      <c r="M279" s="17">
        <f>SUM($C279:L279)*((1+$B279)^(M$146)-1)</f>
        <v>7790.3908018343536</v>
      </c>
      <c r="N279" s="17">
        <f>SUM($C279:M279)*((1+$B279)^(N$146)-1)</f>
        <v>4117.3289214205151</v>
      </c>
    </row>
    <row r="280" spans="1:14" ht="18" customHeight="1" x14ac:dyDescent="0.25">
      <c r="A280" s="15"/>
      <c r="B280" s="136">
        <v>7.5600000000000001E-2</v>
      </c>
      <c r="C280" s="17">
        <v>67645.945570000171</v>
      </c>
      <c r="D280" s="17"/>
      <c r="E280" s="17"/>
      <c r="F280" s="122">
        <f>SUM($C280:E280)*((1+$B280)^(F$147)-1)</f>
        <v>2487.6902660984088</v>
      </c>
      <c r="G280" s="17">
        <f>SUM($C280:F280)*((1+$B280)^(G$146)-1)</f>
        <v>5298.3400236677517</v>
      </c>
      <c r="H280" s="17">
        <f>SUM($C280:G280)*((1+$B280)^(H$146)-1)</f>
        <v>5714.7999306896418</v>
      </c>
      <c r="I280" s="17">
        <f>SUM($C280:H280)*((1+$B280)^(I$146)-1)</f>
        <v>6130.342521624546</v>
      </c>
      <c r="J280" s="17">
        <f>SUM($C280:I280)*((1+$B280)^(J$146)-1)</f>
        <v>6593.4675080008765</v>
      </c>
      <c r="K280" s="17">
        <f>SUM($C280:J280)*((1+$B280)^(K$146)-1)</f>
        <v>7091.5798955296686</v>
      </c>
      <c r="L280" s="17">
        <f>SUM($C280:K280)*((1+$B280)^(L$146)-1)</f>
        <v>7648.991970016752</v>
      </c>
      <c r="M280" s="17">
        <f>SUM($C280:L280)*((1+$B280)^(M$146)-1)</f>
        <v>8205.1762598974783</v>
      </c>
      <c r="N280" s="17">
        <f>SUM($C280:M280)*((1+$B280)^(N$146)-1)</f>
        <v>4368.4576255625698</v>
      </c>
    </row>
    <row r="281" spans="1:14" ht="18" customHeight="1" x14ac:dyDescent="0.25">
      <c r="A281" s="15"/>
      <c r="B281" s="136">
        <v>7.0000000000000007E-2</v>
      </c>
      <c r="C281" s="17">
        <v>88207.600999998453</v>
      </c>
      <c r="D281" s="17"/>
      <c r="E281" s="17"/>
      <c r="F281" s="17"/>
      <c r="G281" s="122">
        <f>SUM($C281:F281)*((1+$B281)^(G$147)-1)</f>
        <v>3007.5897853215956</v>
      </c>
      <c r="H281" s="17">
        <f>SUM($C281:G281)*((1+$B281)^(H$146)-1)</f>
        <v>6398.6238478215309</v>
      </c>
      <c r="I281" s="17">
        <f>SUM($C281:H281)*((1+$B281)^(I$146)-1)</f>
        <v>6828.1302245543739</v>
      </c>
      <c r="J281" s="17">
        <f>SUM($C281:I281)*((1+$B281)^(J$146)-1)</f>
        <v>7305.7610039547671</v>
      </c>
      <c r="K281" s="17">
        <f>SUM($C281:J281)*((1+$B281)^(K$146)-1)</f>
        <v>7816.802271135587</v>
      </c>
      <c r="L281" s="17">
        <f>SUM($C281:K281)*((1+$B281)^(L$146)-1)</f>
        <v>8387.2906092153135</v>
      </c>
      <c r="M281" s="17">
        <f>SUM($C281:L281)*((1+$B281)^(M$146)-1)</f>
        <v>8950.2858541062797</v>
      </c>
      <c r="N281" s="17">
        <f>SUM($C281:M281)*((1+$B281)^(N$146)-1)</f>
        <v>4746.6067479427211</v>
      </c>
    </row>
    <row r="282" spans="1:14" ht="18" customHeight="1" x14ac:dyDescent="0.25">
      <c r="A282" s="15"/>
      <c r="B282" s="136">
        <v>6.4000000000000001E-2</v>
      </c>
      <c r="C282" s="17">
        <v>96357.319619989954</v>
      </c>
      <c r="D282" s="17"/>
      <c r="E282" s="17"/>
      <c r="F282" s="17"/>
      <c r="G282" s="17"/>
      <c r="H282" s="122">
        <f>SUM($C282:G282)*((1+$B282)^(H$147)-1)</f>
        <v>3025.0673228815431</v>
      </c>
      <c r="I282" s="17">
        <f>SUM($C282:H282)*((1+$B282)^(I$146)-1)</f>
        <v>6355.9829215146865</v>
      </c>
      <c r="J282" s="17">
        <f>SUM($C282:I282)*((1+$B282)^(J$146)-1)</f>
        <v>6762.4786813902156</v>
      </c>
      <c r="K282" s="17">
        <f>SUM($C282:J282)*((1+$B282)^(K$146)-1)</f>
        <v>7194.9718054558616</v>
      </c>
      <c r="L282" s="17">
        <f>SUM($C282:K282)*((1+$B282)^(L$146)-1)</f>
        <v>7676.7565360657518</v>
      </c>
      <c r="M282" s="17">
        <f>SUM($C282:L282)*((1+$B282)^(M$146)-1)</f>
        <v>8146.0905525478711</v>
      </c>
      <c r="N282" s="17">
        <f>SUM($C282:M282)*((1+$B282)^(N$146)-1)</f>
        <v>4301.9963293092351</v>
      </c>
    </row>
    <row r="283" spans="1:14" ht="18" customHeight="1" x14ac:dyDescent="0.25">
      <c r="A283" s="15"/>
      <c r="B283" s="136">
        <v>6.2600000000000003E-2</v>
      </c>
      <c r="C283" s="17">
        <v>127305.81377000245</v>
      </c>
      <c r="D283" s="17"/>
      <c r="E283" s="17"/>
      <c r="F283" s="17"/>
      <c r="G283" s="17"/>
      <c r="H283" s="17"/>
      <c r="I283" s="122">
        <f>SUM($C283:H283)*((1+$B283)^(I$147)-1)</f>
        <v>3888.7451185019781</v>
      </c>
      <c r="J283" s="17">
        <f>SUM($C283:I283)*((1+$B283)^(J$146)-1)</f>
        <v>8206.9857783826374</v>
      </c>
      <c r="K283" s="17">
        <f>SUM($C283:J283)*((1+$B283)^(K$146)-1)</f>
        <v>8720.3806640944458</v>
      </c>
      <c r="L283" s="17">
        <f>SUM($C283:K283)*((1+$B283)^(L$146)-1)</f>
        <v>9292.0575403011953</v>
      </c>
      <c r="M283" s="17">
        <f>SUM($C283:L283)*((1+$B283)^(M$146)-1)</f>
        <v>9847.1638586863992</v>
      </c>
      <c r="N283" s="17">
        <f>SUM($C283:M283)*((1+$B283)^(N$146)-1)</f>
        <v>5195.2254906417566</v>
      </c>
    </row>
    <row r="284" spans="1:14" ht="18" customHeight="1" x14ac:dyDescent="0.25">
      <c r="A284" s="15"/>
      <c r="B284" s="136">
        <v>5.8900000000000001E-2</v>
      </c>
      <c r="C284" s="17">
        <v>71489.700470005875</v>
      </c>
      <c r="D284" s="17"/>
      <c r="E284" s="17"/>
      <c r="F284" s="17"/>
      <c r="G284" s="17"/>
      <c r="H284" s="17"/>
      <c r="I284" s="17"/>
      <c r="J284" s="122">
        <f>SUM($C284:I284)*((1+$B284)^(J$147)-1)</f>
        <v>2056.5221073736816</v>
      </c>
      <c r="K284" s="17">
        <f>SUM($C284:J284)*((1+$B284)^(K$146)-1)</f>
        <v>4328.8219106155757</v>
      </c>
      <c r="L284" s="17">
        <f>SUM($C284:K284)*((1+$B284)^(L$146)-1)</f>
        <v>4596.5313384205465</v>
      </c>
      <c r="M284" s="17">
        <f>SUM($C284:L284)*((1+$B284)^(M$146)-1)</f>
        <v>4854.1550052386401</v>
      </c>
      <c r="N284" s="17">
        <f>SUM($C284:M284)*((1+$B284)^(N$146)-1)</f>
        <v>2554.3119919754258</v>
      </c>
    </row>
    <row r="285" spans="1:14" ht="18" customHeight="1" x14ac:dyDescent="0.25">
      <c r="A285" s="15"/>
      <c r="B285" s="136">
        <v>5.6899999999999999E-2</v>
      </c>
      <c r="C285" s="17">
        <v>117430.81129969709</v>
      </c>
      <c r="D285" s="17"/>
      <c r="E285" s="17"/>
      <c r="F285" s="17"/>
      <c r="G285" s="17"/>
      <c r="H285" s="17"/>
      <c r="I285" s="17"/>
      <c r="J285" s="17"/>
      <c r="K285" s="122">
        <f>SUM($C285:J285)*((1+$B285)^(K$147)-1)</f>
        <v>3264.9680231512357</v>
      </c>
      <c r="L285" s="17">
        <f>SUM($C285:K285)*((1+$B285)^(L$146)-1)</f>
        <v>6882.086291277481</v>
      </c>
      <c r="M285" s="17">
        <f>SUM($C285:L285)*((1+$B285)^(M$146)-1)</f>
        <v>7254.0732614321041</v>
      </c>
      <c r="N285" s="17">
        <f>SUM($C285:M285)*((1+$B285)^(N$146)-1)</f>
        <v>3811.7820044117257</v>
      </c>
    </row>
    <row r="286" spans="1:14" ht="18" customHeight="1" x14ac:dyDescent="0.25">
      <c r="A286" s="15"/>
      <c r="B286" s="136">
        <v>4.99E-2</v>
      </c>
      <c r="C286" s="17">
        <v>113260.4654793253</v>
      </c>
      <c r="D286" s="17"/>
      <c r="E286" s="17"/>
      <c r="F286" s="17"/>
      <c r="G286" s="17"/>
      <c r="H286" s="17"/>
      <c r="I286" s="17"/>
      <c r="J286" s="17"/>
      <c r="K286" s="17"/>
      <c r="L286" s="122">
        <f>SUM($C286:K286)*((1+$B286)^(L$147)-1)</f>
        <v>2781.7796123586995</v>
      </c>
      <c r="M286" s="17">
        <f>SUM($C286:L286)*((1+$B286)^(M$146)-1)</f>
        <v>5786.4474294670754</v>
      </c>
      <c r="N286" s="17">
        <f>SUM($C286:M286)*((1+$B286)^(N$146)-1)</f>
        <v>3025.5095727515313</v>
      </c>
    </row>
    <row r="287" spans="1:14" ht="18" customHeight="1" x14ac:dyDescent="0.25">
      <c r="A287" s="15"/>
      <c r="B287" s="136">
        <v>4.4499999999999998E-2</v>
      </c>
      <c r="C287" s="17">
        <v>75623.983327293376</v>
      </c>
      <c r="D287" s="17"/>
      <c r="E287" s="17"/>
      <c r="F287" s="17"/>
      <c r="G287" s="17"/>
      <c r="H287" s="17"/>
      <c r="I287" s="17"/>
      <c r="J287" s="17"/>
      <c r="K287" s="17"/>
      <c r="L287" s="17"/>
      <c r="M287" s="122">
        <f>SUM($C287:L287)*((1+$B287)^(M$147)-1)</f>
        <v>1649.3501324504587</v>
      </c>
      <c r="N287" s="17">
        <f>SUM($C287:M287)*((1+$B287)^(N$146)-1)</f>
        <v>1713.5632538784084</v>
      </c>
    </row>
    <row r="288" spans="1:14" ht="18" customHeight="1" x14ac:dyDescent="0.25">
      <c r="A288" s="15"/>
      <c r="B288" s="136">
        <v>5.2999999999999999E-2</v>
      </c>
      <c r="C288" s="81">
        <v>36612.78988015301</v>
      </c>
      <c r="D288" s="81"/>
      <c r="E288" s="81"/>
      <c r="F288" s="81"/>
      <c r="G288" s="81"/>
      <c r="H288" s="81"/>
      <c r="I288" s="81"/>
      <c r="J288" s="81"/>
      <c r="K288" s="81"/>
      <c r="L288" s="81"/>
      <c r="M288" s="81"/>
      <c r="N288" s="150">
        <f>SUM($C288:M288)*((1+$B288)^(N$147)-1)</f>
        <v>474.12664456140351</v>
      </c>
    </row>
    <row r="289" spans="1:14" ht="18" customHeight="1" x14ac:dyDescent="0.25">
      <c r="A289" s="35" t="s">
        <v>71</v>
      </c>
      <c r="B289" s="119"/>
      <c r="C289" s="46">
        <f>SUM(C277:C288)</f>
        <v>892803.82106646558</v>
      </c>
      <c r="D289" s="46">
        <f>SUM(D277:D288)</f>
        <v>509.43386836653787</v>
      </c>
      <c r="E289" s="46">
        <f>SUM(E277:E288)</f>
        <v>4143.253901593398</v>
      </c>
      <c r="F289" s="46">
        <f t="shared" ref="F289:N289" si="113">SUM(F277:F288)</f>
        <v>9398.2044135512006</v>
      </c>
      <c r="G289" s="46">
        <f t="shared" si="113"/>
        <v>15678.619319969957</v>
      </c>
      <c r="H289" s="46">
        <f t="shared" si="113"/>
        <v>23026.584578573111</v>
      </c>
      <c r="I289" s="46">
        <f t="shared" si="113"/>
        <v>31596.723216751216</v>
      </c>
      <c r="J289" s="46">
        <f t="shared" si="113"/>
        <v>39880.305137394091</v>
      </c>
      <c r="K289" s="46">
        <f t="shared" si="113"/>
        <v>47971.828414512507</v>
      </c>
      <c r="L289" s="46">
        <f t="shared" si="113"/>
        <v>57488.031467947687</v>
      </c>
      <c r="M289" s="46">
        <f t="shared" si="113"/>
        <v>65570.628822049723</v>
      </c>
      <c r="N289" s="46">
        <f t="shared" si="113"/>
        <v>35948.294309931865</v>
      </c>
    </row>
    <row r="290" spans="1:14" ht="18" customHeight="1" x14ac:dyDescent="0.25">
      <c r="A290" s="15"/>
      <c r="B290" s="21"/>
      <c r="C290" s="21"/>
      <c r="D290" s="21"/>
      <c r="E290" s="21"/>
      <c r="F290" s="21"/>
      <c r="G290" s="21"/>
      <c r="H290" s="21"/>
      <c r="I290" s="21"/>
      <c r="J290" s="21"/>
      <c r="K290" s="21"/>
      <c r="L290" s="21"/>
      <c r="M290" s="21"/>
      <c r="N290" s="21"/>
    </row>
    <row r="291" spans="1:14" ht="18" customHeight="1" x14ac:dyDescent="0.25">
      <c r="A291" s="15"/>
      <c r="B291" s="21"/>
      <c r="C291" s="21"/>
      <c r="D291" s="21"/>
      <c r="E291" s="21"/>
      <c r="F291" s="21"/>
      <c r="G291" s="21"/>
      <c r="H291" s="21"/>
      <c r="I291" s="21"/>
      <c r="J291" s="21"/>
      <c r="K291" s="21"/>
      <c r="L291" s="21"/>
      <c r="M291" s="21"/>
      <c r="N291" s="21"/>
    </row>
    <row r="292" spans="1:14" ht="26.25" x14ac:dyDescent="0.25">
      <c r="A292" s="24" t="s">
        <v>140</v>
      </c>
      <c r="B292" s="159" t="s">
        <v>164</v>
      </c>
      <c r="C292" s="160" t="s">
        <v>53</v>
      </c>
    </row>
    <row r="293" spans="1:14" ht="18" customHeight="1" x14ac:dyDescent="0.25">
      <c r="A293" s="15"/>
      <c r="B293" s="136" cm="1">
        <f t="array" ref="B293:B304">TRANSPOSE('Model inputs'!C50:N50)</f>
        <v>7.0499999999999993E-2</v>
      </c>
      <c r="C293" s="17">
        <v>0</v>
      </c>
      <c r="D293" s="122">
        <v>0</v>
      </c>
      <c r="E293" s="122">
        <v>0</v>
      </c>
      <c r="F293" s="122">
        <v>0</v>
      </c>
      <c r="G293" s="122">
        <v>0</v>
      </c>
      <c r="H293" s="122">
        <v>0</v>
      </c>
      <c r="I293" s="122">
        <v>0</v>
      </c>
      <c r="J293" s="122">
        <v>0</v>
      </c>
      <c r="K293" s="122">
        <v>0</v>
      </c>
      <c r="L293" s="122">
        <v>0</v>
      </c>
      <c r="M293" s="122">
        <v>0</v>
      </c>
      <c r="N293" s="122">
        <v>0</v>
      </c>
    </row>
    <row r="294" spans="1:14" ht="18" customHeight="1" x14ac:dyDescent="0.25">
      <c r="A294" s="15"/>
      <c r="B294" s="136">
        <v>7.1800000000000003E-2</v>
      </c>
      <c r="C294" s="17" cm="1">
        <f t="array" ref="C294:C304">-TRANSPOSE(D17:N17)</f>
        <v>-26.556290000000001</v>
      </c>
      <c r="D294" s="122">
        <f>SUM($C294:C294)*((1+$B294)^(D$148)-1)</f>
        <v>-0.36547839933737075</v>
      </c>
      <c r="E294" s="17">
        <f>SUM($C294:D294)*((1+$B294)^(E$146)-1)</f>
        <v>-1.9316135488121777</v>
      </c>
      <c r="F294" s="17">
        <f>SUM($C294:E294)*((1+$B294)^(F$146)-1)</f>
        <v>-2.0702051467566354</v>
      </c>
      <c r="G294" s="17">
        <f>SUM($C294:F294)*((1+$B294)^(G$146)-1)</f>
        <v>-2.2187405717324422</v>
      </c>
      <c r="H294" s="17">
        <f>SUM($C294:G294)*((1+$B294)^(H$146)-1)</f>
        <v>-2.3846771318168796</v>
      </c>
      <c r="I294" s="17">
        <f>SUM($C294:H294)*((1+$B294)^(I$146)-1)</f>
        <v>-2.5490318020528311</v>
      </c>
      <c r="J294" s="17">
        <f>SUM($C294:I294)*((1+$B294)^(J$146)-1)</f>
        <v>-2.7319226245338517</v>
      </c>
      <c r="K294" s="17">
        <f>SUM($C294:J294)*((1+$B294)^(K$146)-1)</f>
        <v>-2.9279357050113584</v>
      </c>
      <c r="L294" s="17">
        <f>SUM($C294:K294)*((1+$B294)^(L$146)-1)</f>
        <v>-3.1469119950868691</v>
      </c>
      <c r="M294" s="17">
        <f>SUM($C294:L294)*((1+$B294)^(M$146)-1)</f>
        <v>-3.3638007622551109</v>
      </c>
      <c r="N294" s="17">
        <f>SUM($C294:M294)*((1+$B294)^(N$146)-1)</f>
        <v>-1.7861672122013872</v>
      </c>
    </row>
    <row r="295" spans="1:14" ht="18" customHeight="1" x14ac:dyDescent="0.25">
      <c r="A295" s="15"/>
      <c r="B295" s="136">
        <v>6.5100000000000005E-2</v>
      </c>
      <c r="C295" s="17">
        <v>-453.41291999999999</v>
      </c>
      <c r="D295" s="17"/>
      <c r="E295" s="122">
        <f>SUM($C295:D295)*((1+$B295)^(E$148)-1)</f>
        <v>-11.736546899142585</v>
      </c>
      <c r="F295" s="17">
        <f>SUM($C295:E295)*((1+$B295)^(F$146)-1)</f>
        <v>-30.259843921845626</v>
      </c>
      <c r="G295" s="17">
        <f>SUM($C295:F295)*((1+$B295)^(G$146)-1)</f>
        <v>-32.228368491546995</v>
      </c>
      <c r="H295" s="17">
        <f>SUM($C295:G295)*((1+$B295)^(H$146)-1)</f>
        <v>-34.421997467554782</v>
      </c>
      <c r="I295" s="17">
        <f>SUM($C295:H295)*((1+$B295)^(I$146)-1)</f>
        <v>-36.56424290348869</v>
      </c>
      <c r="J295" s="17">
        <f>SUM($C295:I295)*((1+$B295)^(J$146)-1)</f>
        <v>-38.942893986883185</v>
      </c>
      <c r="K295" s="17">
        <f>SUM($C295:J295)*((1+$B295)^(K$146)-1)</f>
        <v>-41.476285891562242</v>
      </c>
      <c r="L295" s="17">
        <f>SUM($C295:K295)*((1+$B295)^(L$146)-1)</f>
        <v>-44.299375821565292</v>
      </c>
      <c r="M295" s="17">
        <f>SUM($C295:L295)*((1+$B295)^(M$146)-1)</f>
        <v>-47.056337725299073</v>
      </c>
      <c r="N295" s="17">
        <f>SUM($C295:M295)*((1+$B295)^(N$146)-1)</f>
        <v>-24.869923111801388</v>
      </c>
    </row>
    <row r="296" spans="1:14" ht="18" customHeight="1" x14ac:dyDescent="0.25">
      <c r="A296" s="15"/>
      <c r="B296" s="136">
        <v>7.5600000000000001E-2</v>
      </c>
      <c r="C296" s="17">
        <v>-2566.1678099999999</v>
      </c>
      <c r="D296" s="17"/>
      <c r="E296" s="17"/>
      <c r="F296" s="122">
        <f>SUM($C296:E296)*((1+$B296)^(F$148)-1)</f>
        <v>-76.910404746877091</v>
      </c>
      <c r="G296" s="17">
        <f>SUM($C296:F296)*((1+$B296)^(G$146)-1)</f>
        <v>-199.67490525665443</v>
      </c>
      <c r="H296" s="17">
        <f>SUM($C296:G296)*((1+$B296)^(H$146)-1)</f>
        <v>-215.36974403754229</v>
      </c>
      <c r="I296" s="17">
        <f>SUM($C296:H296)*((1+$B296)^(I$146)-1)</f>
        <v>-231.03001255643471</v>
      </c>
      <c r="J296" s="17">
        <f>SUM($C296:I296)*((1+$B296)^(J$146)-1)</f>
        <v>-248.48348616582905</v>
      </c>
      <c r="K296" s="17">
        <f>SUM($C296:J296)*((1+$B296)^(K$146)-1)</f>
        <v>-267.25550595744039</v>
      </c>
      <c r="L296" s="17">
        <f>SUM($C296:K296)*((1+$B296)^(L$146)-1)</f>
        <v>-288.26231236566258</v>
      </c>
      <c r="M296" s="17">
        <f>SUM($C296:L296)*((1+$B296)^(M$146)-1)</f>
        <v>-309.2228480978136</v>
      </c>
      <c r="N296" s="17">
        <f>SUM($C296:M296)*((1+$B296)^(N$146)-1)</f>
        <v>-164.63106531582883</v>
      </c>
    </row>
    <row r="297" spans="1:14" ht="18" customHeight="1" x14ac:dyDescent="0.25">
      <c r="A297" s="15"/>
      <c r="B297" s="136">
        <v>7.0000000000000007E-2</v>
      </c>
      <c r="C297" s="17">
        <v>-8329.7640800000008</v>
      </c>
      <c r="D297" s="17"/>
      <c r="E297" s="17"/>
      <c r="F297" s="17"/>
      <c r="G297" s="122">
        <f>SUM($C297:F297)*((1+$B297)^(G$148)-1)</f>
        <v>-231.523080598093</v>
      </c>
      <c r="H297" s="17">
        <f>SUM($C297:G297)*((1+$B297)^(H$146)-1)</f>
        <v>-600.56286373154728</v>
      </c>
      <c r="I297" s="17">
        <f>SUM($C297:H297)*((1+$B297)^(I$146)-1)</f>
        <v>-640.8755287258266</v>
      </c>
      <c r="J297" s="17">
        <f>SUM($C297:I297)*((1+$B297)^(J$146)-1)</f>
        <v>-685.70506012275212</v>
      </c>
      <c r="K297" s="17">
        <f>SUM($C297:J297)*((1+$B297)^(K$146)-1)</f>
        <v>-733.67043739799271</v>
      </c>
      <c r="L297" s="17">
        <f>SUM($C297:K297)*((1+$B297)^(L$146)-1)</f>
        <v>-787.21540553348598</v>
      </c>
      <c r="M297" s="17">
        <f>SUM($C297:L297)*((1+$B297)^(M$146)-1)</f>
        <v>-840.05708596045406</v>
      </c>
      <c r="N297" s="17">
        <f>SUM($C297:M297)*((1+$B297)^(N$146)-1)</f>
        <v>-445.50762935103478</v>
      </c>
    </row>
    <row r="298" spans="1:14" ht="18" customHeight="1" x14ac:dyDescent="0.25">
      <c r="A298" s="15"/>
      <c r="B298" s="136">
        <v>6.4000000000000001E-2</v>
      </c>
      <c r="C298" s="17">
        <v>-21610.296129999999</v>
      </c>
      <c r="D298" s="17"/>
      <c r="E298" s="17"/>
      <c r="F298" s="17"/>
      <c r="G298" s="17"/>
      <c r="H298" s="122">
        <f>SUM($C298:G298)*((1+$B298)^(H$148)-1)</f>
        <v>-553.86402172123826</v>
      </c>
      <c r="I298" s="17">
        <f>SUM($C298:H298)*((1+$B298)^(I$146)-1)</f>
        <v>-1417.5049294704149</v>
      </c>
      <c r="J298" s="17">
        <f>SUM($C298:I298)*((1+$B298)^(J$146)-1)</f>
        <v>-1508.1612056982731</v>
      </c>
      <c r="K298" s="17">
        <f>SUM($C298:J298)*((1+$B298)^(K$146)-1)</f>
        <v>-1604.6153879853166</v>
      </c>
      <c r="L298" s="17">
        <f>SUM($C298:K298)*((1+$B298)^(L$146)-1)</f>
        <v>-1712.0625348729213</v>
      </c>
      <c r="M298" s="17">
        <f>SUM($C298:L298)*((1+$B298)^(M$146)-1)</f>
        <v>-1816.7329359968141</v>
      </c>
      <c r="N298" s="17">
        <f>SUM($C298:M298)*((1+$B298)^(N$146)-1)</f>
        <v>-959.42690196943454</v>
      </c>
    </row>
    <row r="299" spans="1:14" ht="18" customHeight="1" x14ac:dyDescent="0.25">
      <c r="A299" s="15"/>
      <c r="B299" s="136">
        <v>6.2600000000000003E-2</v>
      </c>
      <c r="C299" s="17">
        <v>-38868.445209999998</v>
      </c>
      <c r="D299" s="17"/>
      <c r="E299" s="17"/>
      <c r="F299" s="17"/>
      <c r="G299" s="17"/>
      <c r="H299" s="17"/>
      <c r="I299" s="122">
        <f>SUM($C299:H299)*((1+$B299)^(I$148)-1)</f>
        <v>-968.15496589782617</v>
      </c>
      <c r="J299" s="17">
        <f>SUM($C299:I299)*((1+$B299)^(J$146)-1)</f>
        <v>-2492.011969646981</v>
      </c>
      <c r="K299" s="17">
        <f>SUM($C299:J299)*((1+$B299)^(K$146)-1)</f>
        <v>-2647.9018706285688</v>
      </c>
      <c r="L299" s="17">
        <f>SUM($C299:K299)*((1+$B299)^(L$146)-1)</f>
        <v>-2821.4888192047574</v>
      </c>
      <c r="M299" s="17">
        <f>SUM($C299:L299)*((1+$B299)^(M$146)-1)</f>
        <v>-2990.0441971714545</v>
      </c>
      <c r="N299" s="17">
        <f>SUM($C299:M299)*((1+$B299)^(N$146)-1)</f>
        <v>-1577.5053664398774</v>
      </c>
    </row>
    <row r="300" spans="1:14" ht="18" customHeight="1" x14ac:dyDescent="0.25">
      <c r="A300" s="15"/>
      <c r="B300" s="136">
        <v>5.8900000000000001E-2</v>
      </c>
      <c r="C300" s="17">
        <v>-52728.780570000003</v>
      </c>
      <c r="D300" s="17"/>
      <c r="E300" s="17"/>
      <c r="F300" s="17"/>
      <c r="G300" s="17"/>
      <c r="H300" s="17"/>
      <c r="I300" s="17"/>
      <c r="J300" s="122">
        <f>SUM($C300:I300)*((1+$B300)^(J$148)-1)</f>
        <v>-1237.0667643795684</v>
      </c>
      <c r="K300" s="17">
        <f>SUM($C300:J300)*((1+$B300)^(K$146)-1)</f>
        <v>-3176.349976645135</v>
      </c>
      <c r="L300" s="17">
        <f>SUM($C300:K300)*((1+$B300)^(L$146)-1)</f>
        <v>-3372.7865250443001</v>
      </c>
      <c r="M300" s="17">
        <f>SUM($C300:L300)*((1+$B300)^(M$146)-1)</f>
        <v>-3561.8224671499706</v>
      </c>
      <c r="N300" s="17">
        <f>SUM($C300:M300)*((1+$B300)^(N$146)-1)</f>
        <v>-1874.2718004081103</v>
      </c>
    </row>
    <row r="301" spans="1:14" ht="18" customHeight="1" x14ac:dyDescent="0.25">
      <c r="A301" s="15"/>
      <c r="B301" s="136">
        <v>5.6899999999999999E-2</v>
      </c>
      <c r="C301" s="17">
        <v>-67063.193889999995</v>
      </c>
      <c r="D301" s="17"/>
      <c r="E301" s="17"/>
      <c r="F301" s="17"/>
      <c r="G301" s="17"/>
      <c r="H301" s="17"/>
      <c r="I301" s="17"/>
      <c r="J301" s="17"/>
      <c r="K301" s="122">
        <f>SUM($C301:J301)*((1+$B301)^(K$148)-1)</f>
        <v>-1520.8066890278808</v>
      </c>
      <c r="L301" s="17">
        <f>SUM($C301:K301)*((1+$B301)^(L$146)-1)</f>
        <v>-3910.6670741430175</v>
      </c>
      <c r="M301" s="17">
        <f>SUM($C301:L301)*((1+$B301)^(M$146)-1)</f>
        <v>-4122.0444290067098</v>
      </c>
      <c r="N301" s="17">
        <f>SUM($C301:M301)*((1+$B301)^(N$146)-1)</f>
        <v>-2166.0016668719777</v>
      </c>
    </row>
    <row r="302" spans="1:14" ht="18" customHeight="1" x14ac:dyDescent="0.25">
      <c r="A302" s="15"/>
      <c r="B302" s="136">
        <v>4.99E-2</v>
      </c>
      <c r="C302" s="17">
        <v>-83043.122449999995</v>
      </c>
      <c r="D302" s="17"/>
      <c r="E302" s="17"/>
      <c r="F302" s="17"/>
      <c r="G302" s="17"/>
      <c r="H302" s="17"/>
      <c r="I302" s="17"/>
      <c r="J302" s="17"/>
      <c r="K302" s="17"/>
      <c r="L302" s="122">
        <f>SUM($C302:K302)*((1+$B302)^(L$148)-1)</f>
        <v>-1666.1115197264207</v>
      </c>
      <c r="M302" s="17">
        <f>SUM($C302:L302)*((1+$B302)^(M$146)-1)</f>
        <v>-4224.0265928065492</v>
      </c>
      <c r="N302" s="17">
        <f>SUM($C302:M302)*((1+$B302)^(N$146)-1)</f>
        <v>-2208.5801431484283</v>
      </c>
    </row>
    <row r="303" spans="1:14" ht="18" customHeight="1" x14ac:dyDescent="0.25">
      <c r="A303" s="15"/>
      <c r="B303" s="136">
        <v>4.4499999999999998E-2</v>
      </c>
      <c r="C303" s="17">
        <v>-96889.203500000003</v>
      </c>
      <c r="D303" s="17"/>
      <c r="E303" s="17"/>
      <c r="F303" s="17"/>
      <c r="G303" s="17"/>
      <c r="H303" s="17"/>
      <c r="I303" s="17"/>
      <c r="J303" s="17"/>
      <c r="K303" s="17"/>
      <c r="L303" s="17"/>
      <c r="M303" s="122">
        <f>SUM($C303:L303)*((1+$B303)^(M$148)-1)</f>
        <v>-1724.4669087830125</v>
      </c>
      <c r="N303" s="17">
        <f>SUM($C303:M303)*((1+$B303)^(N$146)-1)</f>
        <v>-2186.7927055405085</v>
      </c>
    </row>
    <row r="304" spans="1:14" ht="18" customHeight="1" x14ac:dyDescent="0.25">
      <c r="A304" s="15"/>
      <c r="B304" s="136">
        <v>5.2999999999999999E-2</v>
      </c>
      <c r="C304" s="81">
        <v>-51005.197540000001</v>
      </c>
      <c r="D304" s="81"/>
      <c r="E304" s="81"/>
      <c r="F304" s="81"/>
      <c r="G304" s="81"/>
      <c r="H304" s="81"/>
      <c r="I304" s="81"/>
      <c r="J304" s="81"/>
      <c r="K304" s="81"/>
      <c r="L304" s="81"/>
      <c r="M304" s="81"/>
      <c r="N304" s="150">
        <f>SUM($C304:M304)*((1+$B304)^(N$148)-1)</f>
        <v>-419.9983690846596</v>
      </c>
    </row>
    <row r="305" spans="1:14" ht="18" customHeight="1" x14ac:dyDescent="0.25">
      <c r="A305" s="35" t="s">
        <v>71</v>
      </c>
      <c r="B305" s="119"/>
      <c r="C305" s="120">
        <f>SUM(C293:C304)</f>
        <v>-422584.14039000002</v>
      </c>
      <c r="D305" s="46">
        <f>SUM(D293:D304)</f>
        <v>-0.36547839933737075</v>
      </c>
      <c r="E305" s="46">
        <f t="shared" ref="E305:N305" si="114">SUM(E293:E304)</f>
        <v>-13.668160447954763</v>
      </c>
      <c r="F305" s="46">
        <f t="shared" si="114"/>
        <v>-109.24045381547936</v>
      </c>
      <c r="G305" s="46">
        <f t="shared" si="114"/>
        <v>-465.64509491802687</v>
      </c>
      <c r="H305" s="46">
        <f t="shared" si="114"/>
        <v>-1406.6033040896996</v>
      </c>
      <c r="I305" s="46">
        <f t="shared" si="114"/>
        <v>-3296.6787113560436</v>
      </c>
      <c r="J305" s="46">
        <f t="shared" si="114"/>
        <v>-6213.1033026248215</v>
      </c>
      <c r="K305" s="46">
        <f t="shared" si="114"/>
        <v>-9995.0040892389079</v>
      </c>
      <c r="L305" s="46">
        <f t="shared" si="114"/>
        <v>-14606.040478707217</v>
      </c>
      <c r="M305" s="46">
        <f t="shared" si="114"/>
        <v>-19638.837603460332</v>
      </c>
      <c r="N305" s="46">
        <f t="shared" si="114"/>
        <v>-12029.371738453865</v>
      </c>
    </row>
    <row r="306" spans="1:14" ht="18" customHeight="1" x14ac:dyDescent="0.25">
      <c r="A306" s="15"/>
      <c r="B306" s="119"/>
      <c r="C306" s="118"/>
      <c r="D306" s="89"/>
      <c r="E306" s="89"/>
      <c r="F306" s="89"/>
      <c r="G306" s="89"/>
      <c r="H306" s="89"/>
      <c r="I306" s="89"/>
      <c r="J306" s="89"/>
      <c r="K306" s="89"/>
      <c r="L306" s="89"/>
      <c r="M306" s="89"/>
      <c r="N306" s="89"/>
    </row>
    <row r="307" spans="1:14" ht="18" customHeight="1" x14ac:dyDescent="0.25">
      <c r="A307" s="15"/>
      <c r="B307" s="21"/>
      <c r="C307" s="89"/>
      <c r="D307" s="89"/>
      <c r="E307" s="89"/>
      <c r="F307" s="89"/>
      <c r="G307" s="89"/>
      <c r="H307" s="89"/>
      <c r="I307" s="89"/>
      <c r="J307" s="89"/>
      <c r="K307" s="89"/>
      <c r="L307" s="89"/>
      <c r="M307" s="89"/>
      <c r="N307" s="89"/>
    </row>
    <row r="308" spans="1:14" ht="18" customHeight="1" x14ac:dyDescent="0.25">
      <c r="A308" s="24" t="s">
        <v>135</v>
      </c>
      <c r="C308" s="89"/>
      <c r="D308" s="89"/>
      <c r="E308" s="89"/>
      <c r="F308" s="89"/>
      <c r="G308" s="89"/>
      <c r="H308" s="89"/>
      <c r="I308" s="89"/>
      <c r="J308" s="89"/>
      <c r="K308" s="89"/>
      <c r="L308" s="89"/>
      <c r="M308" s="89"/>
      <c r="N308" s="89"/>
    </row>
    <row r="309" spans="1:14" ht="18" customHeight="1" x14ac:dyDescent="0.25">
      <c r="A309" s="15"/>
      <c r="B309" s="21" t="s">
        <v>15</v>
      </c>
      <c r="C309" s="17">
        <f>SUM($C277:C277,$C293:C293)</f>
        <v>1057.95234</v>
      </c>
      <c r="D309" s="17">
        <f>SUM($C277:D277,$C293:D293)</f>
        <v>1100.8291787559956</v>
      </c>
      <c r="E309" s="17">
        <f>SUM($C277:E277,$C293:E293)</f>
        <v>1178.3826870771891</v>
      </c>
      <c r="F309" s="17">
        <f>SUM($C277:F277,$C293:F293)</f>
        <v>1261.3998465887717</v>
      </c>
      <c r="G309" s="17">
        <f>SUM($C277:G277,$C293:G293)</f>
        <v>1350.2655719770864</v>
      </c>
      <c r="H309" s="17">
        <f>SUM($C277:H277,$C293:H293)</f>
        <v>1445.6615124622006</v>
      </c>
      <c r="I309" s="17">
        <f>SUM($C277:I277,$C293:I293)</f>
        <v>1547.5084877241247</v>
      </c>
      <c r="J309" s="17">
        <f>SUM($C277:J277,$C293:J293)</f>
        <v>1656.5305909676581</v>
      </c>
      <c r="K309" s="17">
        <f>SUM($C277:K277,$C293:K293)</f>
        <v>1773.2333105631728</v>
      </c>
      <c r="L309" s="17">
        <f>SUM($C277:L277,$C293:L293)</f>
        <v>1898.5118208587585</v>
      </c>
      <c r="M309" s="17">
        <f>SUM($C277:M277,$C293:M293)</f>
        <v>2032.2621384722866</v>
      </c>
      <c r="N309" s="17">
        <f>SUM($C277:N277,$C293:N293)</f>
        <v>2103.2187382860716</v>
      </c>
    </row>
    <row r="310" spans="1:14" ht="18" customHeight="1" x14ac:dyDescent="0.25">
      <c r="A310" s="15"/>
      <c r="B310" s="21" t="s">
        <v>15</v>
      </c>
      <c r="C310" s="17"/>
      <c r="D310" s="17">
        <f>SUM($C278:D278,$C294:D294)</f>
        <v>23613.018231211205</v>
      </c>
      <c r="E310" s="17">
        <f>SUM($C278:E278,$C294:E294)</f>
        <v>25307.231823245493</v>
      </c>
      <c r="F310" s="17">
        <f>SUM($C278:F278,$C294:F294)</f>
        <v>27123.003772086526</v>
      </c>
      <c r="G310" s="17">
        <f>SUM($C278:G278,$C294:G294)</f>
        <v>29069.055784477197</v>
      </c>
      <c r="H310" s="17">
        <f>SUM($C278:H278,$C294:H294)</f>
        <v>31160.650354116628</v>
      </c>
      <c r="I310" s="17">
        <f>SUM($C278:I278,$C294:I294)</f>
        <v>33396.400009228135</v>
      </c>
      <c r="J310" s="17">
        <f>SUM($C278:J278,$C294:J294)</f>
        <v>35792.562764307928</v>
      </c>
      <c r="K310" s="17">
        <f>SUM($C278:K278,$C294:K294)</f>
        <v>38360.648120244245</v>
      </c>
      <c r="L310" s="17">
        <f>SUM($C278:L278,$C294:L294)</f>
        <v>41120.797052876485</v>
      </c>
      <c r="M310" s="17">
        <f>SUM($C278:M278,$C294:M294)</f>
        <v>44071.178600889769</v>
      </c>
      <c r="N310" s="17">
        <f>SUM($C278:N278,$C294:N294)</f>
        <v>45637.821561340359</v>
      </c>
    </row>
    <row r="311" spans="1:14" ht="18" customHeight="1" x14ac:dyDescent="0.25">
      <c r="A311" s="15"/>
      <c r="B311" s="21" t="s">
        <v>15</v>
      </c>
      <c r="C311" s="17"/>
      <c r="D311" s="17"/>
      <c r="E311" s="17">
        <f>SUM($C279:E279,$C295:E295)</f>
        <v>76542.461060789909</v>
      </c>
      <c r="F311" s="17">
        <f>SUM($C279:F279,$C295:F295)</f>
        <v>81521.856050821487</v>
      </c>
      <c r="G311" s="17">
        <f>SUM($C279:G279,$C295:G295)</f>
        <v>86825.180714959832</v>
      </c>
      <c r="H311" s="17">
        <f>SUM($C279:H279,$C295:H295)</f>
        <v>92489.47700741631</v>
      </c>
      <c r="I311" s="17">
        <f>SUM($C279:I279,$C295:I295)</f>
        <v>98506.289532892959</v>
      </c>
      <c r="J311" s="17">
        <f>SUM($C279:J279,$C295:J295)</f>
        <v>104914.51991625014</v>
      </c>
      <c r="K311" s="17">
        <f>SUM($C279:K279,$C295:K295)</f>
        <v>111739.63146365187</v>
      </c>
      <c r="L311" s="17">
        <f>SUM($C279:L279,$C295:L295)</f>
        <v>119029.29530319934</v>
      </c>
      <c r="M311" s="17">
        <f>SUM($C279:M279,$C295:M295)</f>
        <v>126772.62976730839</v>
      </c>
      <c r="N311" s="17">
        <f>SUM($C279:N279,$C295:N295)</f>
        <v>130865.08876561713</v>
      </c>
    </row>
    <row r="312" spans="1:14" ht="18" customHeight="1" x14ac:dyDescent="0.25">
      <c r="A312" s="15"/>
      <c r="B312" s="21" t="s">
        <v>15</v>
      </c>
      <c r="C312" s="17"/>
      <c r="D312" s="17"/>
      <c r="E312" s="17"/>
      <c r="F312" s="17">
        <f>SUM($C280:F280,$C296:F296)</f>
        <v>67490.557621351705</v>
      </c>
      <c r="G312" s="17">
        <f>SUM($C280:G280,$C296:G296)</f>
        <v>72589.222739762801</v>
      </c>
      <c r="H312" s="17">
        <f>SUM($C280:H280,$C296:H296)</f>
        <v>78088.652926414899</v>
      </c>
      <c r="I312" s="17">
        <f>SUM($C280:I280,$C296:I296)</f>
        <v>83987.965435483013</v>
      </c>
      <c r="J312" s="17">
        <f>SUM($C280:J280,$C296:J296)</f>
        <v>90332.949457318056</v>
      </c>
      <c r="K312" s="17">
        <f>SUM($C280:K280,$C296:K296)</f>
        <v>97157.273846890283</v>
      </c>
      <c r="L312" s="17">
        <f>SUM($C280:L280,$C296:L296)</f>
        <v>104518.00350454137</v>
      </c>
      <c r="M312" s="17">
        <f>SUM($C280:M280,$C296:M296)</f>
        <v>112413.95691634103</v>
      </c>
      <c r="N312" s="17">
        <f>SUM($C280:N280,$C296:N296)</f>
        <v>116617.78347658778</v>
      </c>
    </row>
    <row r="313" spans="1:14" ht="18" customHeight="1" x14ac:dyDescent="0.25">
      <c r="A313" s="15"/>
      <c r="B313" s="21" t="s">
        <v>15</v>
      </c>
      <c r="C313" s="17"/>
      <c r="D313" s="17"/>
      <c r="E313" s="17"/>
      <c r="F313" s="17"/>
      <c r="G313" s="17">
        <f>SUM($C281:G281,$C297:G297)</f>
        <v>82653.903624721948</v>
      </c>
      <c r="H313" s="17">
        <f>SUM($C281:H281,$C297:H297)</f>
        <v>88451.964608811948</v>
      </c>
      <c r="I313" s="17">
        <f>SUM($C281:I281,$C297:I297)</f>
        <v>94639.219304640486</v>
      </c>
      <c r="J313" s="17">
        <f>SUM($C281:J281,$C297:J297)</f>
        <v>101259.27524847251</v>
      </c>
      <c r="K313" s="17">
        <f>SUM($C281:K281,$C297:K297)</f>
        <v>108342.40708221011</v>
      </c>
      <c r="L313" s="17">
        <f>SUM($C281:L281,$C297:L297)</f>
        <v>115942.48228589195</v>
      </c>
      <c r="M313" s="17">
        <f>SUM($C281:M281,$C297:M297)</f>
        <v>124052.71105403778</v>
      </c>
      <c r="N313" s="17">
        <f>SUM($C281:N281,$C297:N297)</f>
        <v>128353.81017262947</v>
      </c>
    </row>
    <row r="314" spans="1:14" ht="18" customHeight="1" x14ac:dyDescent="0.25">
      <c r="A314" s="15"/>
      <c r="B314" s="21" t="s">
        <v>15</v>
      </c>
      <c r="C314" s="17"/>
      <c r="D314" s="17"/>
      <c r="E314" s="17"/>
      <c r="F314" s="17"/>
      <c r="G314" s="17"/>
      <c r="H314" s="17">
        <f>SUM($C282:H282,$C298:H298)</f>
        <v>77218.226791150257</v>
      </c>
      <c r="I314" s="17">
        <f>SUM($C282:I282,$C298:I298)</f>
        <v>82156.704783194524</v>
      </c>
      <c r="J314" s="17">
        <f>SUM($C282:J282,$C298:J298)</f>
        <v>87411.022258886485</v>
      </c>
      <c r="K314" s="17">
        <f>SUM($C282:K282,$C298:K298)</f>
        <v>93001.378676357024</v>
      </c>
      <c r="L314" s="17">
        <f>SUM($C282:L282,$C298:L298)</f>
        <v>98966.072677549848</v>
      </c>
      <c r="M314" s="17">
        <f>SUM($C282:M282,$C298:M298)</f>
        <v>105295.43029410089</v>
      </c>
      <c r="N314" s="17">
        <f>SUM($C282:N282,$C298:N298)</f>
        <v>108637.9997214407</v>
      </c>
    </row>
    <row r="315" spans="1:14" ht="18" customHeight="1" x14ac:dyDescent="0.25">
      <c r="A315" s="15"/>
      <c r="B315" s="21" t="s">
        <v>15</v>
      </c>
      <c r="C315" s="17"/>
      <c r="D315" s="17"/>
      <c r="E315" s="17"/>
      <c r="F315" s="17"/>
      <c r="G315" s="17"/>
      <c r="H315" s="17"/>
      <c r="I315" s="17">
        <f>SUM($C283:I283,$C299:I299)</f>
        <v>91357.958712606589</v>
      </c>
      <c r="J315" s="17">
        <f>SUM($C283:J283,$C299:J299)</f>
        <v>97072.932521342242</v>
      </c>
      <c r="K315" s="17">
        <f>SUM($C283:K283,$C299:K299)</f>
        <v>103145.41131480811</v>
      </c>
      <c r="L315" s="17">
        <f>SUM($C283:L283,$C299:L299)</f>
        <v>109615.98003590456</v>
      </c>
      <c r="M315" s="17">
        <f>SUM($C283:M283,$C299:M299)</f>
        <v>116473.0996974195</v>
      </c>
      <c r="N315" s="17">
        <f>SUM($C283:N283,$C299:N299)</f>
        <v>120090.81982162139</v>
      </c>
    </row>
    <row r="316" spans="1:14" ht="18" customHeight="1" x14ac:dyDescent="0.25">
      <c r="A316" s="15"/>
      <c r="B316" s="21" t="s">
        <v>15</v>
      </c>
      <c r="C316" s="17"/>
      <c r="D316" s="17"/>
      <c r="E316" s="17"/>
      <c r="F316" s="17"/>
      <c r="G316" s="17"/>
      <c r="H316" s="17"/>
      <c r="I316" s="17"/>
      <c r="J316" s="17">
        <f>SUM($C284:J284,$C300:J300)</f>
        <v>19580.37524299998</v>
      </c>
      <c r="K316" s="17">
        <f>SUM($C284:K284,$C300:K300)</f>
        <v>20732.847176970419</v>
      </c>
      <c r="L316" s="17">
        <f>SUM($C284:L284,$C300:L300)</f>
        <v>21956.591990346671</v>
      </c>
      <c r="M316" s="17">
        <f>SUM($C284:M284,$C300:M300)</f>
        <v>23248.924528435346</v>
      </c>
      <c r="N316" s="17">
        <f>SUM($C284:N284,$C300:N300)</f>
        <v>23928.964720002659</v>
      </c>
    </row>
    <row r="317" spans="1:14" ht="18" customHeight="1" x14ac:dyDescent="0.25">
      <c r="A317" s="15"/>
      <c r="B317" s="21" t="s">
        <v>15</v>
      </c>
      <c r="C317" s="17"/>
      <c r="D317" s="17"/>
      <c r="E317" s="17"/>
      <c r="F317" s="17"/>
      <c r="G317" s="17"/>
      <c r="H317" s="17"/>
      <c r="I317" s="17"/>
      <c r="J317" s="17"/>
      <c r="K317" s="17">
        <f>SUM($C285:K285,$C301:K301)</f>
        <v>52111.778743820447</v>
      </c>
      <c r="L317" s="17">
        <f>SUM($C285:L285,$C301:L301)</f>
        <v>55083.197960954902</v>
      </c>
      <c r="M317" s="17">
        <f>SUM($C285:M285,$C301:M301)</f>
        <v>58215.226793380301</v>
      </c>
      <c r="N317" s="17">
        <f>SUM($C285:N285,$C301:N301)</f>
        <v>59861.007130920072</v>
      </c>
    </row>
    <row r="318" spans="1:14" ht="18" customHeight="1" x14ac:dyDescent="0.25">
      <c r="A318" s="15"/>
      <c r="B318" s="21" t="s">
        <v>15</v>
      </c>
      <c r="C318" s="17"/>
      <c r="D318" s="17"/>
      <c r="E318" s="17"/>
      <c r="F318" s="17"/>
      <c r="G318" s="17"/>
      <c r="H318" s="17"/>
      <c r="I318" s="17"/>
      <c r="J318" s="17"/>
      <c r="K318" s="17"/>
      <c r="L318" s="17">
        <f>SUM($C286:L286,$C302:L302)</f>
        <v>31333.011121957585</v>
      </c>
      <c r="M318" s="17">
        <f>SUM($C286:M286,$C302:M302)</f>
        <v>32895.431958618115</v>
      </c>
      <c r="N318" s="17">
        <f>SUM($C286:N286,$C302:N302)</f>
        <v>33712.361388221216</v>
      </c>
    </row>
    <row r="319" spans="1:14" ht="18" customHeight="1" x14ac:dyDescent="0.25">
      <c r="A319" s="15"/>
      <c r="B319" s="21" t="s">
        <v>15</v>
      </c>
      <c r="C319" s="17"/>
      <c r="D319" s="17"/>
      <c r="E319" s="17"/>
      <c r="F319" s="17"/>
      <c r="G319" s="17"/>
      <c r="H319" s="17"/>
      <c r="I319" s="17"/>
      <c r="J319" s="17"/>
      <c r="K319" s="17"/>
      <c r="L319" s="17"/>
      <c r="M319" s="17">
        <f>SUM($C287:M287,$C303:M303)</f>
        <v>-21340.336949039178</v>
      </c>
      <c r="N319" s="17">
        <f>SUM($C287:N287,$C303:N303)</f>
        <v>-21813.566400701275</v>
      </c>
    </row>
    <row r="320" spans="1:14" ht="18" customHeight="1" x14ac:dyDescent="0.25">
      <c r="A320" s="15"/>
      <c r="B320" s="21" t="s">
        <v>15</v>
      </c>
      <c r="C320" s="81"/>
      <c r="D320" s="81"/>
      <c r="E320" s="81"/>
      <c r="F320" s="81"/>
      <c r="G320" s="81"/>
      <c r="H320" s="81"/>
      <c r="I320" s="81"/>
      <c r="J320" s="81"/>
      <c r="K320" s="81"/>
      <c r="L320" s="81"/>
      <c r="M320" s="81"/>
      <c r="N320" s="81">
        <f>SUM($C288:N288,$C304:N304)</f>
        <v>-14338.279384370249</v>
      </c>
    </row>
    <row r="321" spans="1:18" ht="18" customHeight="1" x14ac:dyDescent="0.25">
      <c r="A321" s="35" t="s">
        <v>133</v>
      </c>
      <c r="B321" s="21" t="s">
        <v>15</v>
      </c>
      <c r="C321" s="46">
        <f>SUM(C309:C320)</f>
        <v>1057.95234</v>
      </c>
      <c r="D321" s="46">
        <f>SUM(D309:D320)</f>
        <v>24713.847409967202</v>
      </c>
      <c r="E321" s="46">
        <f>SUM(E309:E320)</f>
        <v>103028.0755711126</v>
      </c>
      <c r="F321" s="46">
        <f t="shared" ref="F321:N321" si="115">SUM(F309:F320)</f>
        <v>177396.81729084847</v>
      </c>
      <c r="G321" s="46">
        <f t="shared" si="115"/>
        <v>272487.62843589886</v>
      </c>
      <c r="H321" s="46">
        <f t="shared" si="115"/>
        <v>368854.63320037222</v>
      </c>
      <c r="I321" s="46">
        <f t="shared" si="115"/>
        <v>485592.04626576981</v>
      </c>
      <c r="J321" s="46">
        <f t="shared" si="115"/>
        <v>538020.168000545</v>
      </c>
      <c r="K321" s="46">
        <f t="shared" si="115"/>
        <v>626364.60973551578</v>
      </c>
      <c r="L321" s="46">
        <f t="shared" si="115"/>
        <v>699463.94375408138</v>
      </c>
      <c r="M321" s="46">
        <f t="shared" si="115"/>
        <v>724130.51479996438</v>
      </c>
      <c r="N321" s="46">
        <f t="shared" si="115"/>
        <v>733657.02971159539</v>
      </c>
      <c r="O321" s="12"/>
      <c r="P321" s="12"/>
      <c r="Q321" s="12"/>
    </row>
    <row r="322" spans="1:18" ht="18" customHeight="1" x14ac:dyDescent="0.25">
      <c r="A322" s="24"/>
      <c r="C322" s="12"/>
      <c r="D322" s="12"/>
      <c r="E322" s="12"/>
      <c r="F322" s="12"/>
      <c r="G322" s="12"/>
      <c r="H322" s="12"/>
      <c r="I322" s="12"/>
      <c r="J322" s="12"/>
      <c r="K322" s="12"/>
      <c r="L322" s="12"/>
      <c r="M322" s="12"/>
      <c r="N322" s="12"/>
    </row>
    <row r="323" spans="1:18" s="51" customFormat="1" ht="18" customHeight="1" x14ac:dyDescent="0.35">
      <c r="A323" s="24" t="s">
        <v>134</v>
      </c>
      <c r="O323"/>
      <c r="P323"/>
      <c r="Q323" s="52"/>
      <c r="R323" s="104"/>
    </row>
    <row r="324" spans="1:18" ht="18" customHeight="1" x14ac:dyDescent="0.35">
      <c r="A324" s="154" t="s">
        <v>195</v>
      </c>
      <c r="B324" s="21" t="s">
        <v>15</v>
      </c>
      <c r="C324" s="21"/>
      <c r="D324" s="17">
        <f>C329</f>
        <v>1057.95234</v>
      </c>
      <c r="E324" s="17">
        <f>D329</f>
        <v>24713.847409967202</v>
      </c>
      <c r="F324" s="17">
        <f t="shared" ref="F324:N324" si="116">E329</f>
        <v>103028.0755711126</v>
      </c>
      <c r="G324" s="17">
        <f t="shared" si="116"/>
        <v>177396.81729084847</v>
      </c>
      <c r="H324" s="17">
        <f t="shared" si="116"/>
        <v>272487.62843589886</v>
      </c>
      <c r="I324" s="17">
        <f t="shared" si="116"/>
        <v>368854.63320037222</v>
      </c>
      <c r="J324" s="17">
        <f t="shared" si="116"/>
        <v>485592.04626576981</v>
      </c>
      <c r="K324" s="17">
        <f t="shared" si="116"/>
        <v>538020.168000545</v>
      </c>
      <c r="L324" s="17">
        <f t="shared" si="116"/>
        <v>626364.60973551578</v>
      </c>
      <c r="M324" s="17">
        <f t="shared" si="116"/>
        <v>699463.94375408138</v>
      </c>
      <c r="N324" s="17">
        <f t="shared" si="116"/>
        <v>724130.51479996438</v>
      </c>
      <c r="O324" s="20"/>
      <c r="P324" s="20"/>
      <c r="Q324" s="52"/>
      <c r="R324" s="104"/>
    </row>
    <row r="325" spans="1:18" ht="18" customHeight="1" x14ac:dyDescent="0.35">
      <c r="A325" s="154" t="s">
        <v>137</v>
      </c>
      <c r="B325" s="21" t="s">
        <v>15</v>
      </c>
      <c r="C325" s="21"/>
      <c r="D325" s="17">
        <f t="shared" ref="D325:N325" si="117">D52</f>
        <v>21821.85815</v>
      </c>
      <c r="E325" s="17">
        <f t="shared" si="117"/>
        <v>67658.400109999944</v>
      </c>
      <c r="F325" s="17">
        <f t="shared" si="117"/>
        <v>55787.785080000169</v>
      </c>
      <c r="G325" s="17">
        <f t="shared" si="117"/>
        <v>74554.024309998451</v>
      </c>
      <c r="H325" s="17">
        <f t="shared" si="117"/>
        <v>78255.582749989946</v>
      </c>
      <c r="I325" s="17">
        <f t="shared" si="117"/>
        <v>104236.29303000245</v>
      </c>
      <c r="J325" s="17">
        <f t="shared" si="117"/>
        <v>47701.611070005878</v>
      </c>
      <c r="K325" s="17">
        <f t="shared" si="117"/>
        <v>91498.40410969709</v>
      </c>
      <c r="L325" s="17">
        <f t="shared" si="117"/>
        <v>85077.7088193253</v>
      </c>
      <c r="M325" s="17">
        <f t="shared" si="117"/>
        <v>44399.719847293374</v>
      </c>
      <c r="N325" s="17">
        <f t="shared" si="117"/>
        <v>17681.592660153015</v>
      </c>
      <c r="O325" s="20"/>
      <c r="P325" s="20"/>
      <c r="Q325" s="52"/>
      <c r="R325" s="104"/>
    </row>
    <row r="326" spans="1:18" ht="18" customHeight="1" x14ac:dyDescent="0.35">
      <c r="A326" s="154" t="s">
        <v>69</v>
      </c>
      <c r="B326" s="21" t="s">
        <v>15</v>
      </c>
      <c r="C326" s="21"/>
      <c r="D326" s="17">
        <f t="shared" ref="D326:N326" si="118">D264</f>
        <v>-213.61006999999998</v>
      </c>
      <c r="E326" s="17">
        <f t="shared" si="118"/>
        <v>-2702.2073299999993</v>
      </c>
      <c r="F326" s="17">
        <f t="shared" si="118"/>
        <v>-4962.2337200000084</v>
      </c>
      <c r="G326" s="17">
        <f t="shared" si="118"/>
        <v>-7721.4352699999336</v>
      </c>
      <c r="H326" s="17">
        <f t="shared" si="118"/>
        <v>-11908.04024999895</v>
      </c>
      <c r="I326" s="17">
        <f t="shared" si="118"/>
        <v>-16440.877469998952</v>
      </c>
      <c r="J326" s="17">
        <f t="shared" si="118"/>
        <v>-19101.822690002129</v>
      </c>
      <c r="K326" s="17">
        <f t="shared" si="118"/>
        <v>-20813.847489999211</v>
      </c>
      <c r="L326" s="17">
        <f t="shared" si="118"/>
        <v>-25909.003210004568</v>
      </c>
      <c r="M326" s="17">
        <f t="shared" si="118"/>
        <v>-26528.31360000405</v>
      </c>
      <c r="N326" s="17">
        <f t="shared" si="118"/>
        <v>-14199.683609986041</v>
      </c>
      <c r="O326" s="20"/>
      <c r="P326" s="20"/>
      <c r="Q326" s="52"/>
      <c r="R326" s="104"/>
    </row>
    <row r="327" spans="1:18" ht="18" customHeight="1" x14ac:dyDescent="0.35">
      <c r="A327" s="154" t="s">
        <v>56</v>
      </c>
      <c r="B327" s="21" t="s">
        <v>15</v>
      </c>
      <c r="C327" s="21"/>
      <c r="D327" s="17">
        <f t="shared" ref="D327:N327" si="119">D28</f>
        <v>0</v>
      </c>
      <c r="E327" s="17">
        <f t="shared" si="119"/>
        <v>0</v>
      </c>
      <c r="F327" s="17">
        <f t="shared" si="119"/>
        <v>0</v>
      </c>
      <c r="G327" s="17">
        <f t="shared" si="119"/>
        <v>0</v>
      </c>
      <c r="H327" s="17">
        <f t="shared" si="119"/>
        <v>0</v>
      </c>
      <c r="I327" s="17">
        <f t="shared" si="119"/>
        <v>0</v>
      </c>
      <c r="J327" s="17">
        <f t="shared" si="119"/>
        <v>0</v>
      </c>
      <c r="K327" s="17">
        <f t="shared" si="119"/>
        <v>0</v>
      </c>
      <c r="L327" s="17">
        <f t="shared" si="119"/>
        <v>0</v>
      </c>
      <c r="M327" s="17">
        <f t="shared" si="119"/>
        <v>0</v>
      </c>
      <c r="N327" s="17">
        <f t="shared" si="119"/>
        <v>0</v>
      </c>
      <c r="O327" s="67"/>
      <c r="P327" s="67"/>
      <c r="Q327" s="52"/>
      <c r="R327" s="104"/>
    </row>
    <row r="328" spans="1:18" ht="18" customHeight="1" x14ac:dyDescent="0.35">
      <c r="A328" s="154" t="s">
        <v>101</v>
      </c>
      <c r="B328" s="21" t="s">
        <v>15</v>
      </c>
      <c r="C328" s="146"/>
      <c r="D328" s="81">
        <f t="shared" ref="D328:N328" si="120">D321-SUM(D324:D327)</f>
        <v>2047.6469899672011</v>
      </c>
      <c r="E328" s="81">
        <f t="shared" si="120"/>
        <v>13358.035381145455</v>
      </c>
      <c r="F328" s="81">
        <f t="shared" si="120"/>
        <v>23543.190359735716</v>
      </c>
      <c r="G328" s="81">
        <f t="shared" si="120"/>
        <v>28258.222105051886</v>
      </c>
      <c r="H328" s="81">
        <f t="shared" si="120"/>
        <v>30019.462264482398</v>
      </c>
      <c r="I328" s="81">
        <f t="shared" si="120"/>
        <v>28941.997505394102</v>
      </c>
      <c r="J328" s="81">
        <f t="shared" si="120"/>
        <v>23828.333354771486</v>
      </c>
      <c r="K328" s="81">
        <f t="shared" si="120"/>
        <v>17659.885115272948</v>
      </c>
      <c r="L328" s="81">
        <f t="shared" si="120"/>
        <v>13930.628409244819</v>
      </c>
      <c r="M328" s="81">
        <f t="shared" si="120"/>
        <v>6795.1647985937307</v>
      </c>
      <c r="N328" s="81">
        <f t="shared" si="120"/>
        <v>6044.6058614640497</v>
      </c>
      <c r="O328" s="67"/>
      <c r="P328" s="67"/>
      <c r="Q328" s="52"/>
      <c r="R328" s="104"/>
    </row>
    <row r="329" spans="1:18" ht="18" customHeight="1" x14ac:dyDescent="0.35">
      <c r="A329" s="154" t="s">
        <v>196</v>
      </c>
      <c r="B329" s="21" t="s">
        <v>15</v>
      </c>
      <c r="C329" s="152">
        <f>C22</f>
        <v>1057.95234</v>
      </c>
      <c r="D329" s="46">
        <f>SUM(D324:D328)</f>
        <v>24713.847409967202</v>
      </c>
      <c r="E329" s="46">
        <f t="shared" ref="E329:N329" si="121">SUM(E324:E328)</f>
        <v>103028.0755711126</v>
      </c>
      <c r="F329" s="46">
        <f t="shared" si="121"/>
        <v>177396.81729084847</v>
      </c>
      <c r="G329" s="46">
        <f t="shared" si="121"/>
        <v>272487.62843589886</v>
      </c>
      <c r="H329" s="46">
        <f t="shared" si="121"/>
        <v>368854.63320037222</v>
      </c>
      <c r="I329" s="46">
        <f t="shared" si="121"/>
        <v>485592.04626576981</v>
      </c>
      <c r="J329" s="46">
        <f t="shared" si="121"/>
        <v>538020.168000545</v>
      </c>
      <c r="K329" s="46">
        <f t="shared" si="121"/>
        <v>626364.60973551578</v>
      </c>
      <c r="L329" s="46">
        <f t="shared" si="121"/>
        <v>699463.94375408138</v>
      </c>
      <c r="M329" s="46">
        <f t="shared" si="121"/>
        <v>724130.51479996438</v>
      </c>
      <c r="N329" s="46">
        <f t="shared" si="121"/>
        <v>733657.02971159539</v>
      </c>
      <c r="O329" s="20"/>
      <c r="P329" s="20"/>
      <c r="Q329" s="52"/>
      <c r="R329" s="104"/>
    </row>
    <row r="330" spans="1:18" ht="18" customHeight="1" x14ac:dyDescent="0.35">
      <c r="Q330" s="52"/>
    </row>
    <row r="331" spans="1:18" ht="18" customHeight="1" x14ac:dyDescent="0.35">
      <c r="A331" s="24" t="s">
        <v>141</v>
      </c>
      <c r="B331" t="s">
        <v>22</v>
      </c>
      <c r="C331" s="87" t="s">
        <v>117</v>
      </c>
      <c r="D331" s="51"/>
      <c r="E331" s="51"/>
      <c r="F331" s="51"/>
      <c r="G331" s="51"/>
      <c r="H331" s="51"/>
      <c r="I331" s="51"/>
      <c r="J331" s="51"/>
      <c r="K331" s="51"/>
      <c r="L331" s="51"/>
      <c r="M331" s="51"/>
      <c r="N331" s="51"/>
    </row>
    <row r="332" spans="1:18" ht="18" customHeight="1" x14ac:dyDescent="0.25">
      <c r="A332" s="15"/>
      <c r="B332" s="136" cm="1">
        <f t="array" ref="B332:B342">TRANSPOSE('Model inputs'!D45:N45)</f>
        <v>6.4326867547209718E-2</v>
      </c>
      <c r="C332" s="17" cm="1">
        <f t="array" ref="C332:C342">TRANSPOSE(D328:N328)</f>
        <v>2047.6469899672011</v>
      </c>
      <c r="D332" s="148">
        <f>$C332*((1+$B332)^D$147-1)*'Model inputs'!D$48</f>
        <v>10.738267591521641</v>
      </c>
      <c r="E332" s="137">
        <f>$C332*((1+$B332)^E$146-1)*'Model inputs'!E$48</f>
        <v>38.171459568582627</v>
      </c>
      <c r="F332" s="137">
        <f>$C332*((1+$B332)^F$146-1)*'Model inputs'!F$48</f>
        <v>38.171459568582627</v>
      </c>
      <c r="G332" s="137">
        <f>$C332*((1+$B332)^G$146-1)*'Model inputs'!G$48</f>
        <v>38.171459568582627</v>
      </c>
      <c r="H332" s="137">
        <f>$C332*((1+$B332)^H$146-1)*'Model inputs'!H$48</f>
        <v>38.279339579393096</v>
      </c>
      <c r="I332" s="137">
        <f>$C332*((1+$B332)^I$146-1)*'Model inputs'!I$48</f>
        <v>38.171459568582627</v>
      </c>
      <c r="J332" s="137">
        <f>$C332*((1+$B332)^J$146-1)*'Model inputs'!J$48</f>
        <v>38.171459568582627</v>
      </c>
      <c r="K332" s="137">
        <f>$C332*((1+$B332)^K$146-1)*'Model inputs'!K$48</f>
        <v>38.171459568582627</v>
      </c>
      <c r="L332" s="137">
        <f>$C332*((1+$B332)^L$146-1)*'Model inputs'!L$48</f>
        <v>38.279339579393096</v>
      </c>
      <c r="M332" s="137">
        <f>$C332*((1+$B332)^M$146-1)*'Model inputs'!M$48</f>
        <v>38.171459568582627</v>
      </c>
      <c r="N332" s="137">
        <f>$C332*((1+$B332)^N$146-1)*'Model inputs'!N$48</f>
        <v>18.945357880402149</v>
      </c>
    </row>
    <row r="333" spans="1:18" ht="18" customHeight="1" x14ac:dyDescent="0.25">
      <c r="A333" s="15"/>
      <c r="B333" s="136">
        <v>5.239123342763756E-2</v>
      </c>
      <c r="C333" s="17">
        <v>13358.035381145455</v>
      </c>
      <c r="D333" s="137"/>
      <c r="E333" s="148">
        <f>$C333*((1+$B333)^E$147-1)*'Model inputs'!E$48</f>
        <v>99.279212562362559</v>
      </c>
      <c r="F333" s="137">
        <f>$C333*((1+$B333)^F$146-1)*'Model inputs'!F$48</f>
        <v>202.81225594927176</v>
      </c>
      <c r="G333" s="137">
        <f>$C333*((1+$B333)^G$146-1)*'Model inputs'!G$48</f>
        <v>202.81225594927176</v>
      </c>
      <c r="H333" s="137">
        <f>$C333*((1+$B333)^H$146-1)*'Model inputs'!H$48</f>
        <v>203.38224378954865</v>
      </c>
      <c r="I333" s="137">
        <f>$C333*((1+$B333)^I$146-1)*'Model inputs'!I$48</f>
        <v>202.81225594927176</v>
      </c>
      <c r="J333" s="137">
        <f>$C333*((1+$B333)^J$146-1)*'Model inputs'!J$48</f>
        <v>202.81225594927176</v>
      </c>
      <c r="K333" s="137">
        <f>$C333*((1+$B333)^K$146-1)*'Model inputs'!K$48</f>
        <v>202.81225594927176</v>
      </c>
      <c r="L333" s="137">
        <f>$C333*((1+$B333)^L$146-1)*'Model inputs'!L$48</f>
        <v>203.38224378954865</v>
      </c>
      <c r="M333" s="137">
        <f>$C333*((1+$B333)^M$146-1)*'Model inputs'!M$48</f>
        <v>202.81225594927176</v>
      </c>
      <c r="N333" s="137">
        <f>$C333*((1+$B333)^N$146-1)*'Model inputs'!N$48</f>
        <v>100.94598176898916</v>
      </c>
    </row>
    <row r="334" spans="1:18" ht="18" customHeight="1" x14ac:dyDescent="0.25">
      <c r="A334" s="15"/>
      <c r="B334" s="136">
        <v>6.5210564262641602E-2</v>
      </c>
      <c r="C334" s="17">
        <v>23543.190359735716</v>
      </c>
      <c r="D334" s="137"/>
      <c r="E334" s="137"/>
      <c r="F334" s="148">
        <f>$C334*((1+$B334)^F$147-1)*'Model inputs'!F$48</f>
        <v>217.11770757622941</v>
      </c>
      <c r="G334" s="137">
        <f>$C334*((1+$B334)^G$146-1)*'Model inputs'!G$48</f>
        <v>444.91230980645975</v>
      </c>
      <c r="H334" s="137">
        <f>$C334*((1+$B334)^H$146-1)*'Model inputs'!H$48</f>
        <v>446.17023653242114</v>
      </c>
      <c r="I334" s="137">
        <f>$C334*((1+$B334)^I$146-1)*'Model inputs'!I$48</f>
        <v>444.91230980645975</v>
      </c>
      <c r="J334" s="137">
        <f>$C334*((1+$B334)^J$146-1)*'Model inputs'!J$48</f>
        <v>444.91230980645975</v>
      </c>
      <c r="K334" s="137">
        <f>$C334*((1+$B334)^K$146-1)*'Model inputs'!K$48</f>
        <v>444.91230980645975</v>
      </c>
      <c r="L334" s="137">
        <f>$C334*((1+$B334)^L$146-1)*'Model inputs'!L$48</f>
        <v>446.17023653242114</v>
      </c>
      <c r="M334" s="137">
        <f>$C334*((1+$B334)^M$146-1)*'Model inputs'!M$48</f>
        <v>444.91230980645975</v>
      </c>
      <c r="N334" s="137">
        <f>$C334*((1+$B334)^N$146-1)*'Model inputs'!N$48</f>
        <v>220.77391396355898</v>
      </c>
    </row>
    <row r="335" spans="1:18" ht="18" customHeight="1" x14ac:dyDescent="0.25">
      <c r="A335" s="15"/>
      <c r="B335" s="136">
        <v>5.6007340817272856E-2</v>
      </c>
      <c r="C335" s="17">
        <v>28258.222105051886</v>
      </c>
      <c r="D335" s="137"/>
      <c r="E335" s="137"/>
      <c r="F335" s="137"/>
      <c r="G335" s="148">
        <f>$C335*((1+$B335)^G$147-1)*'Model inputs'!G$48</f>
        <v>224.31907903321309</v>
      </c>
      <c r="H335" s="137">
        <f>$C335*((1+$B335)^H$146-1)*'Model inputs'!H$48</f>
        <v>459.94210213749921</v>
      </c>
      <c r="I335" s="137">
        <f>$C335*((1+$B335)^I$146-1)*'Model inputs'!I$48</f>
        <v>458.65090221476873</v>
      </c>
      <c r="J335" s="137">
        <f>$C335*((1+$B335)^J$146-1)*'Model inputs'!J$48</f>
        <v>458.65090221476873</v>
      </c>
      <c r="K335" s="137">
        <f>$C335*((1+$B335)^K$146-1)*'Model inputs'!K$48</f>
        <v>458.65090221476873</v>
      </c>
      <c r="L335" s="137">
        <f>$C335*((1+$B335)^L$146-1)*'Model inputs'!L$48</f>
        <v>459.94210213749921</v>
      </c>
      <c r="M335" s="137">
        <f>$C335*((1+$B335)^M$146-1)*'Model inputs'!M$48</f>
        <v>458.65090221476873</v>
      </c>
      <c r="N335" s="137">
        <f>$C335*((1+$B335)^N$146-1)*'Model inputs'!N$48</f>
        <v>228.08834672563847</v>
      </c>
    </row>
    <row r="336" spans="1:18" ht="18" customHeight="1" x14ac:dyDescent="0.25">
      <c r="A336" s="15"/>
      <c r="B336" s="136">
        <v>4.8566588558104418E-2</v>
      </c>
      <c r="C336" s="17">
        <v>30019.462264482398</v>
      </c>
      <c r="D336" s="137"/>
      <c r="E336" s="137"/>
      <c r="F336" s="137"/>
      <c r="G336" s="137"/>
      <c r="H336" s="148">
        <f>$C336*((1+$B336)^H$147-1)*'Model inputs'!H$48</f>
        <v>208.17206528788441</v>
      </c>
      <c r="I336" s="137">
        <f>$C336*((1+$B336)^I$146-1)*'Model inputs'!I$48</f>
        <v>422.50712832772075</v>
      </c>
      <c r="J336" s="137">
        <f>$C336*((1+$B336)^J$146-1)*'Model inputs'!J$48</f>
        <v>422.50712832772075</v>
      </c>
      <c r="K336" s="137">
        <f>$C336*((1+$B336)^K$146-1)*'Model inputs'!K$48</f>
        <v>422.50712832772075</v>
      </c>
      <c r="L336" s="137">
        <f>$C336*((1+$B336)^L$146-1)*'Model inputs'!L$48</f>
        <v>423.69240486755012</v>
      </c>
      <c r="M336" s="137">
        <f>$C336*((1+$B336)^M$146-1)*'Model inputs'!M$48</f>
        <v>422.50712832772075</v>
      </c>
      <c r="N336" s="137">
        <f>$C336*((1+$B336)^N$146-1)*'Model inputs'!N$48</f>
        <v>210.48710649656741</v>
      </c>
    </row>
    <row r="337" spans="1:16" ht="18" customHeight="1" x14ac:dyDescent="0.25">
      <c r="A337" s="15"/>
      <c r="B337" s="136">
        <v>4.7363493132139597E-2</v>
      </c>
      <c r="C337" s="17">
        <v>28941.997505394102</v>
      </c>
      <c r="D337" s="137"/>
      <c r="E337" s="137"/>
      <c r="F337" s="137"/>
      <c r="G337" s="137"/>
      <c r="H337" s="137"/>
      <c r="I337" s="148">
        <f>$C337*((1+$B337)^I$147-1)*'Model inputs'!I$48</f>
        <v>194.69745536499448</v>
      </c>
      <c r="J337" s="137">
        <f>$C337*((1+$B337)^J$146-1)*'Model inputs'!J$48</f>
        <v>397.25185449055226</v>
      </c>
      <c r="K337" s="137">
        <f>$C337*((1+$B337)^K$146-1)*'Model inputs'!K$48</f>
        <v>397.25185449055226</v>
      </c>
      <c r="L337" s="137">
        <f>$C337*((1+$B337)^L$146-1)*'Model inputs'!L$48</f>
        <v>398.36564553497107</v>
      </c>
      <c r="M337" s="137">
        <f>$C337*((1+$B337)^M$146-1)*'Model inputs'!M$48</f>
        <v>397.25185449055226</v>
      </c>
      <c r="N337" s="137">
        <f>$C337*((1+$B337)^N$146-1)*'Model inputs'!N$48</f>
        <v>197.96224820004355</v>
      </c>
    </row>
    <row r="338" spans="1:16" ht="18" customHeight="1" x14ac:dyDescent="0.25">
      <c r="A338" s="15"/>
      <c r="B338" s="136">
        <v>4.2480720370542777E-2</v>
      </c>
      <c r="C338" s="17">
        <v>23828.333354771486</v>
      </c>
      <c r="D338" s="137"/>
      <c r="E338" s="137"/>
      <c r="F338" s="137"/>
      <c r="G338" s="137"/>
      <c r="H338" s="137"/>
      <c r="I338" s="137"/>
      <c r="J338" s="148">
        <f>$C338*((1+$B338)^J$147-1)*'Model inputs'!J$48</f>
        <v>143.94316881118553</v>
      </c>
      <c r="K338" s="137">
        <f>$C338*((1+$B338)^K$146-1)*'Model inputs'!K$48</f>
        <v>293.34585187150191</v>
      </c>
      <c r="L338" s="137">
        <f>$C338*((1+$B338)^L$146-1)*'Model inputs'!L$48</f>
        <v>294.16640815673316</v>
      </c>
      <c r="M338" s="137">
        <f>$C338*((1+$B338)^M$146-1)*'Model inputs'!M$48</f>
        <v>293.34585187150191</v>
      </c>
      <c r="N338" s="137">
        <f>$C338*((1+$B338)^N$146-1)*'Model inputs'!N$48</f>
        <v>146.35405698560274</v>
      </c>
    </row>
    <row r="339" spans="1:16" ht="18" customHeight="1" x14ac:dyDescent="0.25">
      <c r="A339" s="15"/>
      <c r="B339" s="136">
        <v>4.0592888091034438E-2</v>
      </c>
      <c r="C339" s="17">
        <v>17659.885115272948</v>
      </c>
      <c r="D339" s="137"/>
      <c r="E339" s="137"/>
      <c r="F339" s="137"/>
      <c r="G339" s="137"/>
      <c r="H339" s="137"/>
      <c r="I339" s="137"/>
      <c r="J339" s="137"/>
      <c r="K339" s="148">
        <f>$C339*((1+$B339)^K$147-1)*'Model inputs'!K$48</f>
        <v>101.98678569731466</v>
      </c>
      <c r="L339" s="137">
        <f>$C339*((1+$B339)^L$146-1)*'Model inputs'!L$48</f>
        <v>208.32651273443642</v>
      </c>
      <c r="M339" s="137">
        <f>$C339*((1+$B339)^M$146-1)*'Model inputs'!M$48</f>
        <v>207.74592319947607</v>
      </c>
      <c r="N339" s="137">
        <f>$C339*((1+$B339)^N$146-1)*'Model inputs'!N$48</f>
        <v>103.69417395800922</v>
      </c>
    </row>
    <row r="340" spans="1:16" ht="18" customHeight="1" x14ac:dyDescent="0.25">
      <c r="A340" s="15"/>
      <c r="B340" s="136">
        <v>2.9597755753197487E-2</v>
      </c>
      <c r="C340" s="17">
        <v>13930.628409244819</v>
      </c>
      <c r="D340" s="137"/>
      <c r="E340" s="137"/>
      <c r="F340" s="137"/>
      <c r="G340" s="137"/>
      <c r="H340" s="137"/>
      <c r="I340" s="137"/>
      <c r="J340" s="137"/>
      <c r="K340" s="137"/>
      <c r="L340" s="148">
        <f>$C340*((1+$B340)^L$147-1)*'Model inputs'!L$48</f>
        <v>59.145178031363749</v>
      </c>
      <c r="M340" s="137">
        <f>$C340*((1+$B340)^M$146-1)*'Model inputs'!M$48</f>
        <v>119.48840700841441</v>
      </c>
      <c r="N340" s="137">
        <f>$C340*((1+$B340)^N$146-1)*'Model inputs'!N$48</f>
        <v>59.799911994338622</v>
      </c>
    </row>
    <row r="341" spans="1:16" ht="18" customHeight="1" x14ac:dyDescent="0.25">
      <c r="A341" s="15"/>
      <c r="B341" s="136">
        <v>2.0048153676001084E-2</v>
      </c>
      <c r="C341" s="17">
        <v>6795.1647985937307</v>
      </c>
      <c r="D341" s="137"/>
      <c r="E341" s="137"/>
      <c r="F341" s="137"/>
      <c r="G341" s="137"/>
      <c r="H341" s="137"/>
      <c r="I341" s="137"/>
      <c r="J341" s="137"/>
      <c r="K341" s="137"/>
      <c r="L341" s="137"/>
      <c r="M341" s="148">
        <f>$C341*((1+$B341)^M$147-1)*'Model inputs'!M$48</f>
        <v>19.4796433158964</v>
      </c>
      <c r="N341" s="137">
        <f>$C341*((1+$B341)^N$146-1)*'Model inputs'!N$48</f>
        <v>19.804127344147638</v>
      </c>
    </row>
    <row r="342" spans="1:16" ht="18" customHeight="1" x14ac:dyDescent="0.25">
      <c r="A342" s="15"/>
      <c r="B342" s="153">
        <v>2.692481461E-2</v>
      </c>
      <c r="C342" s="81">
        <v>6044.6058614640497</v>
      </c>
      <c r="D342" s="135"/>
      <c r="E342" s="135"/>
      <c r="F342" s="135"/>
      <c r="G342" s="135"/>
      <c r="H342" s="135"/>
      <c r="I342" s="135"/>
      <c r="J342" s="135"/>
      <c r="K342" s="135"/>
      <c r="L342" s="135"/>
      <c r="M342" s="135"/>
      <c r="N342" s="149">
        <f>$C342*((1+$B342)^N$147-1)*'Model inputs'!N$48</f>
        <v>11.641956315913898</v>
      </c>
    </row>
    <row r="343" spans="1:16" ht="18" customHeight="1" x14ac:dyDescent="0.25">
      <c r="A343" s="71" t="s">
        <v>116</v>
      </c>
      <c r="B343" s="41" t="s">
        <v>15</v>
      </c>
      <c r="C343" s="147"/>
      <c r="D343" s="46">
        <f>SUM(D332:D342)</f>
        <v>10.738267591521641</v>
      </c>
      <c r="E343" s="46">
        <f t="shared" ref="E343:N343" si="122">SUM(E332:E342)</f>
        <v>137.45067213094518</v>
      </c>
      <c r="F343" s="46">
        <f t="shared" si="122"/>
        <v>458.10142309408377</v>
      </c>
      <c r="G343" s="46">
        <f t="shared" si="122"/>
        <v>910.21510435752725</v>
      </c>
      <c r="H343" s="46">
        <f t="shared" si="122"/>
        <v>1355.9459873267465</v>
      </c>
      <c r="I343" s="46">
        <f>SUM(I332:I342)</f>
        <v>1761.7515112317981</v>
      </c>
      <c r="J343" s="46">
        <f t="shared" si="122"/>
        <v>2108.2490791685414</v>
      </c>
      <c r="K343" s="46">
        <f t="shared" si="122"/>
        <v>2359.6385479261721</v>
      </c>
      <c r="L343" s="46">
        <f t="shared" si="122"/>
        <v>2531.4700713639168</v>
      </c>
      <c r="M343" s="46">
        <f t="shared" si="122"/>
        <v>2604.3657357526445</v>
      </c>
      <c r="N343" s="46">
        <f t="shared" si="122"/>
        <v>1318.4971816332118</v>
      </c>
    </row>
    <row r="344" spans="1:16" ht="18" customHeight="1" x14ac:dyDescent="0.25">
      <c r="A344" s="71"/>
      <c r="B344" s="21"/>
      <c r="C344" s="89"/>
      <c r="D344" s="17"/>
      <c r="E344" s="17"/>
      <c r="F344" s="17"/>
      <c r="G344" s="17"/>
      <c r="H344" s="17"/>
      <c r="I344" s="17"/>
      <c r="J344" s="17"/>
      <c r="K344" s="17"/>
      <c r="L344" s="17"/>
      <c r="M344" s="17"/>
      <c r="N344" s="17"/>
    </row>
    <row r="345" spans="1:16" ht="18" customHeight="1" x14ac:dyDescent="0.25">
      <c r="A345" s="71" t="s">
        <v>118</v>
      </c>
      <c r="B345" s="21" t="s">
        <v>15</v>
      </c>
      <c r="C345" s="89"/>
      <c r="D345" s="17">
        <f t="shared" ref="D345:N345" si="123">D343+D270</f>
        <v>-59.032056536571439</v>
      </c>
      <c r="E345" s="17">
        <f t="shared" si="123"/>
        <v>-312.46385151506331</v>
      </c>
      <c r="F345" s="17">
        <f t="shared" si="123"/>
        <v>-369.20529326104872</v>
      </c>
      <c r="G345" s="17">
        <f t="shared" si="123"/>
        <v>-45.082048851493141</v>
      </c>
      <c r="H345" s="17">
        <f t="shared" si="123"/>
        <v>1039.2808175890727</v>
      </c>
      <c r="I345" s="17">
        <f>I343+I270</f>
        <v>4268.5161007460792</v>
      </c>
      <c r="J345" s="17">
        <f t="shared" si="123"/>
        <v>7066.0448187167531</v>
      </c>
      <c r="K345" s="17">
        <f t="shared" si="123"/>
        <v>7840.0319887365822</v>
      </c>
      <c r="L345" s="17">
        <f t="shared" si="123"/>
        <v>8611.0016405919814</v>
      </c>
      <c r="M345" s="17">
        <f t="shared" si="123"/>
        <v>8777.8512187298329</v>
      </c>
      <c r="N345" s="17">
        <f t="shared" si="123"/>
        <v>4305.8826811982835</v>
      </c>
      <c r="O345" s="138"/>
      <c r="P345" s="138"/>
    </row>
    <row r="346" spans="1:16" ht="15" customHeight="1" x14ac:dyDescent="0.25">
      <c r="A346" s="15"/>
      <c r="B346" s="12"/>
      <c r="C346" s="12"/>
      <c r="D346" s="12"/>
      <c r="E346" s="12"/>
      <c r="F346" s="12"/>
      <c r="G346" s="12"/>
      <c r="H346" s="12"/>
      <c r="I346" s="12"/>
      <c r="J346" s="12"/>
      <c r="K346" s="12"/>
      <c r="L346" s="12"/>
      <c r="M346" s="12"/>
      <c r="N346" s="12"/>
    </row>
    <row r="347" spans="1:16" ht="12.75" customHeight="1" x14ac:dyDescent="0.25"/>
    <row r="351" spans="1:16" ht="12.75" customHeight="1" x14ac:dyDescent="0.25"/>
    <row r="352" spans="1:16" ht="12.75" customHeight="1" x14ac:dyDescent="0.25"/>
    <row r="354" spans="4:16" ht="12.75" customHeight="1" x14ac:dyDescent="0.25"/>
    <row r="360" spans="4:16" ht="12.75" customHeight="1" x14ac:dyDescent="0.25"/>
    <row r="361" spans="4:16" ht="12.75" customHeight="1" x14ac:dyDescent="0.25">
      <c r="N361" s="20"/>
      <c r="O361" s="20"/>
      <c r="P361" s="20"/>
    </row>
    <row r="362" spans="4:16" ht="12.75" customHeight="1" x14ac:dyDescent="0.25">
      <c r="D362" s="12"/>
      <c r="E362" s="12"/>
      <c r="F362" s="12"/>
      <c r="G362" s="12"/>
      <c r="H362" s="12"/>
      <c r="I362" s="12"/>
      <c r="J362" s="12"/>
      <c r="K362" s="12"/>
      <c r="L362" s="12"/>
      <c r="M362" s="12"/>
      <c r="N362" s="12"/>
      <c r="O362" s="12"/>
      <c r="P362" s="12"/>
    </row>
    <row r="363" spans="4:16" ht="12.75" customHeight="1" x14ac:dyDescent="0.25">
      <c r="D363" s="11"/>
      <c r="E363" s="11"/>
      <c r="F363" s="11"/>
      <c r="G363" s="11"/>
      <c r="H363" s="11"/>
      <c r="I363" s="11"/>
      <c r="J363" s="11"/>
      <c r="K363" s="11"/>
      <c r="L363" s="11"/>
      <c r="M363" s="11"/>
      <c r="N363" s="11"/>
      <c r="O363" s="11"/>
      <c r="P363" s="11"/>
    </row>
    <row r="367" spans="4:16" ht="12.75" customHeight="1" x14ac:dyDescent="0.25">
      <c r="D367" s="12"/>
      <c r="E367" s="12"/>
      <c r="F367" s="12"/>
      <c r="G367" s="12"/>
      <c r="H367" s="12"/>
      <c r="I367" s="12"/>
      <c r="J367" s="12"/>
      <c r="K367" s="12"/>
      <c r="L367" s="12"/>
      <c r="M367" s="12"/>
      <c r="N367" s="12"/>
      <c r="O367" s="12"/>
      <c r="P367" s="12"/>
    </row>
    <row r="368" spans="4:16" ht="12.75" customHeight="1" x14ac:dyDescent="0.25">
      <c r="D368" s="12"/>
      <c r="E368" s="12"/>
      <c r="F368" s="12"/>
      <c r="G368" s="12"/>
      <c r="H368" s="12"/>
      <c r="I368" s="12"/>
      <c r="J368" s="12"/>
      <c r="K368" s="12"/>
      <c r="L368" s="12"/>
      <c r="M368" s="12"/>
      <c r="N368" s="12"/>
      <c r="O368" s="12"/>
      <c r="P368"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2023-06-27T20:43:00Z</dcterms:created>
  <dcterms:modified xsi:type="dcterms:W3CDTF">2023-06-27T20:43:00Z</dcterms:modified>
</cp:coreProperties>
</file>