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270" yWindow="45" windowWidth="21720" windowHeight="12405"/>
  </bookViews>
  <sheets>
    <sheet name="Cover" sheetId="4" r:id="rId1"/>
    <sheet name="Inputs" sheetId="5" r:id="rId2"/>
    <sheet name="Results" sheetId="49" r:id="rId3"/>
    <sheet name="IntraYr" sheetId="9" r:id="rId4"/>
    <sheet name="Data for charts" sheetId="2188" r:id="rId5"/>
    <sheet name="Adjustments" sheetId="2654" r:id="rId6"/>
    <sheet name="Revenues minus costs" sheetId="2655" r:id="rId7"/>
    <sheet name="GasNet" sheetId="2652" r:id="rId8"/>
    <sheet name="Powerco" sheetId="2651" r:id="rId9"/>
    <sheet name="Vector_Dist" sheetId="2650" r:id="rId10"/>
    <sheet name="Maui" sheetId="2649" r:id="rId11"/>
    <sheet name="Vector_Trans" sheetId="2648" r:id="rId12"/>
    <sheet name="CPI" sheetId="2452" r:id="rId13"/>
  </sheets>
  <externalReferences>
    <externalReference r:id="rId14"/>
    <externalReference r:id="rId15"/>
    <externalReference r:id="rId16"/>
  </externalReferences>
  <definedNames>
    <definedName name="AllowedRevMths" localSheetId="12">[1]Inputs!$D$94:$I$99</definedName>
    <definedName name="AllowedRevMths">Inputs!$D$89:$I$94</definedName>
    <definedName name="BBlockMths" localSheetId="12">[1]Inputs!$D$82:$I$87</definedName>
    <definedName name="BBlockMths">Inputs!$D$77:$I$82</definedName>
    <definedName name="CapexBlockSupp">Inputs!$K$66:$O$72</definedName>
    <definedName name="CCorSupp" localSheetId="12">[1]Results!$S$4</definedName>
    <definedName name="ChangeCode">[1]Results!$H$2</definedName>
    <definedName name="CommAssetsBlock" localSheetId="12">[1]Inputs!$D$71:$I$77</definedName>
    <definedName name="CommAssetsBlock">Inputs!$D$66:$I$72</definedName>
    <definedName name="CommAssetsBlockSupp" localSheetId="12">[1]Inputs!$K$71:$P$77</definedName>
    <definedName name="CommAssetsBlockSupp">Inputs!$K$66:$P$72</definedName>
    <definedName name="ConstPriceRevGrwth" localSheetId="12">[1]Inputs!$D$61:$I$68</definedName>
    <definedName name="ConstPriceRevGrwth">Inputs!$D$56:$I$63</definedName>
    <definedName name="Debt" localSheetId="12">[1]Inputs!$C$5</definedName>
    <definedName name="Debt">Inputs!$C$5</definedName>
    <definedName name="DeferredTaxBlock" localSheetId="7">GasNet!$U$253:$AG$280</definedName>
    <definedName name="DeferredTaxBlock" localSheetId="10">Maui!$U$253:$AG$280</definedName>
    <definedName name="DeferredTaxBlock" localSheetId="8">Powerco!$U$253:$AG$280</definedName>
    <definedName name="DeferredTaxBlock" localSheetId="9">Vector_Dist!$U$253:$AG$280</definedName>
    <definedName name="DeferredTaxBlock" localSheetId="11">Vector_Trans!$U$253:$AG$280</definedName>
    <definedName name="Inputs_Anchor" localSheetId="12">[1]Inputs!$B$22</definedName>
    <definedName name="Inputs_Anchor">Inputs!$B$24</definedName>
    <definedName name="InputsBlock" localSheetId="12">[1]Inputs!$B$22:$I$48</definedName>
    <definedName name="InputsBlock">Inputs!$B$24:$I$43</definedName>
    <definedName name="Leverage" localSheetId="12">[1]Inputs!$C$6</definedName>
    <definedName name="Leverage">Inputs!$C$6</definedName>
    <definedName name="NamesAnchor">Cover!$B$48</definedName>
    <definedName name="OIVdeferredTaxBlock" localSheetId="7">GasNet!$U$260:$AG$260</definedName>
    <definedName name="OIVdeferredTaxBlock" localSheetId="10">Maui!$U$260:$AG$260</definedName>
    <definedName name="OIVdeferredTaxBlock" localSheetId="8">Powerco!$U$260:$AG$260</definedName>
    <definedName name="OIVdeferredTaxBlock" localSheetId="9">Vector_Dist!$U$260:$AG$260</definedName>
    <definedName name="OIVdeferredTaxBlock" localSheetId="11">Vector_Trans!$U$260:$AG$260</definedName>
    <definedName name="OIVtarget" localSheetId="7">GasNet!$C$260</definedName>
    <definedName name="OIVtarget" localSheetId="10">Maui!$C$260</definedName>
    <definedName name="OIVtarget" localSheetId="8">Powerco!$C$260</definedName>
    <definedName name="OIVtarget" localSheetId="9">Vector_Dist!$C$260</definedName>
    <definedName name="OIVtarget" localSheetId="11">Vector_Trans!$C$260</definedName>
    <definedName name="OIVtaxpayableBlock" localSheetId="7">GasNet!$AJ$260:$AV$260</definedName>
    <definedName name="OIVtaxpayableBlock" localSheetId="10">Maui!$AJ$260:$AV$260</definedName>
    <definedName name="OIVtaxpayableBlock" localSheetId="8">Powerco!$AJ$260:$AV$260</definedName>
    <definedName name="OIVtaxpayableBlock" localSheetId="9">Vector_Dist!$AJ$260:$AV$260</definedName>
    <definedName name="OIVtaxpayableBlock" localSheetId="11">Vector_Trans!$AJ$260:$AV$260</definedName>
    <definedName name="OpexBlock" localSheetId="12">[1]Inputs!$D$52:$I$58</definedName>
    <definedName name="OpexBlock">Inputs!$D$47:$I$53</definedName>
    <definedName name="OpexBlockSupp">Inputs!$K$47:$O$53</definedName>
    <definedName name="_xlnm.Print_Area" localSheetId="7">GasNet!$C$1:$O$331</definedName>
    <definedName name="_xlnm.Print_Area" localSheetId="10">Maui!$C$1:$O$331</definedName>
    <definedName name="_xlnm.Print_Area" localSheetId="8">Powerco!$C$1:$O$331</definedName>
    <definedName name="_xlnm.Print_Area" localSheetId="9">Vector_Dist!$C$1:$O$331</definedName>
    <definedName name="_xlnm.Print_Area" localSheetId="11">Vector_Trans!$C$1:$O$331</definedName>
    <definedName name="ResultsAnchor">Results!$D$3</definedName>
    <definedName name="TaxBlockTarget" localSheetId="7">GasNet!$C$253</definedName>
    <definedName name="TaxBlockTarget" localSheetId="10">Maui!$C$253</definedName>
    <definedName name="TaxBlockTarget" localSheetId="8">Powerco!$C$253</definedName>
    <definedName name="TaxBlockTarget" localSheetId="9">Vector_Dist!$C$253</definedName>
    <definedName name="TaxBlockTarget" localSheetId="11">Vector_Trans!$C$253</definedName>
    <definedName name="TaxPayableBlock" localSheetId="7">GasNet!$AJ$253:$AV$280</definedName>
    <definedName name="TaxPayableBlock" localSheetId="10">Maui!$AJ$253:$AV$280</definedName>
    <definedName name="TaxPayableBlock" localSheetId="8">Powerco!$AJ$253:$AV$280</definedName>
    <definedName name="TaxPayableBlock" localSheetId="9">Vector_Dist!$AJ$253:$AV$280</definedName>
    <definedName name="TaxPayableBlock" localSheetId="11">Vector_Trans!$AJ$253:$AV$280</definedName>
    <definedName name="WACC" localSheetId="12">[1]Inputs!$C$4</definedName>
    <definedName name="WACC">Inputs!$C$4</definedName>
    <definedName name="X_industry_wide" localSheetId="12">[1]Inputs!$C$9</definedName>
    <definedName name="X_industry_wide">Inputs!$C$9</definedName>
    <definedName name="xx" localSheetId="12">[2]Inputs!$B$22:$I$49</definedName>
    <definedName name="xx">[3]Inputs!$B$22:$I$49</definedName>
  </definedNames>
  <calcPr calcId="125725"/>
</workbook>
</file>

<file path=xl/calcChain.xml><?xml version="1.0" encoding="utf-8"?>
<calcChain xmlns="http://schemas.openxmlformats.org/spreadsheetml/2006/main">
  <c r="C318" i="2652"/>
  <c r="C317"/>
  <c r="C316"/>
  <c r="D315"/>
  <c r="C315"/>
  <c r="C314"/>
  <c r="C312"/>
  <c r="C311"/>
  <c r="C310"/>
  <c r="I297"/>
  <c r="I283"/>
  <c r="E195"/>
  <c r="E151"/>
  <c r="F104"/>
  <c r="G104" s="1"/>
  <c r="H104" s="1"/>
  <c r="I104" s="1"/>
  <c r="J104" s="1"/>
  <c r="K104" s="1"/>
  <c r="L104" s="1"/>
  <c r="M104" s="1"/>
  <c r="M72"/>
  <c r="M71"/>
  <c r="H68"/>
  <c r="H67"/>
  <c r="C60"/>
  <c r="C59"/>
  <c r="C58"/>
  <c r="C57"/>
  <c r="C56"/>
  <c r="C55"/>
  <c r="M54"/>
  <c r="L54"/>
  <c r="K54"/>
  <c r="J54"/>
  <c r="I54"/>
  <c r="H54"/>
  <c r="G54"/>
  <c r="F54"/>
  <c r="E54"/>
  <c r="M45"/>
  <c r="L45"/>
  <c r="K45"/>
  <c r="J45"/>
  <c r="I45"/>
  <c r="H45"/>
  <c r="G45"/>
  <c r="F45"/>
  <c r="C40"/>
  <c r="C39"/>
  <c r="C38"/>
  <c r="C37"/>
  <c r="C36"/>
  <c r="C35"/>
  <c r="C34"/>
  <c r="C33"/>
  <c r="C32"/>
  <c r="C31"/>
  <c r="C30"/>
  <c r="C29"/>
  <c r="C28"/>
  <c r="C27"/>
  <c r="C26"/>
  <c r="C25"/>
  <c r="A25"/>
  <c r="C24"/>
  <c r="A24"/>
  <c r="C23"/>
  <c r="M21"/>
  <c r="L21"/>
  <c r="K21"/>
  <c r="J21"/>
  <c r="I21"/>
  <c r="H21"/>
  <c r="G21"/>
  <c r="F21"/>
  <c r="E21"/>
  <c r="M290"/>
  <c r="H254"/>
  <c r="C1"/>
  <c r="E3" i="49" s="1"/>
  <c r="C318" i="2651"/>
  <c r="C317"/>
  <c r="C316"/>
  <c r="D315"/>
  <c r="C315"/>
  <c r="C314"/>
  <c r="C312"/>
  <c r="C311"/>
  <c r="C310"/>
  <c r="I297"/>
  <c r="I283"/>
  <c r="E195"/>
  <c r="E151"/>
  <c r="F104"/>
  <c r="G104" s="1"/>
  <c r="H104" s="1"/>
  <c r="I104" s="1"/>
  <c r="J104" s="1"/>
  <c r="K104" s="1"/>
  <c r="L104" s="1"/>
  <c r="M104" s="1"/>
  <c r="M72"/>
  <c r="M71"/>
  <c r="H68"/>
  <c r="H67"/>
  <c r="C60"/>
  <c r="C59"/>
  <c r="C58"/>
  <c r="C57"/>
  <c r="C56"/>
  <c r="C55"/>
  <c r="M54"/>
  <c r="L54"/>
  <c r="K54"/>
  <c r="J54"/>
  <c r="I54"/>
  <c r="H54"/>
  <c r="G54"/>
  <c r="F54"/>
  <c r="E54"/>
  <c r="M45"/>
  <c r="L45"/>
  <c r="K45"/>
  <c r="J45"/>
  <c r="I45"/>
  <c r="H45"/>
  <c r="G45"/>
  <c r="F45"/>
  <c r="C40"/>
  <c r="C39"/>
  <c r="C38"/>
  <c r="C37"/>
  <c r="C36"/>
  <c r="C35"/>
  <c r="C34"/>
  <c r="C33"/>
  <c r="C32"/>
  <c r="C31"/>
  <c r="C30"/>
  <c r="C29"/>
  <c r="C28"/>
  <c r="C27"/>
  <c r="C26"/>
  <c r="C25"/>
  <c r="C24"/>
  <c r="A24"/>
  <c r="C23"/>
  <c r="M21"/>
  <c r="L21"/>
  <c r="K21"/>
  <c r="J21"/>
  <c r="I21"/>
  <c r="H21"/>
  <c r="G21"/>
  <c r="F21"/>
  <c r="E21"/>
  <c r="M290"/>
  <c r="H254"/>
  <c r="C1"/>
  <c r="F3" i="49" s="1"/>
  <c r="C318" i="2650"/>
  <c r="C317"/>
  <c r="C316"/>
  <c r="D315"/>
  <c r="C315"/>
  <c r="C314"/>
  <c r="C312"/>
  <c r="C311"/>
  <c r="C310"/>
  <c r="I297"/>
  <c r="I283"/>
  <c r="E195"/>
  <c r="E151"/>
  <c r="F104"/>
  <c r="G104" s="1"/>
  <c r="H104" s="1"/>
  <c r="I104" s="1"/>
  <c r="J104" s="1"/>
  <c r="K104" s="1"/>
  <c r="L104" s="1"/>
  <c r="M104" s="1"/>
  <c r="M72"/>
  <c r="M71"/>
  <c r="H68"/>
  <c r="H67"/>
  <c r="C60"/>
  <c r="C59"/>
  <c r="C58"/>
  <c r="C57"/>
  <c r="C56"/>
  <c r="C55"/>
  <c r="M54"/>
  <c r="L54"/>
  <c r="K54"/>
  <c r="J54"/>
  <c r="I54"/>
  <c r="H54"/>
  <c r="G54"/>
  <c r="F54"/>
  <c r="E54"/>
  <c r="M45"/>
  <c r="L45"/>
  <c r="K45"/>
  <c r="J45"/>
  <c r="I45"/>
  <c r="H45"/>
  <c r="G45"/>
  <c r="F45"/>
  <c r="C40"/>
  <c r="C39"/>
  <c r="C38"/>
  <c r="C37"/>
  <c r="C36"/>
  <c r="C35"/>
  <c r="C34"/>
  <c r="C33"/>
  <c r="C32"/>
  <c r="C31"/>
  <c r="C30"/>
  <c r="C29"/>
  <c r="C28"/>
  <c r="C27"/>
  <c r="C26"/>
  <c r="C25"/>
  <c r="C24"/>
  <c r="A24"/>
  <c r="C23"/>
  <c r="M21"/>
  <c r="L21"/>
  <c r="K21"/>
  <c r="J21"/>
  <c r="I21"/>
  <c r="H21"/>
  <c r="G21"/>
  <c r="F21"/>
  <c r="E21"/>
  <c r="M290"/>
  <c r="H254"/>
  <c r="C1"/>
  <c r="G3" i="49" s="1"/>
  <c r="C318" i="2649"/>
  <c r="C317"/>
  <c r="C316"/>
  <c r="D315"/>
  <c r="C315"/>
  <c r="C314"/>
  <c r="C312"/>
  <c r="C311"/>
  <c r="C310"/>
  <c r="I297"/>
  <c r="I283"/>
  <c r="E195"/>
  <c r="E151"/>
  <c r="F104"/>
  <c r="G104" s="1"/>
  <c r="H104" s="1"/>
  <c r="I104" s="1"/>
  <c r="J104" s="1"/>
  <c r="K104" s="1"/>
  <c r="L104" s="1"/>
  <c r="M104" s="1"/>
  <c r="C60"/>
  <c r="C59"/>
  <c r="C58"/>
  <c r="C57"/>
  <c r="C56"/>
  <c r="C55"/>
  <c r="M54"/>
  <c r="L54"/>
  <c r="K54"/>
  <c r="J54"/>
  <c r="I54"/>
  <c r="H54"/>
  <c r="G54"/>
  <c r="F54"/>
  <c r="E54"/>
  <c r="M48"/>
  <c r="M47"/>
  <c r="M250" s="1"/>
  <c r="M45"/>
  <c r="L45"/>
  <c r="K45"/>
  <c r="J45"/>
  <c r="I45"/>
  <c r="H45"/>
  <c r="G45"/>
  <c r="F45"/>
  <c r="C40"/>
  <c r="C39"/>
  <c r="C38"/>
  <c r="C37"/>
  <c r="C36"/>
  <c r="C35"/>
  <c r="C34"/>
  <c r="C33"/>
  <c r="C32"/>
  <c r="C31"/>
  <c r="C30"/>
  <c r="C29"/>
  <c r="C28"/>
  <c r="C27"/>
  <c r="C26"/>
  <c r="C25"/>
  <c r="C24"/>
  <c r="A24"/>
  <c r="A25" s="1"/>
  <c r="C23"/>
  <c r="M21"/>
  <c r="M65" s="1"/>
  <c r="L21"/>
  <c r="K21"/>
  <c r="K65" s="1"/>
  <c r="J21"/>
  <c r="I21"/>
  <c r="I65" s="1"/>
  <c r="H21"/>
  <c r="G21"/>
  <c r="G65" s="1"/>
  <c r="F21"/>
  <c r="E21"/>
  <c r="E65" s="1"/>
  <c r="C1"/>
  <c r="H3" i="49" s="1"/>
  <c r="C318" i="2648"/>
  <c r="C317"/>
  <c r="C316"/>
  <c r="D315"/>
  <c r="C315"/>
  <c r="C314"/>
  <c r="C312"/>
  <c r="C311"/>
  <c r="C310"/>
  <c r="I297"/>
  <c r="I283"/>
  <c r="E195"/>
  <c r="E151"/>
  <c r="F104"/>
  <c r="G104" s="1"/>
  <c r="H104" s="1"/>
  <c r="I104" s="1"/>
  <c r="J104" s="1"/>
  <c r="K104" s="1"/>
  <c r="L104" s="1"/>
  <c r="M104" s="1"/>
  <c r="M72"/>
  <c r="M71"/>
  <c r="H68"/>
  <c r="H67"/>
  <c r="C60"/>
  <c r="C59"/>
  <c r="C58"/>
  <c r="C57"/>
  <c r="C56"/>
  <c r="C55"/>
  <c r="M54"/>
  <c r="L54"/>
  <c r="K54"/>
  <c r="J54"/>
  <c r="I54"/>
  <c r="H54"/>
  <c r="G54"/>
  <c r="F54"/>
  <c r="E54"/>
  <c r="M45"/>
  <c r="L45"/>
  <c r="K45"/>
  <c r="J45"/>
  <c r="I45"/>
  <c r="H45"/>
  <c r="G45"/>
  <c r="F45"/>
  <c r="C40"/>
  <c r="C39"/>
  <c r="C38"/>
  <c r="C37"/>
  <c r="C36"/>
  <c r="C35"/>
  <c r="C34"/>
  <c r="C33"/>
  <c r="C32"/>
  <c r="C31"/>
  <c r="C30"/>
  <c r="C29"/>
  <c r="C28"/>
  <c r="C27"/>
  <c r="C26"/>
  <c r="C25"/>
  <c r="C24"/>
  <c r="A24"/>
  <c r="C23"/>
  <c r="M21"/>
  <c r="L21"/>
  <c r="L65" s="1"/>
  <c r="K21"/>
  <c r="J21"/>
  <c r="J65" s="1"/>
  <c r="I21"/>
  <c r="H21"/>
  <c r="H65" s="1"/>
  <c r="G21"/>
  <c r="F21"/>
  <c r="F65" s="1"/>
  <c r="E21"/>
  <c r="M290"/>
  <c r="H254"/>
  <c r="C1"/>
  <c r="I3" i="49" s="1"/>
  <c r="F321" i="2652" l="1"/>
  <c r="F293"/>
  <c r="F156"/>
  <c r="F103"/>
  <c r="F96"/>
  <c r="F75"/>
  <c r="F65"/>
  <c r="H321"/>
  <c r="H293"/>
  <c r="H156"/>
  <c r="H103"/>
  <c r="H96"/>
  <c r="H75"/>
  <c r="H65"/>
  <c r="J321"/>
  <c r="J293"/>
  <c r="J156"/>
  <c r="J103"/>
  <c r="J96"/>
  <c r="J75"/>
  <c r="J65"/>
  <c r="L321"/>
  <c r="L293"/>
  <c r="L156"/>
  <c r="L103"/>
  <c r="L96"/>
  <c r="L75"/>
  <c r="L65"/>
  <c r="A26"/>
  <c r="E293"/>
  <c r="E321"/>
  <c r="E65"/>
  <c r="E156"/>
  <c r="E103"/>
  <c r="E96"/>
  <c r="E75"/>
  <c r="G293"/>
  <c r="G321"/>
  <c r="G65"/>
  <c r="G156"/>
  <c r="G103"/>
  <c r="G96"/>
  <c r="G75"/>
  <c r="I293"/>
  <c r="I321"/>
  <c r="I65"/>
  <c r="I156"/>
  <c r="I103"/>
  <c r="I96"/>
  <c r="I75"/>
  <c r="K293"/>
  <c r="K321"/>
  <c r="K65"/>
  <c r="K156"/>
  <c r="K103"/>
  <c r="K96"/>
  <c r="K75"/>
  <c r="M293"/>
  <c r="M321"/>
  <c r="M65"/>
  <c r="M156"/>
  <c r="M103"/>
  <c r="M96"/>
  <c r="M75"/>
  <c r="H283"/>
  <c r="H297"/>
  <c r="E293" i="2651"/>
  <c r="E321"/>
  <c r="E65"/>
  <c r="E156"/>
  <c r="E103"/>
  <c r="E96"/>
  <c r="E75"/>
  <c r="G293"/>
  <c r="G321"/>
  <c r="G65"/>
  <c r="G156"/>
  <c r="G103"/>
  <c r="G96"/>
  <c r="G75"/>
  <c r="I293"/>
  <c r="I321"/>
  <c r="I65"/>
  <c r="I156"/>
  <c r="I103"/>
  <c r="I96"/>
  <c r="I75"/>
  <c r="K293"/>
  <c r="K321"/>
  <c r="K65"/>
  <c r="K156"/>
  <c r="K103"/>
  <c r="K96"/>
  <c r="K75"/>
  <c r="M293"/>
  <c r="M321"/>
  <c r="M65"/>
  <c r="M156"/>
  <c r="M103"/>
  <c r="M96"/>
  <c r="M75"/>
  <c r="A25"/>
  <c r="F321"/>
  <c r="F293"/>
  <c r="F156"/>
  <c r="F103"/>
  <c r="F96"/>
  <c r="F75"/>
  <c r="F65"/>
  <c r="H321"/>
  <c r="H293"/>
  <c r="H156"/>
  <c r="H103"/>
  <c r="H96"/>
  <c r="H75"/>
  <c r="H65"/>
  <c r="J321"/>
  <c r="J293"/>
  <c r="J156"/>
  <c r="J103"/>
  <c r="J96"/>
  <c r="J75"/>
  <c r="J65"/>
  <c r="L321"/>
  <c r="L293"/>
  <c r="L156"/>
  <c r="L103"/>
  <c r="L96"/>
  <c r="L75"/>
  <c r="L65"/>
  <c r="H283"/>
  <c r="H297"/>
  <c r="E293" i="2650"/>
  <c r="E321"/>
  <c r="E156"/>
  <c r="E103"/>
  <c r="E96"/>
  <c r="E75"/>
  <c r="E65"/>
  <c r="G293"/>
  <c r="G321"/>
  <c r="G156"/>
  <c r="G103"/>
  <c r="G96"/>
  <c r="G75"/>
  <c r="G65"/>
  <c r="I293"/>
  <c r="I321"/>
  <c r="I156"/>
  <c r="I103"/>
  <c r="I96"/>
  <c r="I75"/>
  <c r="I65"/>
  <c r="K293"/>
  <c r="K321"/>
  <c r="K156"/>
  <c r="K103"/>
  <c r="K96"/>
  <c r="K75"/>
  <c r="K65"/>
  <c r="M293"/>
  <c r="M321"/>
  <c r="M156"/>
  <c r="M103"/>
  <c r="M96"/>
  <c r="M75"/>
  <c r="M65"/>
  <c r="A25"/>
  <c r="F321"/>
  <c r="F293"/>
  <c r="F65"/>
  <c r="F156"/>
  <c r="F103"/>
  <c r="F96"/>
  <c r="F75"/>
  <c r="H321"/>
  <c r="H293"/>
  <c r="H65"/>
  <c r="H156"/>
  <c r="H103"/>
  <c r="H96"/>
  <c r="H75"/>
  <c r="J321"/>
  <c r="J293"/>
  <c r="J65"/>
  <c r="J156"/>
  <c r="J103"/>
  <c r="J96"/>
  <c r="J75"/>
  <c r="L321"/>
  <c r="L293"/>
  <c r="L65"/>
  <c r="L156"/>
  <c r="L103"/>
  <c r="L96"/>
  <c r="L75"/>
  <c r="H283"/>
  <c r="H297"/>
  <c r="A26" i="2649"/>
  <c r="F321"/>
  <c r="F293"/>
  <c r="F156"/>
  <c r="H321"/>
  <c r="H293"/>
  <c r="H156"/>
  <c r="J321"/>
  <c r="J293"/>
  <c r="J156"/>
  <c r="L321"/>
  <c r="L293"/>
  <c r="L156"/>
  <c r="F75"/>
  <c r="H75"/>
  <c r="J75"/>
  <c r="L75"/>
  <c r="F96"/>
  <c r="H96"/>
  <c r="J96"/>
  <c r="L96"/>
  <c r="F103"/>
  <c r="H103"/>
  <c r="J103"/>
  <c r="L103"/>
  <c r="E293"/>
  <c r="E321"/>
  <c r="E156"/>
  <c r="G293"/>
  <c r="G321"/>
  <c r="G156"/>
  <c r="I293"/>
  <c r="I321"/>
  <c r="I156"/>
  <c r="K293"/>
  <c r="K321"/>
  <c r="K156"/>
  <c r="M293"/>
  <c r="M321"/>
  <c r="M156"/>
  <c r="M221"/>
  <c r="M158"/>
  <c r="F65"/>
  <c r="H65"/>
  <c r="J65"/>
  <c r="L65"/>
  <c r="E75"/>
  <c r="G75"/>
  <c r="I75"/>
  <c r="K75"/>
  <c r="M75"/>
  <c r="E96"/>
  <c r="G96"/>
  <c r="I96"/>
  <c r="K96"/>
  <c r="M96"/>
  <c r="E103"/>
  <c r="G103"/>
  <c r="I103"/>
  <c r="K103"/>
  <c r="M103"/>
  <c r="M105"/>
  <c r="H283"/>
  <c r="H297"/>
  <c r="E293" i="2648"/>
  <c r="E321"/>
  <c r="E156"/>
  <c r="G293"/>
  <c r="G321"/>
  <c r="G156"/>
  <c r="I293"/>
  <c r="I321"/>
  <c r="I156"/>
  <c r="K293"/>
  <c r="K321"/>
  <c r="K156"/>
  <c r="M293"/>
  <c r="M321"/>
  <c r="M156"/>
  <c r="A25"/>
  <c r="E75"/>
  <c r="G75"/>
  <c r="I75"/>
  <c r="K75"/>
  <c r="M75"/>
  <c r="E96"/>
  <c r="G96"/>
  <c r="I96"/>
  <c r="K96"/>
  <c r="M96"/>
  <c r="E103"/>
  <c r="G103"/>
  <c r="I103"/>
  <c r="K103"/>
  <c r="M103"/>
  <c r="F321"/>
  <c r="F293"/>
  <c r="F156"/>
  <c r="H321"/>
  <c r="H293"/>
  <c r="H156"/>
  <c r="J321"/>
  <c r="J293"/>
  <c r="J156"/>
  <c r="L321"/>
  <c r="L293"/>
  <c r="L156"/>
  <c r="E65"/>
  <c r="G65"/>
  <c r="I65"/>
  <c r="K65"/>
  <c r="M65"/>
  <c r="F75"/>
  <c r="H75"/>
  <c r="J75"/>
  <c r="L75"/>
  <c r="F96"/>
  <c r="H96"/>
  <c r="J96"/>
  <c r="L96"/>
  <c r="F103"/>
  <c r="H103"/>
  <c r="J103"/>
  <c r="L103"/>
  <c r="H283"/>
  <c r="H297"/>
  <c r="A27" i="2652" l="1"/>
  <c r="A26" i="2651"/>
  <c r="A26" i="2650"/>
  <c r="A27" i="2649"/>
  <c r="A26" i="2648"/>
  <c r="A28" i="2652" l="1"/>
  <c r="A27" i="2651"/>
  <c r="A27" i="2650"/>
  <c r="A28" i="2649"/>
  <c r="A27" i="2648"/>
  <c r="A29" i="2652" l="1"/>
  <c r="A28" i="2651"/>
  <c r="A28" i="2650"/>
  <c r="A29" i="2649"/>
  <c r="A28" i="2648"/>
  <c r="A30" i="2652" l="1"/>
  <c r="A29" i="2651"/>
  <c r="A29" i="2650"/>
  <c r="A30" i="2649"/>
  <c r="A29" i="2648"/>
  <c r="A31" i="2652" l="1"/>
  <c r="A30" i="2651"/>
  <c r="A30" i="2650"/>
  <c r="A31" i="2649"/>
  <c r="A30" i="2648"/>
  <c r="A32" i="2652" l="1"/>
  <c r="A31" i="2651"/>
  <c r="A31" i="2650"/>
  <c r="A32" i="2649"/>
  <c r="A31" i="2648"/>
  <c r="A33" i="2652" l="1"/>
  <c r="A32" i="2651"/>
  <c r="A32" i="2650"/>
  <c r="A33" i="2649"/>
  <c r="A32" i="2648"/>
  <c r="A34" i="2652" l="1"/>
  <c r="A33" i="2651"/>
  <c r="A33" i="2650"/>
  <c r="A34" i="2649"/>
  <c r="A33" i="2648"/>
  <c r="A35" i="2652" l="1"/>
  <c r="A34" i="2651"/>
  <c r="A34" i="2650"/>
  <c r="A35" i="2649"/>
  <c r="A34" i="2648"/>
  <c r="A36" i="2652" l="1"/>
  <c r="A35" i="2651"/>
  <c r="A35" i="2650"/>
  <c r="A36" i="2649"/>
  <c r="A35" i="2648"/>
  <c r="A37" i="2652" l="1"/>
  <c r="A36" i="2651"/>
  <c r="A36" i="2650"/>
  <c r="A37" i="2649"/>
  <c r="A36" i="2648"/>
  <c r="A38" i="2652" l="1"/>
  <c r="A37" i="2651"/>
  <c r="A37" i="2650"/>
  <c r="A38" i="2649"/>
  <c r="A37" i="2648"/>
  <c r="A39" i="2652" l="1"/>
  <c r="A38" i="2651"/>
  <c r="A38" i="2650"/>
  <c r="A39" i="2649"/>
  <c r="A38" i="2648"/>
  <c r="M83" i="2652" l="1"/>
  <c r="G83"/>
  <c r="E83"/>
  <c r="M254"/>
  <c r="H83"/>
  <c r="F83"/>
  <c r="A40"/>
  <c r="A39" i="2651"/>
  <c r="A39" i="2650"/>
  <c r="G83" i="2649"/>
  <c r="M254"/>
  <c r="H83"/>
  <c r="F83"/>
  <c r="M83"/>
  <c r="E83"/>
  <c r="A40"/>
  <c r="A39" i="2648"/>
  <c r="A41" i="2652" l="1"/>
  <c r="L83"/>
  <c r="L254"/>
  <c r="I83"/>
  <c r="I254"/>
  <c r="H290"/>
  <c r="L290"/>
  <c r="J290"/>
  <c r="K290"/>
  <c r="I290"/>
  <c r="J83"/>
  <c r="J254"/>
  <c r="K83"/>
  <c r="K254"/>
  <c r="M254" i="2651"/>
  <c r="H83"/>
  <c r="F83"/>
  <c r="M83"/>
  <c r="G83"/>
  <c r="E83"/>
  <c r="A40"/>
  <c r="M254" i="2650"/>
  <c r="H83"/>
  <c r="F83"/>
  <c r="M83"/>
  <c r="G83"/>
  <c r="E83"/>
  <c r="A40"/>
  <c r="A41" i="2649"/>
  <c r="I83"/>
  <c r="I254"/>
  <c r="J83"/>
  <c r="J254"/>
  <c r="K83"/>
  <c r="K254"/>
  <c r="H290"/>
  <c r="J290"/>
  <c r="K290"/>
  <c r="I290"/>
  <c r="L290"/>
  <c r="L83"/>
  <c r="L254"/>
  <c r="M254" i="2648"/>
  <c r="H83"/>
  <c r="F83"/>
  <c r="M83"/>
  <c r="E83"/>
  <c r="G83"/>
  <c r="A40"/>
  <c r="K290" i="2651" l="1"/>
  <c r="I290"/>
  <c r="H290"/>
  <c r="L290"/>
  <c r="J290"/>
  <c r="I83"/>
  <c r="I254"/>
  <c r="L83"/>
  <c r="L254"/>
  <c r="A41"/>
  <c r="K83"/>
  <c r="K254"/>
  <c r="J83"/>
  <c r="J254"/>
  <c r="K290" i="2650"/>
  <c r="I290"/>
  <c r="H290"/>
  <c r="L290"/>
  <c r="J290"/>
  <c r="I83"/>
  <c r="I254"/>
  <c r="L83"/>
  <c r="L254"/>
  <c r="A41"/>
  <c r="K83"/>
  <c r="K254"/>
  <c r="J83"/>
  <c r="J254"/>
  <c r="K290" i="2648"/>
  <c r="I290"/>
  <c r="H290"/>
  <c r="L290"/>
  <c r="J290"/>
  <c r="J83"/>
  <c r="J254"/>
  <c r="A41"/>
  <c r="K83"/>
  <c r="K254"/>
  <c r="I83"/>
  <c r="I254"/>
  <c r="L83"/>
  <c r="L254"/>
  <c r="E37" i="2649" l="1"/>
  <c r="E37" i="2648"/>
  <c r="A23" i="4"/>
  <c r="F40" i="2649" l="1"/>
  <c r="F215" s="1"/>
  <c r="F40" i="2648"/>
  <c r="F215" s="1"/>
  <c r="F40" i="2650"/>
  <c r="F215" s="1"/>
  <c r="E41" i="2651"/>
  <c r="D294" s="1"/>
  <c r="D9" i="2452" l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8"/>
  <c r="M51" i="2648"/>
  <c r="M296" s="1"/>
  <c r="M51" i="2649"/>
  <c r="M296" s="1"/>
  <c r="M51" i="2650"/>
  <c r="M296" s="1"/>
  <c r="M51" i="2651"/>
  <c r="M296" s="1"/>
  <c r="M51" i="2652"/>
  <c r="M296" s="1"/>
  <c r="L51" i="2648"/>
  <c r="L296" s="1"/>
  <c r="L51" i="2649"/>
  <c r="L296" s="1"/>
  <c r="L51" i="2650"/>
  <c r="L296" s="1"/>
  <c r="L51" i="2651"/>
  <c r="L296" s="1"/>
  <c r="L51" i="2652"/>
  <c r="L296" s="1"/>
  <c r="K51" i="2648"/>
  <c r="K296" s="1"/>
  <c r="K51" i="2649"/>
  <c r="K296" s="1"/>
  <c r="K51" i="2650"/>
  <c r="K296" s="1"/>
  <c r="K51" i="2651"/>
  <c r="K296" s="1"/>
  <c r="K51" i="2652"/>
  <c r="K296" s="1"/>
  <c r="J51" i="2648"/>
  <c r="J296" s="1"/>
  <c r="J51" i="2649"/>
  <c r="J296" s="1"/>
  <c r="J51" i="2650"/>
  <c r="J296" s="1"/>
  <c r="J51" i="2651"/>
  <c r="J296" s="1"/>
  <c r="J51" i="2652"/>
  <c r="J296" s="1"/>
  <c r="I51" i="2648"/>
  <c r="I296" s="1"/>
  <c r="I51" i="2649"/>
  <c r="I296" s="1"/>
  <c r="I51" i="2650"/>
  <c r="I296" s="1"/>
  <c r="I51" i="2651"/>
  <c r="I296" s="1"/>
  <c r="I51" i="2652"/>
  <c r="I296" s="1"/>
  <c r="H51" i="2648"/>
  <c r="H296" s="1"/>
  <c r="H51" i="2649"/>
  <c r="H296" s="1"/>
  <c r="H51" i="2650"/>
  <c r="H296" s="1"/>
  <c r="H51" i="2651"/>
  <c r="H296" s="1"/>
  <c r="H51" i="2652"/>
  <c r="H296" s="1"/>
  <c r="H50" i="2651"/>
  <c r="H256" s="1"/>
  <c r="H50" i="2650"/>
  <c r="H256" s="1"/>
  <c r="H50" i="2649"/>
  <c r="H256" s="1"/>
  <c r="H50" i="2648"/>
  <c r="H256" s="1"/>
  <c r="I50" i="2651"/>
  <c r="I256" s="1"/>
  <c r="I50" i="2650"/>
  <c r="I256" s="1"/>
  <c r="I50" i="2649"/>
  <c r="I256" s="1"/>
  <c r="I50" i="2648"/>
  <c r="I256" s="1"/>
  <c r="J50" i="2651"/>
  <c r="J256" s="1"/>
  <c r="J50" i="2650"/>
  <c r="J256" s="1"/>
  <c r="J50" i="2649"/>
  <c r="J256" s="1"/>
  <c r="J50" i="2648"/>
  <c r="J256" s="1"/>
  <c r="K50" i="2651"/>
  <c r="K256" s="1"/>
  <c r="K50" i="2650"/>
  <c r="K256" s="1"/>
  <c r="K50" i="2649"/>
  <c r="K256" s="1"/>
  <c r="K50" i="2648"/>
  <c r="K256" s="1"/>
  <c r="L50" i="2651"/>
  <c r="L256" s="1"/>
  <c r="L50" i="2650"/>
  <c r="L256" s="1"/>
  <c r="L50" i="2649"/>
  <c r="L256" s="1"/>
  <c r="L50" i="2648"/>
  <c r="L256" s="1"/>
  <c r="M50" i="2651"/>
  <c r="M256" s="1"/>
  <c r="M50" i="2650"/>
  <c r="M256" s="1"/>
  <c r="M50" i="2649"/>
  <c r="M256" s="1"/>
  <c r="M50" i="2648"/>
  <c r="M256" s="1"/>
  <c r="I50" i="2652"/>
  <c r="I256" s="1"/>
  <c r="J50"/>
  <c r="J256" s="1"/>
  <c r="K50"/>
  <c r="K256" s="1"/>
  <c r="L50"/>
  <c r="L256" s="1"/>
  <c r="M50"/>
  <c r="M256" s="1"/>
  <c r="H50"/>
  <c r="H256" s="1"/>
  <c r="E41"/>
  <c r="D294" s="1"/>
  <c r="E41" i="2650"/>
  <c r="D294" s="1"/>
  <c r="E41" i="2649"/>
  <c r="D294" s="1"/>
  <c r="E41" i="2648"/>
  <c r="D294" s="1"/>
  <c r="F40" i="2651"/>
  <c r="F215" s="1"/>
  <c r="F40" i="2652"/>
  <c r="F215" s="1"/>
  <c r="E39" i="2648"/>
  <c r="E289" s="1"/>
  <c r="E39" i="2649"/>
  <c r="E39" i="2650"/>
  <c r="E289" s="1"/>
  <c r="E39" i="2651"/>
  <c r="E289" s="1"/>
  <c r="E39" i="2652"/>
  <c r="E289" s="1"/>
  <c r="E38" i="2648"/>
  <c r="E38" i="2649"/>
  <c r="E38" i="2650"/>
  <c r="E38" i="2651"/>
  <c r="E38" i="2652"/>
  <c r="E37" i="2650"/>
  <c r="E37" i="2651"/>
  <c r="E37" i="2652"/>
  <c r="E36" i="2648"/>
  <c r="E220" s="1"/>
  <c r="E36" i="2649"/>
  <c r="E220" s="1"/>
  <c r="E36" i="2650"/>
  <c r="E220" s="1"/>
  <c r="E36" i="2651"/>
  <c r="E220" s="1"/>
  <c r="E36" i="2652"/>
  <c r="E220" s="1"/>
  <c r="E35" i="2648"/>
  <c r="E219" s="1"/>
  <c r="E35" i="2649"/>
  <c r="E219" s="1"/>
  <c r="E35" i="2650"/>
  <c r="E219" s="1"/>
  <c r="E35" i="2651"/>
  <c r="E219" s="1"/>
  <c r="E35" i="2652"/>
  <c r="E219" s="1"/>
  <c r="E34" i="2648"/>
  <c r="E93" s="1"/>
  <c r="E34" i="2649"/>
  <c r="E93" s="1"/>
  <c r="E34" i="2650"/>
  <c r="E93" s="1"/>
  <c r="E34" i="2651"/>
  <c r="E93" s="1"/>
  <c r="E34" i="2652"/>
  <c r="E93" s="1"/>
  <c r="E33" i="2648"/>
  <c r="E97" s="1"/>
  <c r="E33" i="2649"/>
  <c r="E97" s="1"/>
  <c r="E33" i="2650"/>
  <c r="E97" s="1"/>
  <c r="E33" i="2651"/>
  <c r="E97" s="1"/>
  <c r="E33" i="2652"/>
  <c r="E97" s="1"/>
  <c r="F32" i="2648"/>
  <c r="F86" s="1"/>
  <c r="F32" i="2649"/>
  <c r="F86" s="1"/>
  <c r="F32" i="2650"/>
  <c r="F86" s="1"/>
  <c r="F32" i="2651"/>
  <c r="F86" s="1"/>
  <c r="F32" i="2652"/>
  <c r="F86" s="1"/>
  <c r="F31" i="2648"/>
  <c r="F219" s="1"/>
  <c r="F31" i="2649"/>
  <c r="F219" s="1"/>
  <c r="F31" i="2650"/>
  <c r="F219" s="1"/>
  <c r="F31" i="2651"/>
  <c r="F219" s="1"/>
  <c r="F31" i="2652"/>
  <c r="F219" s="1"/>
  <c r="F30" i="2648"/>
  <c r="F30" i="2649"/>
  <c r="F30" i="2650"/>
  <c r="F30" i="2651"/>
  <c r="F30" i="2652"/>
  <c r="F29" i="2648"/>
  <c r="F48" s="1"/>
  <c r="F29" i="2649"/>
  <c r="F48" s="1"/>
  <c r="F29" i="2650"/>
  <c r="F48" s="1"/>
  <c r="F29" i="2651"/>
  <c r="F48" s="1"/>
  <c r="F29" i="2652"/>
  <c r="F48" s="1"/>
  <c r="F28" i="2648"/>
  <c r="F93" s="1"/>
  <c r="F28" i="2649"/>
  <c r="F93" s="1"/>
  <c r="F28" i="2650"/>
  <c r="F93" s="1"/>
  <c r="F28" i="2651"/>
  <c r="F93" s="1"/>
  <c r="F28" i="2652"/>
  <c r="F93" s="1"/>
  <c r="F27" i="2648"/>
  <c r="F27" i="2649"/>
  <c r="F27" i="2650"/>
  <c r="F27" i="2651"/>
  <c r="F27" i="2652"/>
  <c r="F26" i="2648"/>
  <c r="F26" i="2649"/>
  <c r="F26" i="2650"/>
  <c r="F26" i="2651"/>
  <c r="F26" i="2652"/>
  <c r="F25" i="2648"/>
  <c r="F25" i="2649"/>
  <c r="F25" i="2650"/>
  <c r="F25" i="2651"/>
  <c r="F25" i="2652"/>
  <c r="F24" i="2648"/>
  <c r="F24" i="2649"/>
  <c r="F24" i="2650"/>
  <c r="F24" i="2651"/>
  <c r="F24" i="2652"/>
  <c r="F23" i="2648"/>
  <c r="F23" i="2649"/>
  <c r="F23" i="2650"/>
  <c r="F23" i="2651"/>
  <c r="F23" i="2652"/>
  <c r="D316" i="2649" l="1"/>
  <c r="D218" i="2652"/>
  <c r="D218" i="2650"/>
  <c r="F220" s="1"/>
  <c r="D218" i="2648"/>
  <c r="F220" s="1"/>
  <c r="D316" i="2652"/>
  <c r="D218" i="2651"/>
  <c r="F220" s="1"/>
  <c r="D218" i="2649"/>
  <c r="F220" s="1"/>
  <c r="E176" i="2652"/>
  <c r="E174"/>
  <c r="E172"/>
  <c r="E170"/>
  <c r="E168"/>
  <c r="E123"/>
  <c r="E122"/>
  <c r="E119"/>
  <c r="E118"/>
  <c r="E115"/>
  <c r="E176" i="2651"/>
  <c r="E175"/>
  <c r="E175" i="2652"/>
  <c r="E171"/>
  <c r="E120"/>
  <c r="E117"/>
  <c r="E173" i="2651"/>
  <c r="E170"/>
  <c r="E169"/>
  <c r="E121"/>
  <c r="E120"/>
  <c r="E117"/>
  <c r="E116"/>
  <c r="E176" i="2650"/>
  <c r="E174"/>
  <c r="E172"/>
  <c r="E170"/>
  <c r="E168"/>
  <c r="E122"/>
  <c r="E120"/>
  <c r="E118"/>
  <c r="E116"/>
  <c r="E115"/>
  <c r="E174" i="2649"/>
  <c r="E173"/>
  <c r="E170"/>
  <c r="E169"/>
  <c r="E122"/>
  <c r="E121"/>
  <c r="E118"/>
  <c r="E117"/>
  <c r="E169" i="2652"/>
  <c r="E121"/>
  <c r="E116"/>
  <c r="E172" i="2651"/>
  <c r="E123"/>
  <c r="E118"/>
  <c r="E115"/>
  <c r="E175" i="2650"/>
  <c r="E171"/>
  <c r="E123"/>
  <c r="E119"/>
  <c r="E175" i="2649"/>
  <c r="E172"/>
  <c r="E119"/>
  <c r="E116"/>
  <c r="E175" i="2648"/>
  <c r="E174"/>
  <c r="E171"/>
  <c r="E170"/>
  <c r="E121"/>
  <c r="E120"/>
  <c r="E117"/>
  <c r="E116"/>
  <c r="E173" i="2652"/>
  <c r="E174" i="2651"/>
  <c r="E171"/>
  <c r="E168"/>
  <c r="E122"/>
  <c r="E119"/>
  <c r="E173" i="2650"/>
  <c r="E169"/>
  <c r="E121"/>
  <c r="E117"/>
  <c r="E176" i="2649"/>
  <c r="E171"/>
  <c r="E168"/>
  <c r="E123"/>
  <c r="E120"/>
  <c r="E115"/>
  <c r="E176" i="2648"/>
  <c r="E173"/>
  <c r="E172"/>
  <c r="E169"/>
  <c r="E168"/>
  <c r="E123"/>
  <c r="E122"/>
  <c r="E119"/>
  <c r="E118"/>
  <c r="E115"/>
  <c r="E90" i="2652"/>
  <c r="E90" i="2650"/>
  <c r="E90" i="2651"/>
  <c r="E90" i="2649"/>
  <c r="E90" i="2648"/>
  <c r="G90" i="2652"/>
  <c r="G90" i="2650"/>
  <c r="G90" i="2649"/>
  <c r="G90" i="2651"/>
  <c r="G90" i="2648"/>
  <c r="I90" i="2652"/>
  <c r="I90" i="2650"/>
  <c r="I90" i="2651"/>
  <c r="I90" i="2649"/>
  <c r="I90" i="2648"/>
  <c r="K90" i="2652"/>
  <c r="K90" i="2650"/>
  <c r="K90" i="2649"/>
  <c r="K90" i="2651"/>
  <c r="K90" i="2648"/>
  <c r="M90" i="2652"/>
  <c r="M90" i="2650"/>
  <c r="M90" i="2651"/>
  <c r="M90" i="2649"/>
  <c r="M90" i="2648"/>
  <c r="D316" i="2651"/>
  <c r="F97" i="2652"/>
  <c r="F97" i="2650"/>
  <c r="F97" i="2648"/>
  <c r="F91" i="2651"/>
  <c r="F222" i="2652"/>
  <c r="F98"/>
  <c r="F201"/>
  <c r="F222" i="2650"/>
  <c r="F98"/>
  <c r="F201"/>
  <c r="F222" i="2648"/>
  <c r="F98"/>
  <c r="F201"/>
  <c r="F158" i="2651"/>
  <c r="F221"/>
  <c r="F105"/>
  <c r="F221" i="2649"/>
  <c r="F105"/>
  <c r="F158"/>
  <c r="E206" i="2651"/>
  <c r="E200"/>
  <c r="E206" i="2649"/>
  <c r="E200"/>
  <c r="E98" i="2652"/>
  <c r="E201"/>
  <c r="E201" i="2650"/>
  <c r="E98"/>
  <c r="E201" i="2648"/>
  <c r="E98"/>
  <c r="E233" i="2651"/>
  <c r="F233" s="1"/>
  <c r="G233" s="1"/>
  <c r="H233" s="1"/>
  <c r="I233" s="1"/>
  <c r="J233" s="1"/>
  <c r="K233" s="1"/>
  <c r="L233" s="1"/>
  <c r="M233" s="1"/>
  <c r="E81" i="2652"/>
  <c r="E287"/>
  <c r="E287" i="2650"/>
  <c r="E81"/>
  <c r="E287" i="2648"/>
  <c r="E81"/>
  <c r="M290" i="2649"/>
  <c r="E289"/>
  <c r="J283" i="2652"/>
  <c r="K283" s="1"/>
  <c r="L283" s="1"/>
  <c r="M283" s="1"/>
  <c r="J283" i="2648"/>
  <c r="K283" s="1"/>
  <c r="L283" s="1"/>
  <c r="M283" s="1"/>
  <c r="J283" i="2650"/>
  <c r="K283" s="1"/>
  <c r="L283" s="1"/>
  <c r="M283" s="1"/>
  <c r="J297" i="2652"/>
  <c r="K297" s="1"/>
  <c r="L297" s="1"/>
  <c r="M297" s="1"/>
  <c r="J297" i="2650"/>
  <c r="K297" s="1"/>
  <c r="L297" s="1"/>
  <c r="M297" s="1"/>
  <c r="J297" i="2648"/>
  <c r="K297" s="1"/>
  <c r="L297" s="1"/>
  <c r="M297" s="1"/>
  <c r="I299" i="2650"/>
  <c r="I299" i="2651"/>
  <c r="I299" i="2649"/>
  <c r="I257" i="2652"/>
  <c r="M257"/>
  <c r="K257" i="2651"/>
  <c r="H257"/>
  <c r="J257"/>
  <c r="L257"/>
  <c r="H257" i="2650"/>
  <c r="J257"/>
  <c r="L257"/>
  <c r="J257" i="2649"/>
  <c r="I257" i="2648"/>
  <c r="K257"/>
  <c r="M257"/>
  <c r="I299"/>
  <c r="I299" i="2652"/>
  <c r="K257"/>
  <c r="H257"/>
  <c r="J257"/>
  <c r="L257"/>
  <c r="I257" i="2651"/>
  <c r="M257"/>
  <c r="I257" i="2650"/>
  <c r="K257"/>
  <c r="M257"/>
  <c r="H257" i="2649"/>
  <c r="L257"/>
  <c r="I257"/>
  <c r="K257"/>
  <c r="M257"/>
  <c r="H257" i="2648"/>
  <c r="J257"/>
  <c r="L257"/>
  <c r="F90" i="2652"/>
  <c r="F90" i="2651"/>
  <c r="F90" i="2649"/>
  <c r="F90" i="2648"/>
  <c r="F90" i="2650"/>
  <c r="H90" i="2651"/>
  <c r="H90" i="2649"/>
  <c r="H90" i="2650"/>
  <c r="H90" i="2648"/>
  <c r="H90" i="2652"/>
  <c r="J90"/>
  <c r="J90" i="2651"/>
  <c r="J90" i="2649"/>
  <c r="J90" i="2648"/>
  <c r="J90" i="2650"/>
  <c r="L90" i="2651"/>
  <c r="L90" i="2649"/>
  <c r="L90" i="2652"/>
  <c r="L90" i="2650"/>
  <c r="L90" i="2648"/>
  <c r="D316" i="2650"/>
  <c r="D316" i="2648"/>
  <c r="F97" i="2651"/>
  <c r="F97" i="2649"/>
  <c r="F91"/>
  <c r="F91" i="2652"/>
  <c r="F91" i="2650"/>
  <c r="F91" i="2648"/>
  <c r="F201" i="2651"/>
  <c r="F222"/>
  <c r="F98"/>
  <c r="F201" i="2649"/>
  <c r="F98"/>
  <c r="F222"/>
  <c r="F221" i="2652"/>
  <c r="F105"/>
  <c r="F158"/>
  <c r="F158" i="2650"/>
  <c r="F221"/>
  <c r="F223" s="1"/>
  <c r="G219" s="1"/>
  <c r="G220" s="1"/>
  <c r="F105"/>
  <c r="F221" i="2648"/>
  <c r="F223" s="1"/>
  <c r="G219" s="1"/>
  <c r="G220" s="1"/>
  <c r="F105"/>
  <c r="F158"/>
  <c r="F220" i="2652"/>
  <c r="E200"/>
  <c r="E206"/>
  <c r="E206" i="2650"/>
  <c r="E200"/>
  <c r="E206" i="2648"/>
  <c r="E200"/>
  <c r="E98" i="2651"/>
  <c r="E201"/>
  <c r="E201" i="2649"/>
  <c r="E98"/>
  <c r="E233" i="2652"/>
  <c r="F233" s="1"/>
  <c r="G233" s="1"/>
  <c r="H233" s="1"/>
  <c r="I233" s="1"/>
  <c r="J233" s="1"/>
  <c r="K233" s="1"/>
  <c r="L233" s="1"/>
  <c r="M233" s="1"/>
  <c r="E233" i="2650"/>
  <c r="F233" s="1"/>
  <c r="G233" s="1"/>
  <c r="H233" s="1"/>
  <c r="I233" s="1"/>
  <c r="J233" s="1"/>
  <c r="K233" s="1"/>
  <c r="L233" s="1"/>
  <c r="M233" s="1"/>
  <c r="E81" i="2651"/>
  <c r="E287"/>
  <c r="H254" i="2649"/>
  <c r="E81"/>
  <c r="E287"/>
  <c r="M261"/>
  <c r="M268"/>
  <c r="J283"/>
  <c r="K283" s="1"/>
  <c r="L283" s="1"/>
  <c r="M283" s="1"/>
  <c r="J283" i="2651"/>
  <c r="K283" s="1"/>
  <c r="L283" s="1"/>
  <c r="M283" s="1"/>
  <c r="J297"/>
  <c r="K297" s="1"/>
  <c r="L297" s="1"/>
  <c r="M297" s="1"/>
  <c r="J297" i="2649"/>
  <c r="K297" s="1"/>
  <c r="L297" s="1"/>
  <c r="M297" s="1"/>
  <c r="K49"/>
  <c r="K323" s="1"/>
  <c r="H49" i="2648"/>
  <c r="H323" s="1"/>
  <c r="G49" i="2649"/>
  <c r="I49" i="2648"/>
  <c r="I323" s="1"/>
  <c r="K49"/>
  <c r="K323" s="1"/>
  <c r="L49"/>
  <c r="L323" s="1"/>
  <c r="L49" i="2649"/>
  <c r="L323" s="1"/>
  <c r="M49"/>
  <c r="M323" s="1"/>
  <c r="H49"/>
  <c r="I49"/>
  <c r="I323" s="1"/>
  <c r="G49" i="2648"/>
  <c r="I18" i="49" s="1"/>
  <c r="J49" i="2648"/>
  <c r="J323" s="1"/>
  <c r="M49"/>
  <c r="M323" s="1"/>
  <c r="J49" i="2649"/>
  <c r="J323" s="1"/>
  <c r="G323" l="1"/>
  <c r="H18" i="49"/>
  <c r="F223" i="2652"/>
  <c r="G219" s="1"/>
  <c r="F223" i="2649"/>
  <c r="G219" s="1"/>
  <c r="G220" s="1"/>
  <c r="G91" i="2648"/>
  <c r="H91" s="1"/>
  <c r="I91" s="1"/>
  <c r="J91" s="1"/>
  <c r="K91" s="1"/>
  <c r="L91" s="1"/>
  <c r="M91" s="1"/>
  <c r="E91"/>
  <c r="E202" s="1"/>
  <c r="G91" i="2652"/>
  <c r="H91" s="1"/>
  <c r="I91" s="1"/>
  <c r="J91" s="1"/>
  <c r="K91" s="1"/>
  <c r="L91" s="1"/>
  <c r="M91" s="1"/>
  <c r="E91"/>
  <c r="E202" s="1"/>
  <c r="E91" i="2649"/>
  <c r="E202" s="1"/>
  <c r="G91"/>
  <c r="H91" s="1"/>
  <c r="I91" s="1"/>
  <c r="J91" s="1"/>
  <c r="K91" s="1"/>
  <c r="L91" s="1"/>
  <c r="M91" s="1"/>
  <c r="E91" i="2651"/>
  <c r="E202" s="1"/>
  <c r="G91"/>
  <c r="H91" s="1"/>
  <c r="I91" s="1"/>
  <c r="J91" s="1"/>
  <c r="K91" s="1"/>
  <c r="L91" s="1"/>
  <c r="M91" s="1"/>
  <c r="F100" i="2648"/>
  <c r="F206"/>
  <c r="F214" s="1"/>
  <c r="F206" i="2650"/>
  <c r="F214" s="1"/>
  <c r="F100"/>
  <c r="F206" i="2652"/>
  <c r="F214" s="1"/>
  <c r="F100"/>
  <c r="E133" i="2648"/>
  <c r="F115"/>
  <c r="G115" s="1"/>
  <c r="H115" s="1"/>
  <c r="I115" s="1"/>
  <c r="J115" s="1"/>
  <c r="K115" s="1"/>
  <c r="L115" s="1"/>
  <c r="M115" s="1"/>
  <c r="E137"/>
  <c r="F119"/>
  <c r="G119" s="1"/>
  <c r="H119" s="1"/>
  <c r="I119" s="1"/>
  <c r="J119" s="1"/>
  <c r="K119" s="1"/>
  <c r="L119" s="1"/>
  <c r="M119" s="1"/>
  <c r="E141"/>
  <c r="F123"/>
  <c r="G123" s="1"/>
  <c r="H123" s="1"/>
  <c r="I123" s="1"/>
  <c r="J123" s="1"/>
  <c r="K123" s="1"/>
  <c r="L123" s="1"/>
  <c r="M123" s="1"/>
  <c r="E178"/>
  <c r="E187" s="1"/>
  <c r="F160" s="1"/>
  <c r="F169"/>
  <c r="G169" s="1"/>
  <c r="H169" s="1"/>
  <c r="I169" s="1"/>
  <c r="J169" s="1"/>
  <c r="K169" s="1"/>
  <c r="L169" s="1"/>
  <c r="M169" s="1"/>
  <c r="E182"/>
  <c r="E191" s="1"/>
  <c r="F164" s="1"/>
  <c r="F173"/>
  <c r="G173" s="1"/>
  <c r="H173" s="1"/>
  <c r="I173" s="1"/>
  <c r="J173" s="1"/>
  <c r="K173" s="1"/>
  <c r="L173" s="1"/>
  <c r="M173" s="1"/>
  <c r="E133" i="2649"/>
  <c r="F115"/>
  <c r="G115" s="1"/>
  <c r="H115" s="1"/>
  <c r="I115" s="1"/>
  <c r="J115" s="1"/>
  <c r="K115" s="1"/>
  <c r="L115" s="1"/>
  <c r="M115" s="1"/>
  <c r="F123"/>
  <c r="G123" s="1"/>
  <c r="H123" s="1"/>
  <c r="I123" s="1"/>
  <c r="J123" s="1"/>
  <c r="K123" s="1"/>
  <c r="L123" s="1"/>
  <c r="M123" s="1"/>
  <c r="E141"/>
  <c r="E180"/>
  <c r="E189" s="1"/>
  <c r="F162" s="1"/>
  <c r="F171"/>
  <c r="G171" s="1"/>
  <c r="H171" s="1"/>
  <c r="I171" s="1"/>
  <c r="J171" s="1"/>
  <c r="K171" s="1"/>
  <c r="L171" s="1"/>
  <c r="M171" s="1"/>
  <c r="F117" i="2650"/>
  <c r="G117" s="1"/>
  <c r="H117" s="1"/>
  <c r="I117" s="1"/>
  <c r="J117" s="1"/>
  <c r="K117" s="1"/>
  <c r="L117" s="1"/>
  <c r="M117" s="1"/>
  <c r="E135"/>
  <c r="E178"/>
  <c r="E187" s="1"/>
  <c r="F160" s="1"/>
  <c r="F169"/>
  <c r="G169" s="1"/>
  <c r="H169" s="1"/>
  <c r="I169" s="1"/>
  <c r="J169" s="1"/>
  <c r="K169" s="1"/>
  <c r="L169" s="1"/>
  <c r="M169" s="1"/>
  <c r="E137" i="2651"/>
  <c r="F119"/>
  <c r="G119" s="1"/>
  <c r="H119" s="1"/>
  <c r="I119" s="1"/>
  <c r="J119" s="1"/>
  <c r="K119" s="1"/>
  <c r="L119" s="1"/>
  <c r="M119" s="1"/>
  <c r="E177"/>
  <c r="F168"/>
  <c r="G168" s="1"/>
  <c r="H168" s="1"/>
  <c r="I168" s="1"/>
  <c r="J168" s="1"/>
  <c r="K168" s="1"/>
  <c r="L168" s="1"/>
  <c r="M168" s="1"/>
  <c r="E183"/>
  <c r="E192" s="1"/>
  <c r="F165" s="1"/>
  <c r="F174"/>
  <c r="G174" s="1"/>
  <c r="H174" s="1"/>
  <c r="I174" s="1"/>
  <c r="J174" s="1"/>
  <c r="K174" s="1"/>
  <c r="L174" s="1"/>
  <c r="M174" s="1"/>
  <c r="E134" i="2648"/>
  <c r="F116"/>
  <c r="G116" s="1"/>
  <c r="H116" s="1"/>
  <c r="I116" s="1"/>
  <c r="J116" s="1"/>
  <c r="K116" s="1"/>
  <c r="L116" s="1"/>
  <c r="M116" s="1"/>
  <c r="E138"/>
  <c r="F120"/>
  <c r="G120" s="1"/>
  <c r="H120" s="1"/>
  <c r="I120" s="1"/>
  <c r="J120" s="1"/>
  <c r="K120" s="1"/>
  <c r="L120" s="1"/>
  <c r="M120" s="1"/>
  <c r="E179"/>
  <c r="E188" s="1"/>
  <c r="F161" s="1"/>
  <c r="F170"/>
  <c r="G170" s="1"/>
  <c r="H170" s="1"/>
  <c r="I170" s="1"/>
  <c r="J170" s="1"/>
  <c r="K170" s="1"/>
  <c r="L170" s="1"/>
  <c r="M170" s="1"/>
  <c r="E183"/>
  <c r="E192" s="1"/>
  <c r="F165" s="1"/>
  <c r="F174"/>
  <c r="G174" s="1"/>
  <c r="H174" s="1"/>
  <c r="I174" s="1"/>
  <c r="J174" s="1"/>
  <c r="K174" s="1"/>
  <c r="L174" s="1"/>
  <c r="M174" s="1"/>
  <c r="E134" i="2649"/>
  <c r="F116"/>
  <c r="G116" s="1"/>
  <c r="H116" s="1"/>
  <c r="I116" s="1"/>
  <c r="J116" s="1"/>
  <c r="K116" s="1"/>
  <c r="L116" s="1"/>
  <c r="M116" s="1"/>
  <c r="E181"/>
  <c r="E190" s="1"/>
  <c r="F163" s="1"/>
  <c r="F172"/>
  <c r="G172" s="1"/>
  <c r="H172" s="1"/>
  <c r="I172" s="1"/>
  <c r="J172" s="1"/>
  <c r="K172" s="1"/>
  <c r="L172" s="1"/>
  <c r="M172" s="1"/>
  <c r="F119" i="2650"/>
  <c r="G119" s="1"/>
  <c r="H119" s="1"/>
  <c r="I119" s="1"/>
  <c r="J119" s="1"/>
  <c r="K119" s="1"/>
  <c r="L119" s="1"/>
  <c r="M119" s="1"/>
  <c r="E137"/>
  <c r="E180"/>
  <c r="E189" s="1"/>
  <c r="F162" s="1"/>
  <c r="F171"/>
  <c r="G171" s="1"/>
  <c r="H171" s="1"/>
  <c r="I171" s="1"/>
  <c r="J171" s="1"/>
  <c r="K171" s="1"/>
  <c r="L171" s="1"/>
  <c r="M171" s="1"/>
  <c r="E133" i="2651"/>
  <c r="F115"/>
  <c r="G115" s="1"/>
  <c r="H115" s="1"/>
  <c r="I115" s="1"/>
  <c r="J115" s="1"/>
  <c r="K115" s="1"/>
  <c r="L115" s="1"/>
  <c r="M115" s="1"/>
  <c r="E141"/>
  <c r="F123"/>
  <c r="G123" s="1"/>
  <c r="H123" s="1"/>
  <c r="I123" s="1"/>
  <c r="J123" s="1"/>
  <c r="K123" s="1"/>
  <c r="L123" s="1"/>
  <c r="M123" s="1"/>
  <c r="E134" i="2652"/>
  <c r="F116"/>
  <c r="G116" s="1"/>
  <c r="H116" s="1"/>
  <c r="I116" s="1"/>
  <c r="J116" s="1"/>
  <c r="K116" s="1"/>
  <c r="L116" s="1"/>
  <c r="M116" s="1"/>
  <c r="E178"/>
  <c r="E187" s="1"/>
  <c r="F160" s="1"/>
  <c r="F169"/>
  <c r="G169" s="1"/>
  <c r="H169" s="1"/>
  <c r="I169" s="1"/>
  <c r="J169" s="1"/>
  <c r="K169" s="1"/>
  <c r="L169" s="1"/>
  <c r="M169" s="1"/>
  <c r="E136" i="2649"/>
  <c r="F118"/>
  <c r="G118" s="1"/>
  <c r="H118" s="1"/>
  <c r="I118" s="1"/>
  <c r="J118" s="1"/>
  <c r="K118" s="1"/>
  <c r="L118" s="1"/>
  <c r="M118" s="1"/>
  <c r="E140"/>
  <c r="F122"/>
  <c r="G122" s="1"/>
  <c r="H122" s="1"/>
  <c r="I122" s="1"/>
  <c r="J122" s="1"/>
  <c r="K122" s="1"/>
  <c r="L122" s="1"/>
  <c r="M122" s="1"/>
  <c r="E179"/>
  <c r="E188" s="1"/>
  <c r="F161" s="1"/>
  <c r="F170"/>
  <c r="G170" s="1"/>
  <c r="H170" s="1"/>
  <c r="I170" s="1"/>
  <c r="J170" s="1"/>
  <c r="K170" s="1"/>
  <c r="L170" s="1"/>
  <c r="M170" s="1"/>
  <c r="E183"/>
  <c r="E192" s="1"/>
  <c r="F165" s="1"/>
  <c r="F174"/>
  <c r="G174" s="1"/>
  <c r="H174" s="1"/>
  <c r="I174" s="1"/>
  <c r="J174" s="1"/>
  <c r="K174" s="1"/>
  <c r="L174" s="1"/>
  <c r="M174" s="1"/>
  <c r="E134" i="2650"/>
  <c r="F116"/>
  <c r="G116" s="1"/>
  <c r="H116" s="1"/>
  <c r="I116" s="1"/>
  <c r="J116" s="1"/>
  <c r="K116" s="1"/>
  <c r="L116" s="1"/>
  <c r="M116" s="1"/>
  <c r="E138"/>
  <c r="F120"/>
  <c r="G120" s="1"/>
  <c r="H120" s="1"/>
  <c r="I120" s="1"/>
  <c r="J120" s="1"/>
  <c r="K120" s="1"/>
  <c r="L120" s="1"/>
  <c r="M120" s="1"/>
  <c r="E177"/>
  <c r="F168"/>
  <c r="G168" s="1"/>
  <c r="H168" s="1"/>
  <c r="I168" s="1"/>
  <c r="J168" s="1"/>
  <c r="K168" s="1"/>
  <c r="L168" s="1"/>
  <c r="M168" s="1"/>
  <c r="E181"/>
  <c r="E190" s="1"/>
  <c r="F163" s="1"/>
  <c r="F172"/>
  <c r="G172" s="1"/>
  <c r="H172" s="1"/>
  <c r="I172" s="1"/>
  <c r="J172" s="1"/>
  <c r="K172" s="1"/>
  <c r="L172" s="1"/>
  <c r="M172" s="1"/>
  <c r="E185"/>
  <c r="E194" s="1"/>
  <c r="F167" s="1"/>
  <c r="F176"/>
  <c r="G176" s="1"/>
  <c r="H176" s="1"/>
  <c r="I176" s="1"/>
  <c r="J176" s="1"/>
  <c r="K176" s="1"/>
  <c r="L176" s="1"/>
  <c r="M176" s="1"/>
  <c r="E135" i="2651"/>
  <c r="F117"/>
  <c r="G117" s="1"/>
  <c r="H117" s="1"/>
  <c r="I117" s="1"/>
  <c r="J117" s="1"/>
  <c r="K117" s="1"/>
  <c r="L117" s="1"/>
  <c r="M117" s="1"/>
  <c r="E139"/>
  <c r="F121"/>
  <c r="G121" s="1"/>
  <c r="H121" s="1"/>
  <c r="I121" s="1"/>
  <c r="J121" s="1"/>
  <c r="K121" s="1"/>
  <c r="L121" s="1"/>
  <c r="M121" s="1"/>
  <c r="E179"/>
  <c r="E188" s="1"/>
  <c r="F161" s="1"/>
  <c r="F170"/>
  <c r="G170" s="1"/>
  <c r="H170" s="1"/>
  <c r="I170" s="1"/>
  <c r="J170" s="1"/>
  <c r="K170" s="1"/>
  <c r="L170" s="1"/>
  <c r="M170" s="1"/>
  <c r="E135" i="2652"/>
  <c r="F117"/>
  <c r="G117" s="1"/>
  <c r="H117" s="1"/>
  <c r="I117" s="1"/>
  <c r="J117" s="1"/>
  <c r="K117" s="1"/>
  <c r="L117" s="1"/>
  <c r="M117" s="1"/>
  <c r="E180"/>
  <c r="E189" s="1"/>
  <c r="F162" s="1"/>
  <c r="F171"/>
  <c r="G171" s="1"/>
  <c r="H171" s="1"/>
  <c r="I171" s="1"/>
  <c r="J171" s="1"/>
  <c r="K171" s="1"/>
  <c r="L171" s="1"/>
  <c r="M171" s="1"/>
  <c r="E184" i="2651"/>
  <c r="E193" s="1"/>
  <c r="F166" s="1"/>
  <c r="F175"/>
  <c r="G175" s="1"/>
  <c r="H175" s="1"/>
  <c r="I175" s="1"/>
  <c r="J175" s="1"/>
  <c r="K175" s="1"/>
  <c r="L175" s="1"/>
  <c r="M175" s="1"/>
  <c r="E133" i="2652"/>
  <c r="F115"/>
  <c r="G115" s="1"/>
  <c r="H115" s="1"/>
  <c r="I115" s="1"/>
  <c r="J115" s="1"/>
  <c r="K115" s="1"/>
  <c r="L115" s="1"/>
  <c r="M115" s="1"/>
  <c r="E137"/>
  <c r="F119"/>
  <c r="G119" s="1"/>
  <c r="H119" s="1"/>
  <c r="I119" s="1"/>
  <c r="J119" s="1"/>
  <c r="K119" s="1"/>
  <c r="L119" s="1"/>
  <c r="M119" s="1"/>
  <c r="E141"/>
  <c r="F123"/>
  <c r="G123" s="1"/>
  <c r="H123" s="1"/>
  <c r="I123" s="1"/>
  <c r="J123" s="1"/>
  <c r="K123" s="1"/>
  <c r="L123" s="1"/>
  <c r="M123" s="1"/>
  <c r="E179"/>
  <c r="E188" s="1"/>
  <c r="F161" s="1"/>
  <c r="F170"/>
  <c r="G170" s="1"/>
  <c r="H170" s="1"/>
  <c r="I170" s="1"/>
  <c r="J170" s="1"/>
  <c r="K170" s="1"/>
  <c r="L170" s="1"/>
  <c r="M170" s="1"/>
  <c r="E183"/>
  <c r="E192" s="1"/>
  <c r="F165" s="1"/>
  <c r="F174"/>
  <c r="G174" s="1"/>
  <c r="H174" s="1"/>
  <c r="I174" s="1"/>
  <c r="J174" s="1"/>
  <c r="K174" s="1"/>
  <c r="L174" s="1"/>
  <c r="M174" s="1"/>
  <c r="G323" i="2648"/>
  <c r="E341"/>
  <c r="I10" i="49" s="1"/>
  <c r="H323" i="2649"/>
  <c r="E341"/>
  <c r="H10" i="49" s="1"/>
  <c r="G220" i="2652"/>
  <c r="E91" i="2650"/>
  <c r="E202" s="1"/>
  <c r="G91"/>
  <c r="H91" s="1"/>
  <c r="I91" s="1"/>
  <c r="J91" s="1"/>
  <c r="K91" s="1"/>
  <c r="L91" s="1"/>
  <c r="M91" s="1"/>
  <c r="F206" i="2649"/>
  <c r="F214" s="1"/>
  <c r="F100"/>
  <c r="F100" i="2651"/>
  <c r="F206"/>
  <c r="F223"/>
  <c r="G219" s="1"/>
  <c r="E136" i="2648"/>
  <c r="F118"/>
  <c r="G118" s="1"/>
  <c r="H118" s="1"/>
  <c r="I118" s="1"/>
  <c r="J118" s="1"/>
  <c r="K118" s="1"/>
  <c r="L118" s="1"/>
  <c r="M118" s="1"/>
  <c r="E140"/>
  <c r="F122"/>
  <c r="G122" s="1"/>
  <c r="H122" s="1"/>
  <c r="I122" s="1"/>
  <c r="J122" s="1"/>
  <c r="K122" s="1"/>
  <c r="L122" s="1"/>
  <c r="M122" s="1"/>
  <c r="E177"/>
  <c r="F168"/>
  <c r="G168" s="1"/>
  <c r="H168" s="1"/>
  <c r="I168" s="1"/>
  <c r="J168" s="1"/>
  <c r="K168" s="1"/>
  <c r="L168" s="1"/>
  <c r="M168" s="1"/>
  <c r="E181"/>
  <c r="E190" s="1"/>
  <c r="F163" s="1"/>
  <c r="F172"/>
  <c r="G172" s="1"/>
  <c r="H172" s="1"/>
  <c r="I172" s="1"/>
  <c r="J172" s="1"/>
  <c r="K172" s="1"/>
  <c r="L172" s="1"/>
  <c r="M172" s="1"/>
  <c r="E185"/>
  <c r="E194" s="1"/>
  <c r="F167" s="1"/>
  <c r="F176"/>
  <c r="G176" s="1"/>
  <c r="H176" s="1"/>
  <c r="I176" s="1"/>
  <c r="J176" s="1"/>
  <c r="K176" s="1"/>
  <c r="L176" s="1"/>
  <c r="M176" s="1"/>
  <c r="E138" i="2649"/>
  <c r="F120"/>
  <c r="G120" s="1"/>
  <c r="H120" s="1"/>
  <c r="I120" s="1"/>
  <c r="J120" s="1"/>
  <c r="K120" s="1"/>
  <c r="L120" s="1"/>
  <c r="M120" s="1"/>
  <c r="E177"/>
  <c r="F168"/>
  <c r="G168" s="1"/>
  <c r="H168" s="1"/>
  <c r="I168" s="1"/>
  <c r="J168" s="1"/>
  <c r="K168" s="1"/>
  <c r="L168" s="1"/>
  <c r="M168" s="1"/>
  <c r="E185"/>
  <c r="E194" s="1"/>
  <c r="F167" s="1"/>
  <c r="F176"/>
  <c r="G176" s="1"/>
  <c r="H176" s="1"/>
  <c r="I176" s="1"/>
  <c r="J176" s="1"/>
  <c r="K176" s="1"/>
  <c r="L176" s="1"/>
  <c r="M176" s="1"/>
  <c r="F121" i="2650"/>
  <c r="G121" s="1"/>
  <c r="H121" s="1"/>
  <c r="I121" s="1"/>
  <c r="J121" s="1"/>
  <c r="K121" s="1"/>
  <c r="L121" s="1"/>
  <c r="M121" s="1"/>
  <c r="E139"/>
  <c r="E182"/>
  <c r="E191" s="1"/>
  <c r="F164" s="1"/>
  <c r="F173"/>
  <c r="G173" s="1"/>
  <c r="H173" s="1"/>
  <c r="I173" s="1"/>
  <c r="J173" s="1"/>
  <c r="K173" s="1"/>
  <c r="L173" s="1"/>
  <c r="M173" s="1"/>
  <c r="E140" i="2651"/>
  <c r="F122"/>
  <c r="G122" s="1"/>
  <c r="H122" s="1"/>
  <c r="I122" s="1"/>
  <c r="J122" s="1"/>
  <c r="K122" s="1"/>
  <c r="L122" s="1"/>
  <c r="M122" s="1"/>
  <c r="E180"/>
  <c r="E189" s="1"/>
  <c r="F162" s="1"/>
  <c r="F171"/>
  <c r="G171" s="1"/>
  <c r="H171" s="1"/>
  <c r="I171" s="1"/>
  <c r="J171" s="1"/>
  <c r="K171" s="1"/>
  <c r="L171" s="1"/>
  <c r="M171" s="1"/>
  <c r="E182" i="2652"/>
  <c r="E191" s="1"/>
  <c r="F164" s="1"/>
  <c r="F173"/>
  <c r="G173" s="1"/>
  <c r="H173" s="1"/>
  <c r="I173" s="1"/>
  <c r="J173" s="1"/>
  <c r="K173" s="1"/>
  <c r="L173" s="1"/>
  <c r="M173" s="1"/>
  <c r="E135" i="2648"/>
  <c r="F117"/>
  <c r="G117" s="1"/>
  <c r="H117" s="1"/>
  <c r="I117" s="1"/>
  <c r="J117" s="1"/>
  <c r="K117" s="1"/>
  <c r="L117" s="1"/>
  <c r="M117" s="1"/>
  <c r="E139"/>
  <c r="F121"/>
  <c r="G121" s="1"/>
  <c r="H121" s="1"/>
  <c r="I121" s="1"/>
  <c r="J121" s="1"/>
  <c r="K121" s="1"/>
  <c r="L121" s="1"/>
  <c r="M121" s="1"/>
  <c r="E180"/>
  <c r="E189" s="1"/>
  <c r="F162" s="1"/>
  <c r="F171"/>
  <c r="G171" s="1"/>
  <c r="H171" s="1"/>
  <c r="I171" s="1"/>
  <c r="J171" s="1"/>
  <c r="K171" s="1"/>
  <c r="L171" s="1"/>
  <c r="M171" s="1"/>
  <c r="E184"/>
  <c r="E193" s="1"/>
  <c r="F166" s="1"/>
  <c r="F175"/>
  <c r="G175" s="1"/>
  <c r="H175" s="1"/>
  <c r="I175" s="1"/>
  <c r="J175" s="1"/>
  <c r="K175" s="1"/>
  <c r="L175" s="1"/>
  <c r="M175" s="1"/>
  <c r="E137" i="2649"/>
  <c r="F119"/>
  <c r="G119" s="1"/>
  <c r="H119" s="1"/>
  <c r="I119" s="1"/>
  <c r="J119" s="1"/>
  <c r="K119" s="1"/>
  <c r="L119" s="1"/>
  <c r="M119" s="1"/>
  <c r="E184"/>
  <c r="E193" s="1"/>
  <c r="F166" s="1"/>
  <c r="F175"/>
  <c r="G175" s="1"/>
  <c r="H175" s="1"/>
  <c r="I175" s="1"/>
  <c r="J175" s="1"/>
  <c r="K175" s="1"/>
  <c r="L175" s="1"/>
  <c r="M175" s="1"/>
  <c r="F123" i="2650"/>
  <c r="G123" s="1"/>
  <c r="H123" s="1"/>
  <c r="I123" s="1"/>
  <c r="J123" s="1"/>
  <c r="K123" s="1"/>
  <c r="L123" s="1"/>
  <c r="M123" s="1"/>
  <c r="E141"/>
  <c r="E184"/>
  <c r="E193" s="1"/>
  <c r="F166" s="1"/>
  <c r="F175"/>
  <c r="G175" s="1"/>
  <c r="H175" s="1"/>
  <c r="I175" s="1"/>
  <c r="J175" s="1"/>
  <c r="K175" s="1"/>
  <c r="L175" s="1"/>
  <c r="M175" s="1"/>
  <c r="E136" i="2651"/>
  <c r="F118"/>
  <c r="G118" s="1"/>
  <c r="H118" s="1"/>
  <c r="I118" s="1"/>
  <c r="J118" s="1"/>
  <c r="K118" s="1"/>
  <c r="L118" s="1"/>
  <c r="M118" s="1"/>
  <c r="E181"/>
  <c r="E190" s="1"/>
  <c r="F163" s="1"/>
  <c r="F172"/>
  <c r="G172" s="1"/>
  <c r="H172" s="1"/>
  <c r="I172" s="1"/>
  <c r="J172" s="1"/>
  <c r="K172" s="1"/>
  <c r="L172" s="1"/>
  <c r="M172" s="1"/>
  <c r="E139" i="2652"/>
  <c r="F121"/>
  <c r="G121" s="1"/>
  <c r="H121" s="1"/>
  <c r="I121" s="1"/>
  <c r="J121" s="1"/>
  <c r="K121" s="1"/>
  <c r="L121" s="1"/>
  <c r="M121" s="1"/>
  <c r="E135" i="2649"/>
  <c r="F117"/>
  <c r="G117" s="1"/>
  <c r="H117" s="1"/>
  <c r="I117" s="1"/>
  <c r="J117" s="1"/>
  <c r="K117" s="1"/>
  <c r="L117" s="1"/>
  <c r="M117" s="1"/>
  <c r="E139"/>
  <c r="F121"/>
  <c r="G121" s="1"/>
  <c r="H121" s="1"/>
  <c r="I121" s="1"/>
  <c r="J121" s="1"/>
  <c r="K121" s="1"/>
  <c r="L121" s="1"/>
  <c r="M121" s="1"/>
  <c r="E178"/>
  <c r="E187" s="1"/>
  <c r="F160" s="1"/>
  <c r="F169"/>
  <c r="G169" s="1"/>
  <c r="H169" s="1"/>
  <c r="I169" s="1"/>
  <c r="J169" s="1"/>
  <c r="K169" s="1"/>
  <c r="L169" s="1"/>
  <c r="M169" s="1"/>
  <c r="E182"/>
  <c r="E191" s="1"/>
  <c r="F164" s="1"/>
  <c r="F173"/>
  <c r="G173" s="1"/>
  <c r="H173" s="1"/>
  <c r="I173" s="1"/>
  <c r="J173" s="1"/>
  <c r="K173" s="1"/>
  <c r="L173" s="1"/>
  <c r="M173" s="1"/>
  <c r="E133" i="2650"/>
  <c r="F115"/>
  <c r="G115" s="1"/>
  <c r="H115" s="1"/>
  <c r="I115" s="1"/>
  <c r="J115" s="1"/>
  <c r="K115" s="1"/>
  <c r="L115" s="1"/>
  <c r="M115" s="1"/>
  <c r="E136"/>
  <c r="F118"/>
  <c r="G118" s="1"/>
  <c r="H118" s="1"/>
  <c r="I118" s="1"/>
  <c r="J118" s="1"/>
  <c r="K118" s="1"/>
  <c r="L118" s="1"/>
  <c r="M118" s="1"/>
  <c r="E140"/>
  <c r="F122"/>
  <c r="G122" s="1"/>
  <c r="H122" s="1"/>
  <c r="I122" s="1"/>
  <c r="J122" s="1"/>
  <c r="K122" s="1"/>
  <c r="L122" s="1"/>
  <c r="M122" s="1"/>
  <c r="E179"/>
  <c r="E188" s="1"/>
  <c r="F161" s="1"/>
  <c r="F170"/>
  <c r="G170" s="1"/>
  <c r="H170" s="1"/>
  <c r="I170" s="1"/>
  <c r="J170" s="1"/>
  <c r="K170" s="1"/>
  <c r="L170" s="1"/>
  <c r="M170" s="1"/>
  <c r="E183"/>
  <c r="E192" s="1"/>
  <c r="F165" s="1"/>
  <c r="F174"/>
  <c r="G174" s="1"/>
  <c r="H174" s="1"/>
  <c r="I174" s="1"/>
  <c r="J174" s="1"/>
  <c r="K174" s="1"/>
  <c r="L174" s="1"/>
  <c r="M174" s="1"/>
  <c r="E134" i="2651"/>
  <c r="F116"/>
  <c r="G116" s="1"/>
  <c r="H116" s="1"/>
  <c r="I116" s="1"/>
  <c r="J116" s="1"/>
  <c r="K116" s="1"/>
  <c r="L116" s="1"/>
  <c r="M116" s="1"/>
  <c r="E138"/>
  <c r="F120"/>
  <c r="G120" s="1"/>
  <c r="H120" s="1"/>
  <c r="I120" s="1"/>
  <c r="J120" s="1"/>
  <c r="K120" s="1"/>
  <c r="L120" s="1"/>
  <c r="M120" s="1"/>
  <c r="E178"/>
  <c r="E187" s="1"/>
  <c r="F160" s="1"/>
  <c r="F169"/>
  <c r="G169" s="1"/>
  <c r="H169" s="1"/>
  <c r="I169" s="1"/>
  <c r="J169" s="1"/>
  <c r="K169" s="1"/>
  <c r="L169" s="1"/>
  <c r="M169" s="1"/>
  <c r="E182"/>
  <c r="E191" s="1"/>
  <c r="F164" s="1"/>
  <c r="F173"/>
  <c r="G173" s="1"/>
  <c r="H173" s="1"/>
  <c r="I173" s="1"/>
  <c r="J173" s="1"/>
  <c r="K173" s="1"/>
  <c r="L173" s="1"/>
  <c r="M173" s="1"/>
  <c r="E138" i="2652"/>
  <c r="F120"/>
  <c r="G120" s="1"/>
  <c r="H120" s="1"/>
  <c r="I120" s="1"/>
  <c r="J120" s="1"/>
  <c r="K120" s="1"/>
  <c r="L120" s="1"/>
  <c r="M120" s="1"/>
  <c r="E184"/>
  <c r="E193" s="1"/>
  <c r="F166" s="1"/>
  <c r="F175"/>
  <c r="G175" s="1"/>
  <c r="H175" s="1"/>
  <c r="I175" s="1"/>
  <c r="J175" s="1"/>
  <c r="K175" s="1"/>
  <c r="L175" s="1"/>
  <c r="M175" s="1"/>
  <c r="E185" i="2651"/>
  <c r="E194" s="1"/>
  <c r="F167" s="1"/>
  <c r="F176"/>
  <c r="G176" s="1"/>
  <c r="H176" s="1"/>
  <c r="I176" s="1"/>
  <c r="J176" s="1"/>
  <c r="K176" s="1"/>
  <c r="L176" s="1"/>
  <c r="M176" s="1"/>
  <c r="E136" i="2652"/>
  <c r="F118"/>
  <c r="G118" s="1"/>
  <c r="H118" s="1"/>
  <c r="I118" s="1"/>
  <c r="J118" s="1"/>
  <c r="K118" s="1"/>
  <c r="L118" s="1"/>
  <c r="M118" s="1"/>
  <c r="E140"/>
  <c r="F122"/>
  <c r="G122" s="1"/>
  <c r="H122" s="1"/>
  <c r="I122" s="1"/>
  <c r="J122" s="1"/>
  <c r="K122" s="1"/>
  <c r="L122" s="1"/>
  <c r="M122" s="1"/>
  <c r="E177"/>
  <c r="F168"/>
  <c r="G168" s="1"/>
  <c r="H168" s="1"/>
  <c r="I168" s="1"/>
  <c r="J168" s="1"/>
  <c r="K168" s="1"/>
  <c r="L168" s="1"/>
  <c r="M168" s="1"/>
  <c r="E181"/>
  <c r="E190" s="1"/>
  <c r="F163" s="1"/>
  <c r="F172"/>
  <c r="G172" s="1"/>
  <c r="H172" s="1"/>
  <c r="I172" s="1"/>
  <c r="J172" s="1"/>
  <c r="K172" s="1"/>
  <c r="L172" s="1"/>
  <c r="M172" s="1"/>
  <c r="E185"/>
  <c r="E194" s="1"/>
  <c r="F167" s="1"/>
  <c r="F176"/>
  <c r="G176" s="1"/>
  <c r="H176" s="1"/>
  <c r="I176" s="1"/>
  <c r="J176" s="1"/>
  <c r="K176" s="1"/>
  <c r="L176" s="1"/>
  <c r="M176" s="1"/>
  <c r="G49" i="2651"/>
  <c r="F18" i="49" s="1"/>
  <c r="I49" i="2650"/>
  <c r="I323" s="1"/>
  <c r="K49"/>
  <c r="K323" s="1"/>
  <c r="M49" i="2651"/>
  <c r="M323" s="1"/>
  <c r="H49"/>
  <c r="H323" s="1"/>
  <c r="J49"/>
  <c r="J323" s="1"/>
  <c r="J49" i="2650"/>
  <c r="J323" s="1"/>
  <c r="M49"/>
  <c r="M323" s="1"/>
  <c r="L49" i="2651"/>
  <c r="L323" s="1"/>
  <c r="H49" i="2650"/>
  <c r="H323" s="1"/>
  <c r="L49"/>
  <c r="L323" s="1"/>
  <c r="K49" i="2651"/>
  <c r="K323" s="1"/>
  <c r="G49" i="2650"/>
  <c r="G18" i="49" s="1"/>
  <c r="I49" i="2651"/>
  <c r="I323" s="1"/>
  <c r="M49" i="2652"/>
  <c r="M323" s="1"/>
  <c r="L49"/>
  <c r="L323" s="1"/>
  <c r="K49"/>
  <c r="K323" s="1"/>
  <c r="I49"/>
  <c r="I323" s="1"/>
  <c r="J49"/>
  <c r="J323" s="1"/>
  <c r="H49"/>
  <c r="H323" s="1"/>
  <c r="G49"/>
  <c r="E18" i="49" s="1"/>
  <c r="K48" i="2648"/>
  <c r="L48"/>
  <c r="M48"/>
  <c r="M48" i="2652"/>
  <c r="M48" i="2651"/>
  <c r="M48" i="2650"/>
  <c r="H48" i="2652"/>
  <c r="H48" i="2651"/>
  <c r="H48" i="2650"/>
  <c r="H48" i="2649"/>
  <c r="H48" i="2648"/>
  <c r="I48" i="2652"/>
  <c r="I48" i="2651"/>
  <c r="I48" i="2650"/>
  <c r="I48" i="2649"/>
  <c r="I48" i="2648"/>
  <c r="J48" i="2652"/>
  <c r="J48" i="2651"/>
  <c r="J48" i="2650"/>
  <c r="J48" i="2649"/>
  <c r="J48" i="2648"/>
  <c r="K48" i="2652"/>
  <c r="K48" i="2651"/>
  <c r="K48" i="2650"/>
  <c r="K48" i="2649"/>
  <c r="L48" i="2652"/>
  <c r="L48" i="2651"/>
  <c r="L48" i="2650"/>
  <c r="L48" i="2649"/>
  <c r="G48" i="2651"/>
  <c r="G48" i="2650"/>
  <c r="G48" i="2649"/>
  <c r="G48" i="2648"/>
  <c r="G48" i="2652"/>
  <c r="K47" i="2648"/>
  <c r="K250" s="1"/>
  <c r="K268" s="1"/>
  <c r="L47"/>
  <c r="L250" s="1"/>
  <c r="L268" s="1"/>
  <c r="M47"/>
  <c r="M250" s="1"/>
  <c r="M268" s="1"/>
  <c r="M47" i="2652"/>
  <c r="M250" s="1"/>
  <c r="M268" s="1"/>
  <c r="M47" i="2651"/>
  <c r="M250" s="1"/>
  <c r="M268" s="1"/>
  <c r="M47" i="2650"/>
  <c r="M250" s="1"/>
  <c r="M268" s="1"/>
  <c r="H47" i="2652"/>
  <c r="H250" s="1"/>
  <c r="H47" i="2651"/>
  <c r="H250" s="1"/>
  <c r="H47" i="2650"/>
  <c r="H250" s="1"/>
  <c r="H47" i="2649"/>
  <c r="H250" s="1"/>
  <c r="H268" s="1"/>
  <c r="H47" i="2648"/>
  <c r="H250" s="1"/>
  <c r="I47" i="2652"/>
  <c r="I250" s="1"/>
  <c r="I268" s="1"/>
  <c r="I47" i="2651"/>
  <c r="I250" s="1"/>
  <c r="I268" s="1"/>
  <c r="I47" i="2650"/>
  <c r="I250" s="1"/>
  <c r="I268" s="1"/>
  <c r="I47" i="2649"/>
  <c r="I250" s="1"/>
  <c r="I268" s="1"/>
  <c r="I47" i="2648"/>
  <c r="I250" s="1"/>
  <c r="I268" s="1"/>
  <c r="J47" i="2652"/>
  <c r="J250" s="1"/>
  <c r="J268" s="1"/>
  <c r="J47" i="2651"/>
  <c r="J250" s="1"/>
  <c r="J268" s="1"/>
  <c r="J47" i="2650"/>
  <c r="J250" s="1"/>
  <c r="J268" s="1"/>
  <c r="J47" i="2649"/>
  <c r="J250" s="1"/>
  <c r="J268" s="1"/>
  <c r="J47" i="2648"/>
  <c r="J250" s="1"/>
  <c r="J268" s="1"/>
  <c r="K47" i="2652"/>
  <c r="K250" s="1"/>
  <c r="K268" s="1"/>
  <c r="K47" i="2651"/>
  <c r="K250" s="1"/>
  <c r="K268" s="1"/>
  <c r="K47" i="2650"/>
  <c r="K250" s="1"/>
  <c r="K268" s="1"/>
  <c r="K47" i="2649"/>
  <c r="K250" s="1"/>
  <c r="K268" s="1"/>
  <c r="L47" i="2652"/>
  <c r="L250" s="1"/>
  <c r="L268" s="1"/>
  <c r="L47" i="2651"/>
  <c r="L250" s="1"/>
  <c r="L268" s="1"/>
  <c r="L47" i="2650"/>
  <c r="L250" s="1"/>
  <c r="L268" s="1"/>
  <c r="L47" i="2649"/>
  <c r="L250" s="1"/>
  <c r="L268" s="1"/>
  <c r="G47" i="2651"/>
  <c r="G47" i="2650"/>
  <c r="G47" i="2649"/>
  <c r="G47" i="2648"/>
  <c r="G47" i="2652"/>
  <c r="F185" l="1"/>
  <c r="F194" s="1"/>
  <c r="G167" s="1"/>
  <c r="G185" s="1"/>
  <c r="G194" s="1"/>
  <c r="H167" s="1"/>
  <c r="H185" s="1"/>
  <c r="H194" s="1"/>
  <c r="I167" s="1"/>
  <c r="I185" s="1"/>
  <c r="I194" s="1"/>
  <c r="J167" s="1"/>
  <c r="F181"/>
  <c r="F190" s="1"/>
  <c r="G163" s="1"/>
  <c r="G181" s="1"/>
  <c r="G190" s="1"/>
  <c r="H163" s="1"/>
  <c r="H181" s="1"/>
  <c r="H190" s="1"/>
  <c r="I163" s="1"/>
  <c r="I181" s="1"/>
  <c r="F185" i="2651"/>
  <c r="F194" s="1"/>
  <c r="G167" s="1"/>
  <c r="G185" s="1"/>
  <c r="G194" s="1"/>
  <c r="H167" s="1"/>
  <c r="H185" s="1"/>
  <c r="H194" s="1"/>
  <c r="I167" s="1"/>
  <c r="I185" s="1"/>
  <c r="I194" s="1"/>
  <c r="J167" s="1"/>
  <c r="J185" s="1"/>
  <c r="J194" s="1"/>
  <c r="K167" s="1"/>
  <c r="K185" s="1"/>
  <c r="K194" s="1"/>
  <c r="L167" s="1"/>
  <c r="L185" s="1"/>
  <c r="L194" s="1"/>
  <c r="M167" s="1"/>
  <c r="M185" s="1"/>
  <c r="F184" i="2652"/>
  <c r="F193" s="1"/>
  <c r="G166" s="1"/>
  <c r="G184" s="1"/>
  <c r="G193" s="1"/>
  <c r="H166" s="1"/>
  <c r="H184" s="1"/>
  <c r="H193" s="1"/>
  <c r="I166" s="1"/>
  <c r="I184" s="1"/>
  <c r="I193" s="1"/>
  <c r="J166" s="1"/>
  <c r="J184" s="1"/>
  <c r="J193" s="1"/>
  <c r="K166" s="1"/>
  <c r="F183" i="2650"/>
  <c r="F192" s="1"/>
  <c r="G165" s="1"/>
  <c r="G183" s="1"/>
  <c r="G192" s="1"/>
  <c r="H165" s="1"/>
  <c r="F179"/>
  <c r="F188" s="1"/>
  <c r="G161" s="1"/>
  <c r="G179" s="1"/>
  <c r="F182" i="2649"/>
  <c r="F191" s="1"/>
  <c r="G164" s="1"/>
  <c r="G182" s="1"/>
  <c r="G191" s="1"/>
  <c r="H164" s="1"/>
  <c r="H182" s="1"/>
  <c r="H191" s="1"/>
  <c r="I164" s="1"/>
  <c r="I182" s="1"/>
  <c r="I191" s="1"/>
  <c r="J164" s="1"/>
  <c r="J182" s="1"/>
  <c r="J191" s="1"/>
  <c r="K164" s="1"/>
  <c r="K182" s="1"/>
  <c r="K191" s="1"/>
  <c r="L164" s="1"/>
  <c r="L182" s="1"/>
  <c r="L191" s="1"/>
  <c r="M164" s="1"/>
  <c r="M182" s="1"/>
  <c r="M191" s="1"/>
  <c r="F181" i="2651"/>
  <c r="F190" s="1"/>
  <c r="G163" s="1"/>
  <c r="G181" s="1"/>
  <c r="G190" s="1"/>
  <c r="H163" s="1"/>
  <c r="H181" s="1"/>
  <c r="H190" s="1"/>
  <c r="I163" s="1"/>
  <c r="I181" s="1"/>
  <c r="F184" i="2650"/>
  <c r="F193" s="1"/>
  <c r="G166" s="1"/>
  <c r="G184" s="1"/>
  <c r="G193" s="1"/>
  <c r="H166" s="1"/>
  <c r="H184" s="1"/>
  <c r="H193" s="1"/>
  <c r="I166" s="1"/>
  <c r="I184" s="1"/>
  <c r="I193" s="1"/>
  <c r="J166" s="1"/>
  <c r="J184" s="1"/>
  <c r="J193" s="1"/>
  <c r="K166" s="1"/>
  <c r="K184" s="1"/>
  <c r="K193" s="1"/>
  <c r="L166" s="1"/>
  <c r="F184" i="2648"/>
  <c r="F193" s="1"/>
  <c r="G166" s="1"/>
  <c r="G184" s="1"/>
  <c r="G193" s="1"/>
  <c r="H166" s="1"/>
  <c r="H184" s="1"/>
  <c r="H193" s="1"/>
  <c r="I166" s="1"/>
  <c r="I184" s="1"/>
  <c r="I193" s="1"/>
  <c r="J166" s="1"/>
  <c r="J184" s="1"/>
  <c r="J193" s="1"/>
  <c r="K166" s="1"/>
  <c r="F180"/>
  <c r="F189" s="1"/>
  <c r="G162" s="1"/>
  <c r="G180" s="1"/>
  <c r="G189" s="1"/>
  <c r="H162" s="1"/>
  <c r="H180" s="1"/>
  <c r="F182" i="2652"/>
  <c r="F191" s="1"/>
  <c r="G164" s="1"/>
  <c r="F182" i="2650"/>
  <c r="F191" s="1"/>
  <c r="G164" s="1"/>
  <c r="G182" s="1"/>
  <c r="G191" s="1"/>
  <c r="H164" s="1"/>
  <c r="H182" s="1"/>
  <c r="H191" s="1"/>
  <c r="I164" s="1"/>
  <c r="I182" s="1"/>
  <c r="I191" s="1"/>
  <c r="J164" s="1"/>
  <c r="J182" s="1"/>
  <c r="F185" i="2649"/>
  <c r="F194" s="1"/>
  <c r="G167" s="1"/>
  <c r="G185" s="1"/>
  <c r="G194" s="1"/>
  <c r="H167" s="1"/>
  <c r="H185" s="1"/>
  <c r="H194" s="1"/>
  <c r="I167" s="1"/>
  <c r="I185" s="1"/>
  <c r="I194" s="1"/>
  <c r="J167" s="1"/>
  <c r="J185" s="1"/>
  <c r="J194" s="1"/>
  <c r="K167" s="1"/>
  <c r="K185" s="1"/>
  <c r="K194" s="1"/>
  <c r="L167" s="1"/>
  <c r="L185" s="1"/>
  <c r="L194" s="1"/>
  <c r="M167" s="1"/>
  <c r="M185" s="1"/>
  <c r="M194" s="1"/>
  <c r="F183" i="2652"/>
  <c r="F192" s="1"/>
  <c r="G165" s="1"/>
  <c r="G183" s="1"/>
  <c r="G192" s="1"/>
  <c r="H165" s="1"/>
  <c r="H183" s="1"/>
  <c r="H192" s="1"/>
  <c r="I165" s="1"/>
  <c r="I183" s="1"/>
  <c r="I192" s="1"/>
  <c r="J165" s="1"/>
  <c r="J183" s="1"/>
  <c r="J192" s="1"/>
  <c r="K165" s="1"/>
  <c r="K183" s="1"/>
  <c r="K192" s="1"/>
  <c r="L165" s="1"/>
  <c r="L183" s="1"/>
  <c r="L192" s="1"/>
  <c r="M165" s="1"/>
  <c r="M183" s="1"/>
  <c r="M192" s="1"/>
  <c r="F179"/>
  <c r="F188" s="1"/>
  <c r="G161" s="1"/>
  <c r="G179" s="1"/>
  <c r="F180"/>
  <c r="F189" s="1"/>
  <c r="G162" s="1"/>
  <c r="G180" s="1"/>
  <c r="G189" s="1"/>
  <c r="H162" s="1"/>
  <c r="H180" s="1"/>
  <c r="F179" i="2651"/>
  <c r="F188" s="1"/>
  <c r="G161" s="1"/>
  <c r="G179" s="1"/>
  <c r="F185" i="2650"/>
  <c r="F194" s="1"/>
  <c r="G167" s="1"/>
  <c r="G185" s="1"/>
  <c r="G194" s="1"/>
  <c r="H167" s="1"/>
  <c r="H185" s="1"/>
  <c r="H194" s="1"/>
  <c r="I167" s="1"/>
  <c r="I185" s="1"/>
  <c r="I194" s="1"/>
  <c r="J167" s="1"/>
  <c r="J185" s="1"/>
  <c r="J194" s="1"/>
  <c r="K167" s="1"/>
  <c r="K185" s="1"/>
  <c r="K194" s="1"/>
  <c r="L167" s="1"/>
  <c r="L185" s="1"/>
  <c r="L194" s="1"/>
  <c r="M167" s="1"/>
  <c r="M185" s="1"/>
  <c r="M194" s="1"/>
  <c r="F181"/>
  <c r="F190" s="1"/>
  <c r="G163" s="1"/>
  <c r="F183" i="2649"/>
  <c r="F192" s="1"/>
  <c r="G165" s="1"/>
  <c r="G183" s="1"/>
  <c r="G192" s="1"/>
  <c r="H165" s="1"/>
  <c r="H183" s="1"/>
  <c r="H192" s="1"/>
  <c r="I165" s="1"/>
  <c r="I183" s="1"/>
  <c r="I192" s="1"/>
  <c r="J165" s="1"/>
  <c r="J183" s="1"/>
  <c r="J192" s="1"/>
  <c r="K165" s="1"/>
  <c r="K183" s="1"/>
  <c r="F179"/>
  <c r="F188" s="1"/>
  <c r="G161" s="1"/>
  <c r="G179" s="1"/>
  <c r="F180" i="2650"/>
  <c r="F189" s="1"/>
  <c r="G162" s="1"/>
  <c r="G180" s="1"/>
  <c r="G189" s="1"/>
  <c r="H162" s="1"/>
  <c r="H180" s="1"/>
  <c r="F181" i="2649"/>
  <c r="F190" s="1"/>
  <c r="G163" s="1"/>
  <c r="G181" s="1"/>
  <c r="G190" s="1"/>
  <c r="H163" s="1"/>
  <c r="H181" s="1"/>
  <c r="H190" s="1"/>
  <c r="I163" s="1"/>
  <c r="I181" s="1"/>
  <c r="F183" i="2651"/>
  <c r="F192" s="1"/>
  <c r="G165" s="1"/>
  <c r="G183" s="1"/>
  <c r="G192" s="1"/>
  <c r="H165" s="1"/>
  <c r="H183" s="1"/>
  <c r="H192" s="1"/>
  <c r="I165" s="1"/>
  <c r="F182" i="2648"/>
  <c r="F191" s="1"/>
  <c r="G164" s="1"/>
  <c r="G182" s="1"/>
  <c r="G191" s="1"/>
  <c r="H164" s="1"/>
  <c r="H182" s="1"/>
  <c r="H191" s="1"/>
  <c r="I164" s="1"/>
  <c r="I182" s="1"/>
  <c r="I191" s="1"/>
  <c r="J164" s="1"/>
  <c r="J182" s="1"/>
  <c r="H251" i="2651"/>
  <c r="H269" s="1"/>
  <c r="H268"/>
  <c r="G221" i="2652"/>
  <c r="G105"/>
  <c r="G158"/>
  <c r="G221" i="2651"/>
  <c r="G158"/>
  <c r="G105"/>
  <c r="L221" i="2652"/>
  <c r="L105"/>
  <c r="L261"/>
  <c r="L158"/>
  <c r="K221"/>
  <c r="K105"/>
  <c r="K261"/>
  <c r="K158"/>
  <c r="J261" i="2651"/>
  <c r="J105"/>
  <c r="J221"/>
  <c r="J158"/>
  <c r="I261" i="2650"/>
  <c r="I105"/>
  <c r="I158"/>
  <c r="I221"/>
  <c r="I221" i="2652"/>
  <c r="I158"/>
  <c r="I261"/>
  <c r="I105"/>
  <c r="H261" i="2651"/>
  <c r="H158"/>
  <c r="H221"/>
  <c r="H105"/>
  <c r="M221" i="2652"/>
  <c r="M158"/>
  <c r="M261"/>
  <c r="M105"/>
  <c r="G323"/>
  <c r="E341"/>
  <c r="E10" i="49" s="1"/>
  <c r="E341" i="2650"/>
  <c r="G10" i="49" s="1"/>
  <c r="G323" i="2650"/>
  <c r="J185" i="2652"/>
  <c r="J194" s="1"/>
  <c r="K167" s="1"/>
  <c r="H251" i="2648"/>
  <c r="H269" s="1"/>
  <c r="H268"/>
  <c r="H251" i="2650"/>
  <c r="H269" s="1"/>
  <c r="H268"/>
  <c r="H251" i="2652"/>
  <c r="H269" s="1"/>
  <c r="H268"/>
  <c r="G221" i="2648"/>
  <c r="G158"/>
  <c r="G105"/>
  <c r="G221" i="2650"/>
  <c r="G105"/>
  <c r="G158"/>
  <c r="L221" i="2649"/>
  <c r="L261"/>
  <c r="L158"/>
  <c r="L105"/>
  <c r="L261" i="2651"/>
  <c r="L158"/>
  <c r="L221"/>
  <c r="L105"/>
  <c r="K221" i="2649"/>
  <c r="K158"/>
  <c r="K105"/>
  <c r="K261"/>
  <c r="K261" i="2651"/>
  <c r="K158"/>
  <c r="K221"/>
  <c r="K105"/>
  <c r="J261" i="2648"/>
  <c r="J105"/>
  <c r="J221"/>
  <c r="J158"/>
  <c r="J261" i="2650"/>
  <c r="J158"/>
  <c r="J221"/>
  <c r="J105"/>
  <c r="J221" i="2652"/>
  <c r="J158"/>
  <c r="J261"/>
  <c r="J105"/>
  <c r="I261" i="2649"/>
  <c r="I221"/>
  <c r="I158"/>
  <c r="I105"/>
  <c r="I261" i="2651"/>
  <c r="I105"/>
  <c r="I221"/>
  <c r="I158"/>
  <c r="I190" s="1"/>
  <c r="J163" s="1"/>
  <c r="J181" s="1"/>
  <c r="J190" s="1"/>
  <c r="K163" s="1"/>
  <c r="K181" s="1"/>
  <c r="K190" s="1"/>
  <c r="L163" s="1"/>
  <c r="L181" s="1"/>
  <c r="L190" s="1"/>
  <c r="M163" s="1"/>
  <c r="M181" s="1"/>
  <c r="M190" s="1"/>
  <c r="H221" i="2648"/>
  <c r="H158"/>
  <c r="H189" s="1"/>
  <c r="I162" s="1"/>
  <c r="I180" s="1"/>
  <c r="I189" s="1"/>
  <c r="J162" s="1"/>
  <c r="J180" s="1"/>
  <c r="J189" s="1"/>
  <c r="K162" s="1"/>
  <c r="H261"/>
  <c r="H105"/>
  <c r="H261" i="2650"/>
  <c r="H105"/>
  <c r="H221"/>
  <c r="H158"/>
  <c r="H189" s="1"/>
  <c r="I162" s="1"/>
  <c r="H221" i="2652"/>
  <c r="H105"/>
  <c r="H261"/>
  <c r="H158"/>
  <c r="M261" i="2651"/>
  <c r="M105"/>
  <c r="M221"/>
  <c r="M158"/>
  <c r="M194" s="1"/>
  <c r="M261" i="2648"/>
  <c r="M158"/>
  <c r="M105"/>
  <c r="M221"/>
  <c r="K221"/>
  <c r="K261"/>
  <c r="K158"/>
  <c r="K105"/>
  <c r="E153" i="2650"/>
  <c r="E153" i="2649"/>
  <c r="G158"/>
  <c r="G105"/>
  <c r="G221"/>
  <c r="L261" i="2650"/>
  <c r="L105"/>
  <c r="L221"/>
  <c r="L158"/>
  <c r="K261"/>
  <c r="K221"/>
  <c r="K105"/>
  <c r="K158"/>
  <c r="J261" i="2649"/>
  <c r="J158"/>
  <c r="J105"/>
  <c r="J221"/>
  <c r="I261" i="2648"/>
  <c r="I158"/>
  <c r="I105"/>
  <c r="I221"/>
  <c r="H221" i="2649"/>
  <c r="H261"/>
  <c r="H158"/>
  <c r="H105"/>
  <c r="M261" i="2650"/>
  <c r="M105"/>
  <c r="M158"/>
  <c r="M221"/>
  <c r="L221" i="2648"/>
  <c r="L158"/>
  <c r="L261"/>
  <c r="L105"/>
  <c r="E341" i="2651"/>
  <c r="F10" i="49" s="1"/>
  <c r="G323" i="2651"/>
  <c r="I190" i="2652"/>
  <c r="J163" s="1"/>
  <c r="E186"/>
  <c r="E196"/>
  <c r="E210" s="1"/>
  <c r="E227" s="1"/>
  <c r="E232" s="1"/>
  <c r="E234" s="1"/>
  <c r="F231" s="1"/>
  <c r="K184"/>
  <c r="K193" s="1"/>
  <c r="L166" s="1"/>
  <c r="F182" i="2651"/>
  <c r="F191" s="1"/>
  <c r="G164" s="1"/>
  <c r="G182" s="1"/>
  <c r="G191" s="1"/>
  <c r="H164" s="1"/>
  <c r="F178"/>
  <c r="F187" s="1"/>
  <c r="G160" s="1"/>
  <c r="H183" i="2650"/>
  <c r="H192" s="1"/>
  <c r="I165" s="1"/>
  <c r="I183" s="1"/>
  <c r="I192" s="1"/>
  <c r="J165" s="1"/>
  <c r="J183" s="1"/>
  <c r="J192" s="1"/>
  <c r="K165" s="1"/>
  <c r="K183" s="1"/>
  <c r="K192" s="1"/>
  <c r="L165" s="1"/>
  <c r="F178" i="2649"/>
  <c r="F187" s="1"/>
  <c r="G160" s="1"/>
  <c r="L184" i="2650"/>
  <c r="L193" s="1"/>
  <c r="M166" s="1"/>
  <c r="M184" s="1"/>
  <c r="M193" s="1"/>
  <c r="F184" i="2649"/>
  <c r="F193" s="1"/>
  <c r="G166" s="1"/>
  <c r="G184" s="1"/>
  <c r="G193" s="1"/>
  <c r="H166" s="1"/>
  <c r="H184" s="1"/>
  <c r="H193" s="1"/>
  <c r="I166" s="1"/>
  <c r="K184" i="2648"/>
  <c r="K193" s="1"/>
  <c r="L166" s="1"/>
  <c r="L184" s="1"/>
  <c r="L193" s="1"/>
  <c r="M166" s="1"/>
  <c r="M184" s="1"/>
  <c r="M193" s="1"/>
  <c r="G182" i="2652"/>
  <c r="F180" i="2651"/>
  <c r="F189" s="1"/>
  <c r="G162" s="1"/>
  <c r="G180" s="1"/>
  <c r="G189" s="1"/>
  <c r="H162" s="1"/>
  <c r="H180" s="1"/>
  <c r="H189" s="1"/>
  <c r="I162" s="1"/>
  <c r="I180" s="1"/>
  <c r="I189" s="1"/>
  <c r="J162" s="1"/>
  <c r="E186" i="2649"/>
  <c r="E196"/>
  <c r="E210" s="1"/>
  <c r="E227" s="1"/>
  <c r="F185" i="2648"/>
  <c r="F194" s="1"/>
  <c r="G167" s="1"/>
  <c r="G185" s="1"/>
  <c r="G194" s="1"/>
  <c r="H167" s="1"/>
  <c r="H185" s="1"/>
  <c r="H194" s="1"/>
  <c r="I167" s="1"/>
  <c r="I185" s="1"/>
  <c r="I194" s="1"/>
  <c r="J167" s="1"/>
  <c r="J185" s="1"/>
  <c r="J194" s="1"/>
  <c r="K167" s="1"/>
  <c r="K185" s="1"/>
  <c r="K194" s="1"/>
  <c r="L167" s="1"/>
  <c r="F181"/>
  <c r="F190" s="1"/>
  <c r="G163" s="1"/>
  <c r="G181" s="1"/>
  <c r="G190" s="1"/>
  <c r="H163" s="1"/>
  <c r="H181" s="1"/>
  <c r="H190" s="1"/>
  <c r="I163" s="1"/>
  <c r="I181" s="1"/>
  <c r="I190" s="1"/>
  <c r="J163" s="1"/>
  <c r="J181" s="1"/>
  <c r="J190" s="1"/>
  <c r="K163" s="1"/>
  <c r="K181" s="1"/>
  <c r="K190" s="1"/>
  <c r="L163" s="1"/>
  <c r="E196"/>
  <c r="E210" s="1"/>
  <c r="E227" s="1"/>
  <c r="E186"/>
  <c r="G220" i="2651"/>
  <c r="F214"/>
  <c r="G188" i="2652"/>
  <c r="H161" s="1"/>
  <c r="H179" s="1"/>
  <c r="H188" s="1"/>
  <c r="I161" s="1"/>
  <c r="I179" s="1"/>
  <c r="I188" s="1"/>
  <c r="J161" s="1"/>
  <c r="J179" s="1"/>
  <c r="J188" s="1"/>
  <c r="K161" s="1"/>
  <c r="K179" s="1"/>
  <c r="K188" s="1"/>
  <c r="L161" s="1"/>
  <c r="L179" s="1"/>
  <c r="L188" s="1"/>
  <c r="M161" s="1"/>
  <c r="M179" s="1"/>
  <c r="M188" s="1"/>
  <c r="E153"/>
  <c r="F184" i="2651"/>
  <c r="F193" s="1"/>
  <c r="G166" s="1"/>
  <c r="G184" s="1"/>
  <c r="G193" s="1"/>
  <c r="H166" s="1"/>
  <c r="H184" s="1"/>
  <c r="H193" s="1"/>
  <c r="I166" s="1"/>
  <c r="I184" s="1"/>
  <c r="I193" s="1"/>
  <c r="J166" s="1"/>
  <c r="J184" s="1"/>
  <c r="J193" s="1"/>
  <c r="K166" s="1"/>
  <c r="K184" s="1"/>
  <c r="K193" s="1"/>
  <c r="L166" s="1"/>
  <c r="L184" s="1"/>
  <c r="L193" s="1"/>
  <c r="M166" s="1"/>
  <c r="M184" s="1"/>
  <c r="M193" s="1"/>
  <c r="G181" i="2650"/>
  <c r="E196"/>
  <c r="E210" s="1"/>
  <c r="E227" s="1"/>
  <c r="E232" s="1"/>
  <c r="E234" s="1"/>
  <c r="F231" s="1"/>
  <c r="E186"/>
  <c r="F178" i="2652"/>
  <c r="F187" s="1"/>
  <c r="G160" s="1"/>
  <c r="E153" i="2651"/>
  <c r="I190" i="2649"/>
  <c r="J163" s="1"/>
  <c r="J181" s="1"/>
  <c r="J190" s="1"/>
  <c r="K163" s="1"/>
  <c r="K181" s="1"/>
  <c r="K190" s="1"/>
  <c r="L163" s="1"/>
  <c r="L181" s="1"/>
  <c r="L190" s="1"/>
  <c r="M163" s="1"/>
  <c r="M181" s="1"/>
  <c r="M190" s="1"/>
  <c r="F183" i="2648"/>
  <c r="F192" s="1"/>
  <c r="G165" s="1"/>
  <c r="G183" s="1"/>
  <c r="G192" s="1"/>
  <c r="H165" s="1"/>
  <c r="H183" s="1"/>
  <c r="H192" s="1"/>
  <c r="I165" s="1"/>
  <c r="I183" s="1"/>
  <c r="I192" s="1"/>
  <c r="J165" s="1"/>
  <c r="J183" s="1"/>
  <c r="J192" s="1"/>
  <c r="K165" s="1"/>
  <c r="K183" s="1"/>
  <c r="K192" s="1"/>
  <c r="L165" s="1"/>
  <c r="F179"/>
  <c r="F188" s="1"/>
  <c r="G161" s="1"/>
  <c r="G179" s="1"/>
  <c r="E196" i="2651"/>
  <c r="E210" s="1"/>
  <c r="E227" s="1"/>
  <c r="E232" s="1"/>
  <c r="E234" s="1"/>
  <c r="F231" s="1"/>
  <c r="E186"/>
  <c r="F178" i="2650"/>
  <c r="F187" s="1"/>
  <c r="G160" s="1"/>
  <c r="F180" i="2649"/>
  <c r="F189" s="1"/>
  <c r="G162" s="1"/>
  <c r="G180" s="1"/>
  <c r="G189" s="1"/>
  <c r="H162" s="1"/>
  <c r="H180" s="1"/>
  <c r="F178" i="2648"/>
  <c r="F187" s="1"/>
  <c r="G160" s="1"/>
  <c r="E153"/>
  <c r="H189" i="2649" l="1"/>
  <c r="I162" s="1"/>
  <c r="I180" s="1"/>
  <c r="I189" s="1"/>
  <c r="J162" s="1"/>
  <c r="J180" s="1"/>
  <c r="J189" s="1"/>
  <c r="K162" s="1"/>
  <c r="K180" s="1"/>
  <c r="K189" s="1"/>
  <c r="L162" s="1"/>
  <c r="L180" s="1"/>
  <c r="L189" s="1"/>
  <c r="M162" s="1"/>
  <c r="M180" s="1"/>
  <c r="M189" s="1"/>
  <c r="K192"/>
  <c r="L165" s="1"/>
  <c r="L183" s="1"/>
  <c r="L192" s="1"/>
  <c r="M165" s="1"/>
  <c r="M183" s="1"/>
  <c r="M192" s="1"/>
  <c r="J191" i="2650"/>
  <c r="K164" s="1"/>
  <c r="K182" s="1"/>
  <c r="K191" s="1"/>
  <c r="L164" s="1"/>
  <c r="L182" s="1"/>
  <c r="L191" s="1"/>
  <c r="M164" s="1"/>
  <c r="M182" s="1"/>
  <c r="M191" s="1"/>
  <c r="G188" i="2648"/>
  <c r="H161" s="1"/>
  <c r="H179" s="1"/>
  <c r="H188" s="1"/>
  <c r="I161" s="1"/>
  <c r="I179" s="1"/>
  <c r="I188" s="1"/>
  <c r="J161" s="1"/>
  <c r="J179" s="1"/>
  <c r="J188" s="1"/>
  <c r="K161" s="1"/>
  <c r="K179" s="1"/>
  <c r="K188" s="1"/>
  <c r="L161" s="1"/>
  <c r="H189" i="2652"/>
  <c r="I162" s="1"/>
  <c r="I180" s="1"/>
  <c r="I189" s="1"/>
  <c r="J162" s="1"/>
  <c r="J180" s="1"/>
  <c r="J189" s="1"/>
  <c r="K162" s="1"/>
  <c r="K180" s="1"/>
  <c r="K189" s="1"/>
  <c r="L162" s="1"/>
  <c r="L180" s="1"/>
  <c r="L189" s="1"/>
  <c r="M162" s="1"/>
  <c r="M180" s="1"/>
  <c r="M189" s="1"/>
  <c r="G190" i="2650"/>
  <c r="H163" s="1"/>
  <c r="H181" s="1"/>
  <c r="H190" s="1"/>
  <c r="I163" s="1"/>
  <c r="I181" s="1"/>
  <c r="I190" s="1"/>
  <c r="J163" s="1"/>
  <c r="J181" s="1"/>
  <c r="J190" s="1"/>
  <c r="K163" s="1"/>
  <c r="K181" s="1"/>
  <c r="K190" s="1"/>
  <c r="L163" s="1"/>
  <c r="L181" s="1"/>
  <c r="L190" s="1"/>
  <c r="M163" s="1"/>
  <c r="M181" s="1"/>
  <c r="M190" s="1"/>
  <c r="G191" i="2652"/>
  <c r="H164" s="1"/>
  <c r="J191" i="2648"/>
  <c r="K164" s="1"/>
  <c r="K182" s="1"/>
  <c r="K191" s="1"/>
  <c r="L164" s="1"/>
  <c r="L182" s="1"/>
  <c r="L191" s="1"/>
  <c r="M164" s="1"/>
  <c r="M182" s="1"/>
  <c r="M191" s="1"/>
  <c r="G188" i="2649"/>
  <c r="H161" s="1"/>
  <c r="H179" s="1"/>
  <c r="H188" s="1"/>
  <c r="I161" s="1"/>
  <c r="I179" s="1"/>
  <c r="I188" s="1"/>
  <c r="J161" s="1"/>
  <c r="J179" s="1"/>
  <c r="J188" s="1"/>
  <c r="K161" s="1"/>
  <c r="K179" s="1"/>
  <c r="K188" s="1"/>
  <c r="L161" s="1"/>
  <c r="L179" s="1"/>
  <c r="L188" s="1"/>
  <c r="M161" s="1"/>
  <c r="M179" s="1"/>
  <c r="M188" s="1"/>
  <c r="G188" i="2651"/>
  <c r="H161" s="1"/>
  <c r="H179" s="1"/>
  <c r="H188" s="1"/>
  <c r="I161" s="1"/>
  <c r="I179" s="1"/>
  <c r="I188" s="1"/>
  <c r="J161" s="1"/>
  <c r="J179" s="1"/>
  <c r="J188" s="1"/>
  <c r="K161" s="1"/>
  <c r="K179" s="1"/>
  <c r="K188" s="1"/>
  <c r="L161" s="1"/>
  <c r="L179" s="1"/>
  <c r="L188" s="1"/>
  <c r="M161" s="1"/>
  <c r="M179" s="1"/>
  <c r="G188" i="2650"/>
  <c r="H161" s="1"/>
  <c r="H179" s="1"/>
  <c r="H188" s="1"/>
  <c r="I161" s="1"/>
  <c r="I179" s="1"/>
  <c r="I188" s="1"/>
  <c r="J161" s="1"/>
  <c r="J179" s="1"/>
  <c r="J188" s="1"/>
  <c r="K161" s="1"/>
  <c r="K179" s="1"/>
  <c r="K188" s="1"/>
  <c r="L161" s="1"/>
  <c r="L179" s="1"/>
  <c r="L188" s="1"/>
  <c r="M161" s="1"/>
  <c r="M179" s="1"/>
  <c r="M188" s="1"/>
  <c r="I183" i="2651"/>
  <c r="I192" s="1"/>
  <c r="J165" s="1"/>
  <c r="J183" s="1"/>
  <c r="J192" s="1"/>
  <c r="K165" s="1"/>
  <c r="K183" s="1"/>
  <c r="K192" s="1"/>
  <c r="L165" s="1"/>
  <c r="L183" s="1"/>
  <c r="L192" s="1"/>
  <c r="M165" s="1"/>
  <c r="M183" s="1"/>
  <c r="M192" s="1"/>
  <c r="G178" i="2650"/>
  <c r="G187" s="1"/>
  <c r="H160" s="1"/>
  <c r="L179" i="2648"/>
  <c r="L188" s="1"/>
  <c r="M161" s="1"/>
  <c r="M179" s="1"/>
  <c r="M188" s="1"/>
  <c r="L183" i="2650"/>
  <c r="L192" s="1"/>
  <c r="M165" s="1"/>
  <c r="M183" s="1"/>
  <c r="M192" s="1"/>
  <c r="L184" i="2652"/>
  <c r="L193" s="1"/>
  <c r="M166" s="1"/>
  <c r="M184" s="1"/>
  <c r="M193" s="1"/>
  <c r="L183" i="2648"/>
  <c r="L192" s="1"/>
  <c r="M165" s="1"/>
  <c r="M183" s="1"/>
  <c r="M192" s="1"/>
  <c r="L185"/>
  <c r="L194" s="1"/>
  <c r="M167" s="1"/>
  <c r="M185" s="1"/>
  <c r="M194" s="1"/>
  <c r="G178" i="2651"/>
  <c r="G187" s="1"/>
  <c r="H160" s="1"/>
  <c r="G178" i="2648"/>
  <c r="G187" s="1"/>
  <c r="H160" s="1"/>
  <c r="G178" i="2652"/>
  <c r="G187" s="1"/>
  <c r="H160" s="1"/>
  <c r="F159" i="2650"/>
  <c r="E197"/>
  <c r="E197" i="2651"/>
  <c r="F159"/>
  <c r="E197" i="2648"/>
  <c r="F159"/>
  <c r="F159" i="2652"/>
  <c r="E197"/>
  <c r="I180" i="2650"/>
  <c r="I189" s="1"/>
  <c r="J162" s="1"/>
  <c r="J180" s="1"/>
  <c r="J189" s="1"/>
  <c r="K162" s="1"/>
  <c r="K180" s="1"/>
  <c r="K189" s="1"/>
  <c r="L162" s="1"/>
  <c r="L180" s="1"/>
  <c r="L189" s="1"/>
  <c r="M162" s="1"/>
  <c r="M180" s="1"/>
  <c r="M189" s="1"/>
  <c r="L181" i="2648"/>
  <c r="L190" s="1"/>
  <c r="M163" s="1"/>
  <c r="M181" s="1"/>
  <c r="M190" s="1"/>
  <c r="E197" i="2649"/>
  <c r="F159"/>
  <c r="J180" i="2651"/>
  <c r="J189" s="1"/>
  <c r="K162" s="1"/>
  <c r="K180" s="1"/>
  <c r="K189" s="1"/>
  <c r="L162" s="1"/>
  <c r="L180" s="1"/>
  <c r="L189" s="1"/>
  <c r="M162" s="1"/>
  <c r="H182" i="2652"/>
  <c r="H191" s="1"/>
  <c r="I164" s="1"/>
  <c r="I182" s="1"/>
  <c r="I191" s="1"/>
  <c r="J164" s="1"/>
  <c r="J182" s="1"/>
  <c r="J191" s="1"/>
  <c r="K164" s="1"/>
  <c r="K182" s="1"/>
  <c r="K191" s="1"/>
  <c r="L164" s="1"/>
  <c r="L182" s="1"/>
  <c r="L191" s="1"/>
  <c r="M164" s="1"/>
  <c r="M182" s="1"/>
  <c r="M191" s="1"/>
  <c r="K180" i="2648"/>
  <c r="K189" s="1"/>
  <c r="L162" s="1"/>
  <c r="L180" s="1"/>
  <c r="L189" s="1"/>
  <c r="M162" s="1"/>
  <c r="M180" s="1"/>
  <c r="M189" s="1"/>
  <c r="I184" i="2649"/>
  <c r="I193" s="1"/>
  <c r="J166" s="1"/>
  <c r="J184" s="1"/>
  <c r="J193" s="1"/>
  <c r="K166" s="1"/>
  <c r="K184" s="1"/>
  <c r="K193" s="1"/>
  <c r="L166" s="1"/>
  <c r="L184" s="1"/>
  <c r="L193" s="1"/>
  <c r="M166" s="1"/>
  <c r="M184" s="1"/>
  <c r="M193" s="1"/>
  <c r="G178"/>
  <c r="G187" s="1"/>
  <c r="H160" s="1"/>
  <c r="H182" i="2651"/>
  <c r="H191" s="1"/>
  <c r="I164" s="1"/>
  <c r="I182" s="1"/>
  <c r="I191" s="1"/>
  <c r="J164" s="1"/>
  <c r="J182" s="1"/>
  <c r="J191" s="1"/>
  <c r="K164" s="1"/>
  <c r="K182" s="1"/>
  <c r="K191" s="1"/>
  <c r="L164" s="1"/>
  <c r="L182" s="1"/>
  <c r="L191" s="1"/>
  <c r="M164" s="1"/>
  <c r="M182" s="1"/>
  <c r="M191" s="1"/>
  <c r="J181" i="2652"/>
  <c r="J190" s="1"/>
  <c r="K163" s="1"/>
  <c r="K181" s="1"/>
  <c r="K190" s="1"/>
  <c r="L163" s="1"/>
  <c r="L181" s="1"/>
  <c r="L190" s="1"/>
  <c r="M163" s="1"/>
  <c r="M181" s="1"/>
  <c r="M190" s="1"/>
  <c r="K185"/>
  <c r="K194" s="1"/>
  <c r="L167" s="1"/>
  <c r="L185" s="1"/>
  <c r="L194" s="1"/>
  <c r="M167" s="1"/>
  <c r="M185" s="1"/>
  <c r="M194" s="1"/>
  <c r="F49" i="2649"/>
  <c r="D312" s="1"/>
  <c r="F49" i="2648"/>
  <c r="D312" s="1"/>
  <c r="F49" i="2650"/>
  <c r="D312" s="1"/>
  <c r="F49" i="2651"/>
  <c r="D312" s="1"/>
  <c r="F49" i="2652"/>
  <c r="D312" s="1"/>
  <c r="M188" i="2651" l="1"/>
  <c r="H178" i="2649"/>
  <c r="H187" s="1"/>
  <c r="I160" s="1"/>
  <c r="H178" i="2650"/>
  <c r="H187" s="1"/>
  <c r="I160" s="1"/>
  <c r="M180" i="2651"/>
  <c r="M189" s="1"/>
  <c r="F177" i="2648"/>
  <c r="F196" s="1"/>
  <c r="F195"/>
  <c r="F186"/>
  <c r="F195" i="2649"/>
  <c r="F177"/>
  <c r="F196" s="1"/>
  <c r="F195" i="2652"/>
  <c r="F177"/>
  <c r="F196" s="1"/>
  <c r="F177" i="2650"/>
  <c r="F196" s="1"/>
  <c r="F195"/>
  <c r="F186"/>
  <c r="F177" i="2651"/>
  <c r="F196" s="1"/>
  <c r="F195"/>
  <c r="F186"/>
  <c r="H178" i="2652"/>
  <c r="H187" s="1"/>
  <c r="I160" s="1"/>
  <c r="H178" i="2648"/>
  <c r="H187" s="1"/>
  <c r="I160" s="1"/>
  <c r="H178" i="2651"/>
  <c r="H187" s="1"/>
  <c r="I160" s="1"/>
  <c r="K8" i="2452"/>
  <c r="L8" s="1"/>
  <c r="K9"/>
  <c r="L9" s="1"/>
  <c r="K10"/>
  <c r="L10" s="1"/>
  <c r="K11"/>
  <c r="L11" s="1"/>
  <c r="K12"/>
  <c r="K13"/>
  <c r="K14"/>
  <c r="K15"/>
  <c r="K16"/>
  <c r="K17"/>
  <c r="K18"/>
  <c r="K19"/>
  <c r="B20"/>
  <c r="B24" s="1"/>
  <c r="B28" s="1"/>
  <c r="K20"/>
  <c r="B21"/>
  <c r="B25" s="1"/>
  <c r="B29" s="1"/>
  <c r="K21"/>
  <c r="B22"/>
  <c r="B26" s="1"/>
  <c r="K22"/>
  <c r="B23"/>
  <c r="B27" s="1"/>
  <c r="K23"/>
  <c r="R23"/>
  <c r="R27" s="1"/>
  <c r="R31" s="1"/>
  <c r="K24"/>
  <c r="R24"/>
  <c r="R28" s="1"/>
  <c r="R32" s="1"/>
  <c r="K25"/>
  <c r="R25"/>
  <c r="R29" s="1"/>
  <c r="R33" s="1"/>
  <c r="K26"/>
  <c r="R26"/>
  <c r="R30" s="1"/>
  <c r="K27"/>
  <c r="K28"/>
  <c r="K29"/>
  <c r="K30"/>
  <c r="J31"/>
  <c r="J32"/>
  <c r="J33"/>
  <c r="J34"/>
  <c r="J35"/>
  <c r="J36"/>
  <c r="J37"/>
  <c r="J38"/>
  <c r="J39"/>
  <c r="J40"/>
  <c r="O4" s="1"/>
  <c r="J41" s="1"/>
  <c r="F186" i="2652" l="1"/>
  <c r="G159" s="1"/>
  <c r="I178" i="2649"/>
  <c r="I187" s="1"/>
  <c r="I178" i="2650"/>
  <c r="I187" s="1"/>
  <c r="J160" s="1"/>
  <c r="G159"/>
  <c r="F197"/>
  <c r="F186" i="2649"/>
  <c r="I178" i="2651"/>
  <c r="I187" s="1"/>
  <c r="J160" s="1"/>
  <c r="I178" i="2648"/>
  <c r="I187" s="1"/>
  <c r="J160" s="1"/>
  <c r="I178" i="2652"/>
  <c r="I187" s="1"/>
  <c r="J160" s="1"/>
  <c r="G159" i="2651"/>
  <c r="F197"/>
  <c r="G159" i="2648"/>
  <c r="F197"/>
  <c r="P36" i="2452"/>
  <c r="L27"/>
  <c r="P35"/>
  <c r="L26"/>
  <c r="L24"/>
  <c r="P33"/>
  <c r="Q63" s="1"/>
  <c r="G20" i="5" s="1"/>
  <c r="L23" i="2452"/>
  <c r="P32"/>
  <c r="P30"/>
  <c r="P64" s="1"/>
  <c r="F21" i="5" s="1"/>
  <c r="L21" i="2452"/>
  <c r="P29"/>
  <c r="P63" s="1"/>
  <c r="F20" i="5" s="1"/>
  <c r="L20" i="2452"/>
  <c r="P26"/>
  <c r="O64" s="1"/>
  <c r="E21" i="5" s="1"/>
  <c r="L17" i="2452"/>
  <c r="L30"/>
  <c r="L28"/>
  <c r="P27"/>
  <c r="L18"/>
  <c r="P25"/>
  <c r="O63" s="1"/>
  <c r="E20" i="5" s="1"/>
  <c r="L16" i="2452"/>
  <c r="P23"/>
  <c r="L14"/>
  <c r="P21"/>
  <c r="N63" s="1"/>
  <c r="D20" i="5" s="1"/>
  <c r="L12" i="2452"/>
  <c r="L29"/>
  <c r="P34"/>
  <c r="Q64" s="1"/>
  <c r="G21" i="5" s="1"/>
  <c r="L25" i="2452"/>
  <c r="P31"/>
  <c r="L22"/>
  <c r="L19"/>
  <c r="P28"/>
  <c r="L15"/>
  <c r="P24"/>
  <c r="P22"/>
  <c r="L13"/>
  <c r="K32"/>
  <c r="K34"/>
  <c r="K33"/>
  <c r="K31"/>
  <c r="J42"/>
  <c r="J43"/>
  <c r="J44"/>
  <c r="J45"/>
  <c r="F197" i="2652" l="1"/>
  <c r="J178" i="2648"/>
  <c r="J187" s="1"/>
  <c r="J160" i="2649"/>
  <c r="J178" i="2652"/>
  <c r="J187" s="1"/>
  <c r="K160" s="1"/>
  <c r="J178" i="2651"/>
  <c r="J187" s="1"/>
  <c r="K160" s="1"/>
  <c r="J178" i="2650"/>
  <c r="J187" s="1"/>
  <c r="F60" i="2652"/>
  <c r="D311" s="1"/>
  <c r="D314" s="1"/>
  <c r="D317" s="1"/>
  <c r="F60" i="2650"/>
  <c r="D311" s="1"/>
  <c r="D314" s="1"/>
  <c r="D317" s="1"/>
  <c r="F60" i="2651"/>
  <c r="D311" s="1"/>
  <c r="D314" s="1"/>
  <c r="D317" s="1"/>
  <c r="F60" i="2649"/>
  <c r="F60" i="2648"/>
  <c r="D311" s="1"/>
  <c r="D314" s="1"/>
  <c r="D317" s="1"/>
  <c r="G60" i="2652"/>
  <c r="G322" s="1"/>
  <c r="G60" i="2651"/>
  <c r="G322" s="1"/>
  <c r="G60" i="2649"/>
  <c r="G60" i="2648"/>
  <c r="G322" s="1"/>
  <c r="G60" i="2650"/>
  <c r="G322" s="1"/>
  <c r="H60" i="2652"/>
  <c r="H322" s="1"/>
  <c r="H60" i="2650"/>
  <c r="H322" s="1"/>
  <c r="H60" i="2651"/>
  <c r="H322" s="1"/>
  <c r="H60" i="2649"/>
  <c r="H60" i="2648"/>
  <c r="H322" s="1"/>
  <c r="H59" i="2652"/>
  <c r="H59" i="2651"/>
  <c r="H59" i="2649"/>
  <c r="H59" i="2648"/>
  <c r="H59" i="2650"/>
  <c r="G159" i="2649"/>
  <c r="F197"/>
  <c r="G177" i="2650"/>
  <c r="G196" s="1"/>
  <c r="G195"/>
  <c r="G59" i="2652"/>
  <c r="G59" i="2650"/>
  <c r="G59" i="2651"/>
  <c r="G59" i="2649"/>
  <c r="G59" i="2648"/>
  <c r="G177"/>
  <c r="G196" s="1"/>
  <c r="G195"/>
  <c r="G177" i="2652"/>
  <c r="G195"/>
  <c r="G177" i="2651"/>
  <c r="G196" s="1"/>
  <c r="G195"/>
  <c r="O22" i="2452"/>
  <c r="L31"/>
  <c r="O37" s="1"/>
  <c r="R61" s="1"/>
  <c r="H18" i="5" s="1"/>
  <c r="P40" i="2452"/>
  <c r="L34"/>
  <c r="L32"/>
  <c r="O24"/>
  <c r="O28"/>
  <c r="P38"/>
  <c r="R64" s="1"/>
  <c r="H21" i="5" s="1"/>
  <c r="O21" i="2452"/>
  <c r="N61" s="1"/>
  <c r="D18" i="5" s="1"/>
  <c r="O23" i="2452"/>
  <c r="O25"/>
  <c r="O61" s="1"/>
  <c r="E18" i="5" s="1"/>
  <c r="O27" i="2452"/>
  <c r="N28"/>
  <c r="N30"/>
  <c r="O26"/>
  <c r="O62" s="1"/>
  <c r="E19" i="5" s="1"/>
  <c r="N20" i="2452"/>
  <c r="O29"/>
  <c r="N21"/>
  <c r="N59" s="1"/>
  <c r="D16" i="5" s="1"/>
  <c r="O30" i="2452"/>
  <c r="N26"/>
  <c r="O35"/>
  <c r="N27"/>
  <c r="O60" s="1"/>
  <c r="E17" i="5" s="1"/>
  <c r="O36" i="2452"/>
  <c r="L33"/>
  <c r="N22"/>
  <c r="O31"/>
  <c r="N25"/>
  <c r="O59" s="1"/>
  <c r="E16" i="5" s="1"/>
  <c r="O34" i="2452"/>
  <c r="Q62" s="1"/>
  <c r="G19" i="5" s="1"/>
  <c r="N29" i="2452"/>
  <c r="P59" s="1"/>
  <c r="F16" i="5" s="1"/>
  <c r="P37" i="2452"/>
  <c r="R63" s="1"/>
  <c r="H20" i="5" s="1"/>
  <c r="P39" i="2452"/>
  <c r="N23"/>
  <c r="N60" s="1"/>
  <c r="O32"/>
  <c r="N24"/>
  <c r="O33"/>
  <c r="Q61" s="1"/>
  <c r="G18" i="5" s="1"/>
  <c r="D17"/>
  <c r="P62" i="2452"/>
  <c r="F19" i="5" s="1"/>
  <c r="K36" i="2452"/>
  <c r="J46"/>
  <c r="J47"/>
  <c r="J48"/>
  <c r="J49"/>
  <c r="P61"/>
  <c r="F18" i="5" s="1"/>
  <c r="K35" i="2452"/>
  <c r="K37"/>
  <c r="K38"/>
  <c r="G186" i="2651" l="1"/>
  <c r="H159" s="1"/>
  <c r="K178"/>
  <c r="K187" s="1"/>
  <c r="L160" s="1"/>
  <c r="L178" s="1"/>
  <c r="L187" s="1"/>
  <c r="M160" s="1"/>
  <c r="M178" s="1"/>
  <c r="M187" s="1"/>
  <c r="K160" i="2648"/>
  <c r="K160" i="2650"/>
  <c r="F56" i="2651"/>
  <c r="F56" i="2652"/>
  <c r="F56" i="2650"/>
  <c r="F56" i="2649"/>
  <c r="F56" i="2648"/>
  <c r="I60" i="2651"/>
  <c r="I322" s="1"/>
  <c r="I60" i="2650"/>
  <c r="I322" s="1"/>
  <c r="I60" i="2649"/>
  <c r="I60" i="2648"/>
  <c r="I322" s="1"/>
  <c r="I60" i="2652"/>
  <c r="I322" s="1"/>
  <c r="G55"/>
  <c r="G55" i="2650"/>
  <c r="G55" i="2651"/>
  <c r="G55" i="2649"/>
  <c r="G55" i="2648"/>
  <c r="F55" i="2652"/>
  <c r="F84" s="1"/>
  <c r="F99" s="1"/>
  <c r="F55" i="2651"/>
  <c r="F84" s="1"/>
  <c r="F99" s="1"/>
  <c r="F55" i="2649"/>
  <c r="F84" s="1"/>
  <c r="F99" s="1"/>
  <c r="F55" i="2648"/>
  <c r="F84" s="1"/>
  <c r="F99" s="1"/>
  <c r="F55" i="2650"/>
  <c r="F84" s="1"/>
  <c r="F99" s="1"/>
  <c r="G186" i="2652"/>
  <c r="G196"/>
  <c r="G186" i="2648"/>
  <c r="G186" i="2650"/>
  <c r="H322" i="2649"/>
  <c r="G322"/>
  <c r="D311"/>
  <c r="D314" s="1"/>
  <c r="D317" s="1"/>
  <c r="D318" i="2650"/>
  <c r="F324" s="1"/>
  <c r="G324" s="1"/>
  <c r="H324" s="1"/>
  <c r="J178" i="2649"/>
  <c r="J187" s="1"/>
  <c r="K160" s="1"/>
  <c r="E56" i="2652"/>
  <c r="E56" i="2650"/>
  <c r="E56" i="2651"/>
  <c r="E56" i="2649"/>
  <c r="E56" i="2648"/>
  <c r="I59" i="2652"/>
  <c r="I59" i="2650"/>
  <c r="I59" i="2651"/>
  <c r="I59" i="2649"/>
  <c r="I59" i="2648"/>
  <c r="E55" i="2652"/>
  <c r="E84" s="1"/>
  <c r="E55" i="2650"/>
  <c r="E84" s="1"/>
  <c r="E55" i="2651"/>
  <c r="E84" s="1"/>
  <c r="E55" i="2649"/>
  <c r="E84" s="1"/>
  <c r="E55" i="2648"/>
  <c r="E84" s="1"/>
  <c r="I57" i="2652"/>
  <c r="I57" i="2650"/>
  <c r="I57" i="2651"/>
  <c r="I57" i="2649"/>
  <c r="I57" i="2648"/>
  <c r="G197" i="2651"/>
  <c r="G177" i="2649"/>
  <c r="G195"/>
  <c r="D318" i="2648"/>
  <c r="F324" s="1"/>
  <c r="G324" s="1"/>
  <c r="H324" s="1"/>
  <c r="D318" i="2651"/>
  <c r="F324" s="1"/>
  <c r="G324" s="1"/>
  <c r="H324" s="1"/>
  <c r="D318" i="2652"/>
  <c r="F324" s="1"/>
  <c r="G324" s="1"/>
  <c r="H324" s="1"/>
  <c r="K178"/>
  <c r="P42" i="2452"/>
  <c r="S64" s="1"/>
  <c r="I21" i="5" s="1"/>
  <c r="O38" i="2452"/>
  <c r="R62" s="1"/>
  <c r="H19" i="5" s="1"/>
  <c r="O39" i="2452"/>
  <c r="L38"/>
  <c r="L36"/>
  <c r="L37"/>
  <c r="N32"/>
  <c r="N34"/>
  <c r="L35"/>
  <c r="O41" s="1"/>
  <c r="S61" s="1"/>
  <c r="I18" i="5" s="1"/>
  <c r="P44" i="2452"/>
  <c r="N33"/>
  <c r="Q59" s="1"/>
  <c r="G16" i="5" s="1"/>
  <c r="P41" i="2452"/>
  <c r="S63" s="1"/>
  <c r="I20" i="5" s="1"/>
  <c r="P43" i="2452"/>
  <c r="N31"/>
  <c r="P60" s="1"/>
  <c r="F17" i="5" s="1"/>
  <c r="O40" i="2452"/>
  <c r="K40"/>
  <c r="K41"/>
  <c r="J50"/>
  <c r="J51"/>
  <c r="J52"/>
  <c r="J53"/>
  <c r="J54"/>
  <c r="J55"/>
  <c r="K42"/>
  <c r="K39"/>
  <c r="D319" i="2650" l="1"/>
  <c r="C319" i="2651"/>
  <c r="C319" i="2648"/>
  <c r="C319" i="2650"/>
  <c r="D319" i="2648"/>
  <c r="G56" i="2652"/>
  <c r="G56" i="2650"/>
  <c r="G56" i="2651"/>
  <c r="G56" i="2649"/>
  <c r="G56" i="2648"/>
  <c r="J59" i="2651"/>
  <c r="J59" i="2650"/>
  <c r="J59" i="2649"/>
  <c r="J59" i="2648"/>
  <c r="J59" i="2652"/>
  <c r="I58"/>
  <c r="I78" s="1"/>
  <c r="H298" s="1"/>
  <c r="H299" s="1"/>
  <c r="I58" i="2650"/>
  <c r="I78" s="1"/>
  <c r="H298" s="1"/>
  <c r="H299" s="1"/>
  <c r="I58" i="2651"/>
  <c r="I78" s="1"/>
  <c r="H298" s="1"/>
  <c r="H299" s="1"/>
  <c r="I58" i="2649"/>
  <c r="I78" s="1"/>
  <c r="H298" s="1"/>
  <c r="H299" s="1"/>
  <c r="I58" i="2648"/>
  <c r="I78" s="1"/>
  <c r="H298" s="1"/>
  <c r="H299" s="1"/>
  <c r="I324" i="2652"/>
  <c r="H330"/>
  <c r="H55" i="2651"/>
  <c r="H55" i="2650"/>
  <c r="H55" i="2649"/>
  <c r="H55" i="2648"/>
  <c r="H55" i="2652"/>
  <c r="J57"/>
  <c r="J57" i="2651"/>
  <c r="J57" i="2649"/>
  <c r="J57" i="2648"/>
  <c r="J57" i="2650"/>
  <c r="J60" i="2652"/>
  <c r="J322" s="1"/>
  <c r="J60" i="2650"/>
  <c r="J322" s="1"/>
  <c r="J60" i="2651"/>
  <c r="J322" s="1"/>
  <c r="J60" i="2649"/>
  <c r="J60" i="2648"/>
  <c r="J322" s="1"/>
  <c r="K187" i="2652"/>
  <c r="L160" s="1"/>
  <c r="D319"/>
  <c r="C319"/>
  <c r="D319" i="2651"/>
  <c r="I324" i="2648"/>
  <c r="H330"/>
  <c r="G186" i="2649"/>
  <c r="G196"/>
  <c r="H177" i="2651"/>
  <c r="H196" s="1"/>
  <c r="H195"/>
  <c r="E129" i="2648"/>
  <c r="E147" s="1"/>
  <c r="F111" s="1"/>
  <c r="E125"/>
  <c r="E143" s="1"/>
  <c r="F107" s="1"/>
  <c r="E130"/>
  <c r="E148" s="1"/>
  <c r="F112" s="1"/>
  <c r="E126"/>
  <c r="E144" s="1"/>
  <c r="F108" s="1"/>
  <c r="E131"/>
  <c r="E149" s="1"/>
  <c r="F113" s="1"/>
  <c r="E127"/>
  <c r="E145" s="1"/>
  <c r="F109" s="1"/>
  <c r="E132"/>
  <c r="E150" s="1"/>
  <c r="F114" s="1"/>
  <c r="E128"/>
  <c r="E146" s="1"/>
  <c r="F110" s="1"/>
  <c r="E124"/>
  <c r="E99"/>
  <c r="E131" i="2651"/>
  <c r="E149" s="1"/>
  <c r="F113" s="1"/>
  <c r="E127"/>
  <c r="E145" s="1"/>
  <c r="F109" s="1"/>
  <c r="E132"/>
  <c r="E150" s="1"/>
  <c r="F114" s="1"/>
  <c r="E128"/>
  <c r="E146" s="1"/>
  <c r="F110" s="1"/>
  <c r="E124"/>
  <c r="E129"/>
  <c r="E147" s="1"/>
  <c r="F111" s="1"/>
  <c r="E125"/>
  <c r="E143" s="1"/>
  <c r="F107" s="1"/>
  <c r="E130"/>
  <c r="E148" s="1"/>
  <c r="F112" s="1"/>
  <c r="E126"/>
  <c r="E144" s="1"/>
  <c r="F108" s="1"/>
  <c r="E99"/>
  <c r="E129" i="2652"/>
  <c r="E147" s="1"/>
  <c r="F111" s="1"/>
  <c r="E125"/>
  <c r="E143" s="1"/>
  <c r="F107" s="1"/>
  <c r="E130"/>
  <c r="E148" s="1"/>
  <c r="F112" s="1"/>
  <c r="E126"/>
  <c r="E144" s="1"/>
  <c r="F108" s="1"/>
  <c r="E131"/>
  <c r="E149" s="1"/>
  <c r="F113" s="1"/>
  <c r="E127"/>
  <c r="E145" s="1"/>
  <c r="F109" s="1"/>
  <c r="E132"/>
  <c r="E150" s="1"/>
  <c r="F114" s="1"/>
  <c r="E128"/>
  <c r="E146" s="1"/>
  <c r="F110" s="1"/>
  <c r="E124"/>
  <c r="E99"/>
  <c r="I324" i="2650"/>
  <c r="H330"/>
  <c r="H159"/>
  <c r="G197"/>
  <c r="F101"/>
  <c r="F101" i="2649"/>
  <c r="G97" s="1"/>
  <c r="F101" i="2652"/>
  <c r="G97" s="1"/>
  <c r="G92" i="2649"/>
  <c r="G93" s="1"/>
  <c r="G92" i="2650"/>
  <c r="G93" s="1"/>
  <c r="G85"/>
  <c r="G86" s="1"/>
  <c r="G84"/>
  <c r="I322" i="2649"/>
  <c r="K178" i="2650"/>
  <c r="K187" s="1"/>
  <c r="L160" s="1"/>
  <c r="K178" i="2648"/>
  <c r="K187" s="1"/>
  <c r="I324" i="2651"/>
  <c r="H330"/>
  <c r="E132" i="2649"/>
  <c r="E150" s="1"/>
  <c r="F114" s="1"/>
  <c r="E128"/>
  <c r="E146" s="1"/>
  <c r="F110" s="1"/>
  <c r="E124"/>
  <c r="E129"/>
  <c r="E147" s="1"/>
  <c r="F111" s="1"/>
  <c r="E125"/>
  <c r="E143" s="1"/>
  <c r="F107" s="1"/>
  <c r="E130"/>
  <c r="E148" s="1"/>
  <c r="F112" s="1"/>
  <c r="E126"/>
  <c r="E144" s="1"/>
  <c r="F108" s="1"/>
  <c r="E131"/>
  <c r="E149" s="1"/>
  <c r="F113" s="1"/>
  <c r="E127"/>
  <c r="E145" s="1"/>
  <c r="F109" s="1"/>
  <c r="E99"/>
  <c r="E130" i="2650"/>
  <c r="E148" s="1"/>
  <c r="F112" s="1"/>
  <c r="E126"/>
  <c r="E144" s="1"/>
  <c r="F108" s="1"/>
  <c r="E131"/>
  <c r="E149" s="1"/>
  <c r="F113" s="1"/>
  <c r="E127"/>
  <c r="E145" s="1"/>
  <c r="F109" s="1"/>
  <c r="E132"/>
  <c r="E150" s="1"/>
  <c r="F114" s="1"/>
  <c r="E128"/>
  <c r="E146" s="1"/>
  <c r="F110" s="1"/>
  <c r="E124"/>
  <c r="E129"/>
  <c r="E147" s="1"/>
  <c r="F111" s="1"/>
  <c r="E125"/>
  <c r="E143" s="1"/>
  <c r="F107" s="1"/>
  <c r="E99"/>
  <c r="K178" i="2649"/>
  <c r="K187" s="1"/>
  <c r="D318"/>
  <c r="F324" s="1"/>
  <c r="G324" s="1"/>
  <c r="H324" s="1"/>
  <c r="H159" i="2648"/>
  <c r="G197"/>
  <c r="H159" i="2652"/>
  <c r="G197"/>
  <c r="F101" i="2648"/>
  <c r="F101" i="2651"/>
  <c r="G85" i="2648"/>
  <c r="G86" s="1"/>
  <c r="G84"/>
  <c r="G92"/>
  <c r="G93" s="1"/>
  <c r="G85" i="2651"/>
  <c r="G86" s="1"/>
  <c r="G84"/>
  <c r="G92"/>
  <c r="G93" s="1"/>
  <c r="G85" i="2652"/>
  <c r="G86" s="1"/>
  <c r="G92"/>
  <c r="G93" s="1"/>
  <c r="G84"/>
  <c r="O42" i="2452"/>
  <c r="S62" s="1"/>
  <c r="I19" i="5" s="1"/>
  <c r="L39" i="2452"/>
  <c r="P48"/>
  <c r="L42"/>
  <c r="L41"/>
  <c r="L40"/>
  <c r="O43"/>
  <c r="N37"/>
  <c r="R59" s="1"/>
  <c r="H16" i="5" s="1"/>
  <c r="N36" i="2452"/>
  <c r="N38"/>
  <c r="N35"/>
  <c r="Q60" s="1"/>
  <c r="G17" i="5" s="1"/>
  <c r="O44" i="2452"/>
  <c r="P46"/>
  <c r="T64" s="1"/>
  <c r="J21" i="5" s="1"/>
  <c r="P45" i="2452"/>
  <c r="T63" s="1"/>
  <c r="J20" i="5" s="1"/>
  <c r="P47" i="2452"/>
  <c r="K44"/>
  <c r="K45"/>
  <c r="K43"/>
  <c r="K46"/>
  <c r="D319" i="2649" l="1"/>
  <c r="J322"/>
  <c r="O46" i="2452"/>
  <c r="T62" s="1"/>
  <c r="J19" i="5" s="1"/>
  <c r="C319" i="2649"/>
  <c r="K58" i="2652"/>
  <c r="K78" s="1"/>
  <c r="K58" i="2650"/>
  <c r="K78" s="1"/>
  <c r="K58" i="2651"/>
  <c r="K78" s="1"/>
  <c r="K58" i="2649"/>
  <c r="K58" i="2648"/>
  <c r="K78" s="1"/>
  <c r="K59" i="2652"/>
  <c r="K59" i="2650"/>
  <c r="K59" i="2651"/>
  <c r="K59" i="2649"/>
  <c r="K59" i="2648"/>
  <c r="L160" i="2649"/>
  <c r="F200" i="2650"/>
  <c r="F129"/>
  <c r="F138"/>
  <c r="F137"/>
  <c r="F128"/>
  <c r="F136"/>
  <c r="F127"/>
  <c r="F135"/>
  <c r="F126"/>
  <c r="F200" i="2649"/>
  <c r="F140"/>
  <c r="F131"/>
  <c r="F139"/>
  <c r="F130"/>
  <c r="F129"/>
  <c r="F138"/>
  <c r="F137"/>
  <c r="F128"/>
  <c r="L160" i="2648"/>
  <c r="L178" i="2650"/>
  <c r="L187" s="1"/>
  <c r="M160" s="1"/>
  <c r="G201" i="2649"/>
  <c r="G222"/>
  <c r="G223" s="1"/>
  <c r="H219" s="1"/>
  <c r="G98"/>
  <c r="H177" i="2650"/>
  <c r="H196" s="1"/>
  <c r="H195"/>
  <c r="J324"/>
  <c r="D326"/>
  <c r="G11" i="49" s="1"/>
  <c r="I330" i="2650"/>
  <c r="F200" i="2652"/>
  <c r="F128"/>
  <c r="F137"/>
  <c r="F136"/>
  <c r="F127"/>
  <c r="F135"/>
  <c r="F126"/>
  <c r="F125"/>
  <c r="F134"/>
  <c r="F143" s="1"/>
  <c r="G107" s="1"/>
  <c r="F200" i="2651"/>
  <c r="F139"/>
  <c r="F130"/>
  <c r="F129"/>
  <c r="F138"/>
  <c r="F137"/>
  <c r="F128"/>
  <c r="F136"/>
  <c r="F127"/>
  <c r="F200" i="2648"/>
  <c r="F137"/>
  <c r="F128"/>
  <c r="F146" s="1"/>
  <c r="G110" s="1"/>
  <c r="F127"/>
  <c r="F136"/>
  <c r="F135"/>
  <c r="F126"/>
  <c r="F125"/>
  <c r="F134"/>
  <c r="F143" s="1"/>
  <c r="G107" s="1"/>
  <c r="H159" i="2649"/>
  <c r="G197"/>
  <c r="D326" i="2648"/>
  <c r="I11" i="49" s="1"/>
  <c r="J324" i="2648"/>
  <c r="I330"/>
  <c r="L178" i="2652"/>
  <c r="L187" s="1"/>
  <c r="M160" s="1"/>
  <c r="H92" i="2648"/>
  <c r="H85"/>
  <c r="H86" s="1"/>
  <c r="H84"/>
  <c r="H85" i="2650"/>
  <c r="H86" s="1"/>
  <c r="H84"/>
  <c r="H92"/>
  <c r="G85" i="2649"/>
  <c r="G86" s="1"/>
  <c r="G84"/>
  <c r="I55" i="2652"/>
  <c r="I55" i="2650"/>
  <c r="I55" i="2651"/>
  <c r="I55" i="2649"/>
  <c r="I55" i="2648"/>
  <c r="G222"/>
  <c r="G223" s="1"/>
  <c r="H219" s="1"/>
  <c r="H93"/>
  <c r="G201"/>
  <c r="G98"/>
  <c r="H177" i="2652"/>
  <c r="H196" s="1"/>
  <c r="H195"/>
  <c r="H177" i="2648"/>
  <c r="H196" s="1"/>
  <c r="H195"/>
  <c r="K60" i="2652"/>
  <c r="K322" s="1"/>
  <c r="K60" i="2651"/>
  <c r="K322" s="1"/>
  <c r="K60" i="2649"/>
  <c r="K322" s="1"/>
  <c r="K60" i="2648"/>
  <c r="K322" s="1"/>
  <c r="K60" i="2650"/>
  <c r="K322" s="1"/>
  <c r="H56" i="2652"/>
  <c r="H56" i="2651"/>
  <c r="H56" i="2649"/>
  <c r="H56" i="2648"/>
  <c r="H56" i="2650"/>
  <c r="O45" i="2452"/>
  <c r="T61" s="1"/>
  <c r="J18" i="5" s="1"/>
  <c r="J58" i="2651"/>
  <c r="J78" s="1"/>
  <c r="J298" s="1"/>
  <c r="J58" i="2650"/>
  <c r="J78" s="1"/>
  <c r="J298" s="1"/>
  <c r="J58" i="2649"/>
  <c r="J78" s="1"/>
  <c r="J298" s="1"/>
  <c r="J58" i="2648"/>
  <c r="J78" s="1"/>
  <c r="J298" s="1"/>
  <c r="J58" i="2652"/>
  <c r="J78" s="1"/>
  <c r="J298" s="1"/>
  <c r="G201"/>
  <c r="G222"/>
  <c r="G223" s="1"/>
  <c r="H219" s="1"/>
  <c r="H220" s="1"/>
  <c r="G98"/>
  <c r="G99" s="1"/>
  <c r="G222" i="2651"/>
  <c r="G223" s="1"/>
  <c r="H219" s="1"/>
  <c r="H220" s="1"/>
  <c r="G98"/>
  <c r="G201"/>
  <c r="G97"/>
  <c r="G97" i="2648"/>
  <c r="I324" i="2649"/>
  <c r="H330"/>
  <c r="F125" i="2650"/>
  <c r="F134"/>
  <c r="E152"/>
  <c r="E207" s="1"/>
  <c r="E142"/>
  <c r="F106" s="1"/>
  <c r="F141"/>
  <c r="F132"/>
  <c r="F140"/>
  <c r="F131"/>
  <c r="F139"/>
  <c r="F130"/>
  <c r="F136" i="2649"/>
  <c r="F127"/>
  <c r="F126"/>
  <c r="F135"/>
  <c r="F125"/>
  <c r="F134"/>
  <c r="E152"/>
  <c r="E207" s="1"/>
  <c r="E142"/>
  <c r="F106" s="1"/>
  <c r="F141"/>
  <c r="F132"/>
  <c r="J324" i="2651"/>
  <c r="D326"/>
  <c r="F11" i="49" s="1"/>
  <c r="I330" i="2651"/>
  <c r="G222" i="2650"/>
  <c r="G223" s="1"/>
  <c r="H219" s="1"/>
  <c r="H220" s="1"/>
  <c r="G98"/>
  <c r="G201"/>
  <c r="H93"/>
  <c r="G100" i="2652"/>
  <c r="G100" i="2649"/>
  <c r="G97" i="2650"/>
  <c r="E152" i="2652"/>
  <c r="E207" s="1"/>
  <c r="E142"/>
  <c r="F106" s="1"/>
  <c r="F132"/>
  <c r="F141"/>
  <c r="F140"/>
  <c r="F131"/>
  <c r="F139"/>
  <c r="F130"/>
  <c r="F138"/>
  <c r="F129"/>
  <c r="F135" i="2651"/>
  <c r="F126"/>
  <c r="F125"/>
  <c r="F134"/>
  <c r="E142"/>
  <c r="F106" s="1"/>
  <c r="E152"/>
  <c r="E207" s="1"/>
  <c r="F141"/>
  <c r="F150" s="1"/>
  <c r="G114" s="1"/>
  <c r="F132"/>
  <c r="F140"/>
  <c r="F149" s="1"/>
  <c r="G113" s="1"/>
  <c r="F131"/>
  <c r="E142" i="2648"/>
  <c r="F106" s="1"/>
  <c r="E152"/>
  <c r="E207" s="1"/>
  <c r="F141"/>
  <c r="F132"/>
  <c r="F131"/>
  <c r="F140"/>
  <c r="F139"/>
  <c r="F130"/>
  <c r="F138"/>
  <c r="F129"/>
  <c r="H186" i="2651"/>
  <c r="H92" i="2652"/>
  <c r="H93" s="1"/>
  <c r="H85"/>
  <c r="H86" s="1"/>
  <c r="H84"/>
  <c r="H85" i="2649"/>
  <c r="H92" i="2651"/>
  <c r="H93" s="1"/>
  <c r="H85"/>
  <c r="H86" s="1"/>
  <c r="H84"/>
  <c r="J324" i="2652"/>
  <c r="D326"/>
  <c r="E11" i="49" s="1"/>
  <c r="I330" i="2652"/>
  <c r="O47" i="2452"/>
  <c r="L44"/>
  <c r="L43"/>
  <c r="P52"/>
  <c r="L45"/>
  <c r="P49"/>
  <c r="U63" s="1"/>
  <c r="K20" i="5" s="1"/>
  <c r="P50" i="2452"/>
  <c r="U64" s="1"/>
  <c r="K21" i="5" s="1"/>
  <c r="P51" i="2452"/>
  <c r="N39"/>
  <c r="R60" s="1"/>
  <c r="H17" i="5" s="1"/>
  <c r="O48" i="2452"/>
  <c r="L46"/>
  <c r="N40"/>
  <c r="O49"/>
  <c r="U61" s="1"/>
  <c r="K18" i="5" s="1"/>
  <c r="N41" i="2452"/>
  <c r="S59" s="1"/>
  <c r="I16" i="5" s="1"/>
  <c r="N42" i="2452"/>
  <c r="K48"/>
  <c r="L48" s="1"/>
  <c r="N48" s="1"/>
  <c r="K50"/>
  <c r="L50" s="1"/>
  <c r="K47"/>
  <c r="L47" s="1"/>
  <c r="K49"/>
  <c r="L49" s="1"/>
  <c r="N49" s="1"/>
  <c r="G99" i="2649" l="1"/>
  <c r="F148" i="2648"/>
  <c r="G112" s="1"/>
  <c r="F150"/>
  <c r="G114" s="1"/>
  <c r="F143" i="2650"/>
  <c r="G107" s="1"/>
  <c r="F146" i="2649"/>
  <c r="G110" s="1"/>
  <c r="F149"/>
  <c r="G113" s="1"/>
  <c r="F149" i="2652"/>
  <c r="G113" s="1"/>
  <c r="F150"/>
  <c r="G114" s="1"/>
  <c r="F143" i="2649"/>
  <c r="G107" s="1"/>
  <c r="F150" i="2650"/>
  <c r="G114" s="1"/>
  <c r="H186" i="2648"/>
  <c r="F147" i="2651"/>
  <c r="G111" s="1"/>
  <c r="F148"/>
  <c r="G112" s="1"/>
  <c r="F146" i="2650"/>
  <c r="G110" s="1"/>
  <c r="F147" i="2648"/>
  <c r="G111" s="1"/>
  <c r="F149"/>
  <c r="G113" s="1"/>
  <c r="G131" s="1"/>
  <c r="F143" i="2651"/>
  <c r="G107" s="1"/>
  <c r="F144"/>
  <c r="G108" s="1"/>
  <c r="G126" s="1"/>
  <c r="F147" i="2652"/>
  <c r="G111" s="1"/>
  <c r="F148"/>
  <c r="G112" s="1"/>
  <c r="G130" s="1"/>
  <c r="G101" i="2649"/>
  <c r="H97" s="1"/>
  <c r="F150"/>
  <c r="G114" s="1"/>
  <c r="G132" s="1"/>
  <c r="F144"/>
  <c r="G108" s="1"/>
  <c r="F145"/>
  <c r="G109" s="1"/>
  <c r="G127" s="1"/>
  <c r="F149" i="2650"/>
  <c r="G113" s="1"/>
  <c r="F145" i="2651"/>
  <c r="G109" s="1"/>
  <c r="G127" s="1"/>
  <c r="F146"/>
  <c r="G110" s="1"/>
  <c r="F144" i="2652"/>
  <c r="G108" s="1"/>
  <c r="G135" s="1"/>
  <c r="F148" i="2649"/>
  <c r="G112" s="1"/>
  <c r="F145" i="2650"/>
  <c r="G109" s="1"/>
  <c r="G136" s="1"/>
  <c r="I56" i="2652"/>
  <c r="I56" i="2650"/>
  <c r="I56" i="2651"/>
  <c r="I56" i="2649"/>
  <c r="I56" i="2648"/>
  <c r="H222" i="2651"/>
  <c r="H98"/>
  <c r="H244"/>
  <c r="H201"/>
  <c r="H222" i="2652"/>
  <c r="H223" s="1"/>
  <c r="I219" s="1"/>
  <c r="H98"/>
  <c r="H244"/>
  <c r="H201"/>
  <c r="G134" i="2651"/>
  <c r="G125"/>
  <c r="G138" i="2652"/>
  <c r="G129"/>
  <c r="H248" i="2650"/>
  <c r="H270" s="1"/>
  <c r="H248" i="2651"/>
  <c r="H270" s="1"/>
  <c r="H248" i="2652"/>
  <c r="H270" s="1"/>
  <c r="G132" i="2648"/>
  <c r="G141"/>
  <c r="G141" i="2652"/>
  <c r="G132"/>
  <c r="G141" i="2650"/>
  <c r="G132"/>
  <c r="G134" i="2648"/>
  <c r="G125"/>
  <c r="G143" s="1"/>
  <c r="H107" s="1"/>
  <c r="G130" i="2651"/>
  <c r="G139"/>
  <c r="L57"/>
  <c r="L57" i="2650"/>
  <c r="L57" i="2649"/>
  <c r="L57" i="2648"/>
  <c r="L57" i="2652"/>
  <c r="G129" i="2648"/>
  <c r="G138"/>
  <c r="G139" i="2652"/>
  <c r="H248" i="2648"/>
  <c r="H270" s="1"/>
  <c r="G136" i="2651"/>
  <c r="G137"/>
  <c r="G128"/>
  <c r="G139" i="2649"/>
  <c r="G130"/>
  <c r="G148" s="1"/>
  <c r="H112" s="1"/>
  <c r="G127" i="2650"/>
  <c r="L60" i="2652"/>
  <c r="L322" s="1"/>
  <c r="L60" i="2650"/>
  <c r="L322" s="1"/>
  <c r="L60" i="2649"/>
  <c r="L60" i="2651"/>
  <c r="L322" s="1"/>
  <c r="L60" i="2648"/>
  <c r="L322" s="1"/>
  <c r="G140"/>
  <c r="G141" i="2651"/>
  <c r="G132"/>
  <c r="G135"/>
  <c r="G131" i="2652"/>
  <c r="G140"/>
  <c r="G149" s="1"/>
  <c r="H113" s="1"/>
  <c r="H100" i="2649"/>
  <c r="J55" i="2652"/>
  <c r="J55" i="2651"/>
  <c r="J55" i="2649"/>
  <c r="J55" i="2648"/>
  <c r="J55" i="2650"/>
  <c r="L59" i="2652"/>
  <c r="L59" i="2651"/>
  <c r="L59" i="2649"/>
  <c r="L59" i="2648"/>
  <c r="L59" i="2650"/>
  <c r="F151" i="2648"/>
  <c r="F124"/>
  <c r="F152" s="1"/>
  <c r="F207" s="1"/>
  <c r="F133"/>
  <c r="F153" s="1"/>
  <c r="F208" s="1"/>
  <c r="G101" i="2652"/>
  <c r="H97" s="1"/>
  <c r="H222" i="2650"/>
  <c r="H98"/>
  <c r="H244"/>
  <c r="H201"/>
  <c r="K324" i="2651"/>
  <c r="J330"/>
  <c r="F148" i="2650"/>
  <c r="G112" s="1"/>
  <c r="J324" i="2649"/>
  <c r="D326"/>
  <c r="H11" i="49" s="1"/>
  <c r="I330" i="2649"/>
  <c r="G100" i="2651"/>
  <c r="G99"/>
  <c r="J299" i="2652"/>
  <c r="K298"/>
  <c r="J299" i="2649"/>
  <c r="J299" i="2651"/>
  <c r="K298"/>
  <c r="H92" i="2649"/>
  <c r="H93" s="1"/>
  <c r="H84"/>
  <c r="H186" i="2652"/>
  <c r="H220" i="2648"/>
  <c r="H272" s="1"/>
  <c r="I85"/>
  <c r="I86" s="1"/>
  <c r="I92"/>
  <c r="I84"/>
  <c r="I85" i="2651"/>
  <c r="I86" s="1"/>
  <c r="I92"/>
  <c r="I93" s="1"/>
  <c r="I84"/>
  <c r="I85" i="2652"/>
  <c r="I86" s="1"/>
  <c r="I84"/>
  <c r="I92"/>
  <c r="I93" s="1"/>
  <c r="H86" i="2649"/>
  <c r="K324" i="2648"/>
  <c r="J330"/>
  <c r="F144"/>
  <c r="G108" s="1"/>
  <c r="F145"/>
  <c r="G109" s="1"/>
  <c r="F145" i="2652"/>
  <c r="G109" s="1"/>
  <c r="F146"/>
  <c r="G110" s="1"/>
  <c r="F202"/>
  <c r="F210" s="1"/>
  <c r="F227" s="1"/>
  <c r="F232" s="1"/>
  <c r="F234" s="1"/>
  <c r="G231" s="1"/>
  <c r="K324" i="2650"/>
  <c r="J330"/>
  <c r="H186"/>
  <c r="F147" i="2649"/>
  <c r="G111" s="1"/>
  <c r="F202"/>
  <c r="F210" s="1"/>
  <c r="F227" s="1"/>
  <c r="F144" i="2650"/>
  <c r="G108" s="1"/>
  <c r="F147"/>
  <c r="G111" s="1"/>
  <c r="F202"/>
  <c r="F210" s="1"/>
  <c r="F227" s="1"/>
  <c r="F232" s="1"/>
  <c r="F234" s="1"/>
  <c r="G231" s="1"/>
  <c r="L178" i="2649"/>
  <c r="L187" s="1"/>
  <c r="M160" s="1"/>
  <c r="K324" i="2652"/>
  <c r="J330"/>
  <c r="I159" i="2651"/>
  <c r="H197"/>
  <c r="G139" i="2648"/>
  <c r="G130"/>
  <c r="G131" i="2651"/>
  <c r="G140"/>
  <c r="F124"/>
  <c r="F152" s="1"/>
  <c r="F207" s="1"/>
  <c r="F133"/>
  <c r="F153" s="1"/>
  <c r="F208" s="1"/>
  <c r="F151"/>
  <c r="F124" i="2652"/>
  <c r="F152" s="1"/>
  <c r="F207" s="1"/>
  <c r="F133"/>
  <c r="F153" s="1"/>
  <c r="F208" s="1"/>
  <c r="F151"/>
  <c r="G99" i="2650"/>
  <c r="G100"/>
  <c r="G101"/>
  <c r="H223"/>
  <c r="I219" s="1"/>
  <c r="I220" s="1"/>
  <c r="G141" i="2649"/>
  <c r="F151"/>
  <c r="F124"/>
  <c r="F152" s="1"/>
  <c r="F207" s="1"/>
  <c r="F133"/>
  <c r="F153" s="1"/>
  <c r="F208" s="1"/>
  <c r="G134"/>
  <c r="G125"/>
  <c r="G126"/>
  <c r="G135"/>
  <c r="G136"/>
  <c r="G131" i="2650"/>
  <c r="G140"/>
  <c r="F151"/>
  <c r="F124"/>
  <c r="F152" s="1"/>
  <c r="F207" s="1"/>
  <c r="F133"/>
  <c r="F153" s="1"/>
  <c r="F208" s="1"/>
  <c r="G134"/>
  <c r="G125"/>
  <c r="G100" i="2648"/>
  <c r="G99"/>
  <c r="H223" i="2651"/>
  <c r="I219" s="1"/>
  <c r="I220" s="1"/>
  <c r="J299" i="2648"/>
  <c r="K298"/>
  <c r="J299" i="2650"/>
  <c r="K298"/>
  <c r="K57" i="2652"/>
  <c r="K57" i="2650"/>
  <c r="K57" i="2651"/>
  <c r="K57" i="2649"/>
  <c r="K78" s="1"/>
  <c r="K298" s="1"/>
  <c r="K57" i="2648"/>
  <c r="I159"/>
  <c r="H197"/>
  <c r="H244"/>
  <c r="H98"/>
  <c r="H222"/>
  <c r="H223" s="1"/>
  <c r="I219" s="1"/>
  <c r="H201"/>
  <c r="I93"/>
  <c r="I92" i="2649"/>
  <c r="I92" i="2650"/>
  <c r="I93" s="1"/>
  <c r="I85"/>
  <c r="I86" s="1"/>
  <c r="I84"/>
  <c r="M178" i="2652"/>
  <c r="M187" s="1"/>
  <c r="H177" i="2649"/>
  <c r="H195"/>
  <c r="G128" i="2648"/>
  <c r="G137"/>
  <c r="F202"/>
  <c r="F210" s="1"/>
  <c r="F227" s="1"/>
  <c r="G129" i="2651"/>
  <c r="G138"/>
  <c r="G147" s="1"/>
  <c r="H111" s="1"/>
  <c r="F202"/>
  <c r="F210" s="1"/>
  <c r="F227" s="1"/>
  <c r="F232" s="1"/>
  <c r="F234" s="1"/>
  <c r="G231" s="1"/>
  <c r="F203"/>
  <c r="G200" s="1"/>
  <c r="G134" i="2652"/>
  <c r="G125"/>
  <c r="G126"/>
  <c r="H220" i="2649"/>
  <c r="H272" s="1"/>
  <c r="M178" i="2650"/>
  <c r="M187" s="1"/>
  <c r="L178" i="2648"/>
  <c r="L187" s="1"/>
  <c r="M160" s="1"/>
  <c r="G128" i="2649"/>
  <c r="G137"/>
  <c r="G131"/>
  <c r="G140"/>
  <c r="G149" s="1"/>
  <c r="H113" s="1"/>
  <c r="G137" i="2650"/>
  <c r="G128"/>
  <c r="G146" s="1"/>
  <c r="H110" s="1"/>
  <c r="N47" i="2452"/>
  <c r="T60" s="1"/>
  <c r="N50"/>
  <c r="O50"/>
  <c r="U62" s="1"/>
  <c r="K19" i="5" s="1"/>
  <c r="O51" i="2452"/>
  <c r="N46"/>
  <c r="O55"/>
  <c r="P54"/>
  <c r="V64" s="1"/>
  <c r="L21" i="5" s="1"/>
  <c r="N43" i="2452"/>
  <c r="S60" s="1"/>
  <c r="I17" i="5" s="1"/>
  <c r="O52" i="2452"/>
  <c r="N44"/>
  <c r="O53"/>
  <c r="V61" s="1"/>
  <c r="L18" i="5" s="1"/>
  <c r="P55" i="2452"/>
  <c r="N45"/>
  <c r="T59" s="1"/>
  <c r="J16" i="5" s="1"/>
  <c r="O54" i="2452"/>
  <c r="V62" s="1"/>
  <c r="L19" i="5" s="1"/>
  <c r="P53" i="2452"/>
  <c r="V63" s="1"/>
  <c r="L20" i="5" s="1"/>
  <c r="K52" i="2452"/>
  <c r="L52" s="1"/>
  <c r="N52" s="1"/>
  <c r="U59"/>
  <c r="K53"/>
  <c r="K51"/>
  <c r="L51" s="1"/>
  <c r="N51" s="1"/>
  <c r="K54"/>
  <c r="L54" s="1"/>
  <c r="N54" s="1"/>
  <c r="G101" i="2648" l="1"/>
  <c r="H97" s="1"/>
  <c r="G149" i="2651"/>
  <c r="H113" s="1"/>
  <c r="F203" i="2652"/>
  <c r="G200" s="1"/>
  <c r="G202" s="1"/>
  <c r="G210" s="1"/>
  <c r="G227" s="1"/>
  <c r="G232" s="1"/>
  <c r="G234" s="1"/>
  <c r="H231" s="1"/>
  <c r="G147" i="2648"/>
  <c r="H111" s="1"/>
  <c r="G147" i="2652"/>
  <c r="H111" s="1"/>
  <c r="H129" s="1"/>
  <c r="G146" i="2649"/>
  <c r="H110" s="1"/>
  <c r="G143" i="2650"/>
  <c r="H107" s="1"/>
  <c r="H134" s="1"/>
  <c r="G143" i="2649"/>
  <c r="H107" s="1"/>
  <c r="G101" i="2651"/>
  <c r="H97" s="1"/>
  <c r="H100" s="1"/>
  <c r="G145"/>
  <c r="H109" s="1"/>
  <c r="G145" i="2649"/>
  <c r="H109" s="1"/>
  <c r="H127" s="1"/>
  <c r="G150"/>
  <c r="H114" s="1"/>
  <c r="G144" i="2651"/>
  <c r="H108" s="1"/>
  <c r="H135" s="1"/>
  <c r="G149" i="2648"/>
  <c r="H113" s="1"/>
  <c r="G143" i="2652"/>
  <c r="H107" s="1"/>
  <c r="H125" s="1"/>
  <c r="G146" i="2648"/>
  <c r="H110" s="1"/>
  <c r="H128" s="1"/>
  <c r="G149" i="2650"/>
  <c r="H113" s="1"/>
  <c r="H140" s="1"/>
  <c r="G150" i="2651"/>
  <c r="H114" s="1"/>
  <c r="H141" s="1"/>
  <c r="G145" i="2650"/>
  <c r="H109" s="1"/>
  <c r="H127" s="1"/>
  <c r="G144" i="2649"/>
  <c r="H108" s="1"/>
  <c r="H126" s="1"/>
  <c r="F142" i="2652"/>
  <c r="G106" s="1"/>
  <c r="F203" i="2650"/>
  <c r="G200" s="1"/>
  <c r="G202" s="1"/>
  <c r="F203" i="2649"/>
  <c r="G200" s="1"/>
  <c r="G146" i="2651"/>
  <c r="H110" s="1"/>
  <c r="H128" s="1"/>
  <c r="G150" i="2648"/>
  <c r="H114" s="1"/>
  <c r="H141" s="1"/>
  <c r="G143" i="2651"/>
  <c r="H107" s="1"/>
  <c r="H125" s="1"/>
  <c r="M178" i="2648"/>
  <c r="M187" s="1"/>
  <c r="I222" i="2650"/>
  <c r="I223" s="1"/>
  <c r="J219" s="1"/>
  <c r="J220" s="1"/>
  <c r="I98"/>
  <c r="I244"/>
  <c r="I201"/>
  <c r="I220" i="2648"/>
  <c r="I272" s="1"/>
  <c r="H131" i="2649"/>
  <c r="H140"/>
  <c r="H134" i="2652"/>
  <c r="H137" i="2648"/>
  <c r="I248" i="2650"/>
  <c r="I270" s="1"/>
  <c r="H131"/>
  <c r="I222" i="2652"/>
  <c r="I98"/>
  <c r="I244"/>
  <c r="I201"/>
  <c r="I248"/>
  <c r="I270" s="1"/>
  <c r="I222" i="2651"/>
  <c r="I98"/>
  <c r="I244"/>
  <c r="I201"/>
  <c r="I248" i="2648"/>
  <c r="I270" s="1"/>
  <c r="H99" i="2651"/>
  <c r="H132"/>
  <c r="K299" i="2649"/>
  <c r="H132"/>
  <c r="H141"/>
  <c r="I248" i="2651"/>
  <c r="I270" s="1"/>
  <c r="H132" i="2648"/>
  <c r="M58" i="2652"/>
  <c r="M78" s="1"/>
  <c r="M58" i="2650"/>
  <c r="M78" s="1"/>
  <c r="M58" i="2651"/>
  <c r="M78" s="1"/>
  <c r="M58" i="2649"/>
  <c r="M58" i="2648"/>
  <c r="M78" s="1"/>
  <c r="J56" i="2651"/>
  <c r="J56" i="2650"/>
  <c r="J56" i="2649"/>
  <c r="J85" s="1"/>
  <c r="J56" i="2648"/>
  <c r="J56" i="2652"/>
  <c r="H137" i="2650"/>
  <c r="H128"/>
  <c r="H129" i="2651"/>
  <c r="H138"/>
  <c r="M59" i="2652"/>
  <c r="M59" i="2650"/>
  <c r="M59" i="2651"/>
  <c r="M59" i="2649"/>
  <c r="M59" i="2648"/>
  <c r="K55" i="2652"/>
  <c r="K55" i="2650"/>
  <c r="K55" i="2651"/>
  <c r="K55" i="2649"/>
  <c r="K55" i="2648"/>
  <c r="M60" i="2651"/>
  <c r="M322" s="1"/>
  <c r="M60" i="2649"/>
  <c r="M322" s="1"/>
  <c r="M60" i="2652"/>
  <c r="M322" s="1"/>
  <c r="M60" i="2650"/>
  <c r="M322" s="1"/>
  <c r="M60" i="2648"/>
  <c r="M322" s="1"/>
  <c r="L58" i="2652"/>
  <c r="L78" s="1"/>
  <c r="L58" i="2651"/>
  <c r="L78" s="1"/>
  <c r="L298" s="1"/>
  <c r="L58" i="2649"/>
  <c r="L78" s="1"/>
  <c r="L298" s="1"/>
  <c r="L58" i="2648"/>
  <c r="L78" s="1"/>
  <c r="L298" s="1"/>
  <c r="L58" i="2650"/>
  <c r="L78" s="1"/>
  <c r="G144" i="2652"/>
  <c r="H108" s="1"/>
  <c r="F203" i="2648"/>
  <c r="G200" s="1"/>
  <c r="H186" i="2649"/>
  <c r="H196"/>
  <c r="I223" i="2651"/>
  <c r="J219" s="1"/>
  <c r="J220" s="1"/>
  <c r="F142" i="2650"/>
  <c r="F142" i="2649"/>
  <c r="F142" i="2651"/>
  <c r="G148" i="2648"/>
  <c r="H112" s="1"/>
  <c r="G126" i="2650"/>
  <c r="G135"/>
  <c r="G137" i="2652"/>
  <c r="G128"/>
  <c r="G127" i="2648"/>
  <c r="G136"/>
  <c r="K299" i="2651"/>
  <c r="K299" i="2652"/>
  <c r="L298"/>
  <c r="G130" i="2650"/>
  <c r="G139"/>
  <c r="L324" i="2651"/>
  <c r="K330"/>
  <c r="F142" i="2648"/>
  <c r="J85" i="2650"/>
  <c r="J86" s="1"/>
  <c r="J92"/>
  <c r="J93" s="1"/>
  <c r="J84"/>
  <c r="J92" i="2652"/>
  <c r="J93" s="1"/>
  <c r="J85"/>
  <c r="J86" s="1"/>
  <c r="J84"/>
  <c r="L322" i="2649"/>
  <c r="G148" i="2652"/>
  <c r="H112" s="1"/>
  <c r="G148" i="2651"/>
  <c r="H112" s="1"/>
  <c r="G150" i="2650"/>
  <c r="H114" s="1"/>
  <c r="G150" i="2652"/>
  <c r="H114" s="1"/>
  <c r="I85" i="2649"/>
  <c r="I84"/>
  <c r="M57" i="2652"/>
  <c r="M57" i="2650"/>
  <c r="M57" i="2651"/>
  <c r="M57" i="2649"/>
  <c r="M57" i="2648"/>
  <c r="H128" i="2649"/>
  <c r="H137"/>
  <c r="G202" i="2651"/>
  <c r="G210" s="1"/>
  <c r="G227" s="1"/>
  <c r="G232" s="1"/>
  <c r="G234" s="1"/>
  <c r="H231" s="1"/>
  <c r="I244" i="2648"/>
  <c r="I222"/>
  <c r="I223" s="1"/>
  <c r="J219" s="1"/>
  <c r="I201"/>
  <c r="I98"/>
  <c r="I177"/>
  <c r="I196" s="1"/>
  <c r="I195"/>
  <c r="K299" i="2650"/>
  <c r="L298"/>
  <c r="K299" i="2648"/>
  <c r="I220" i="2652"/>
  <c r="I223" s="1"/>
  <c r="J219" s="1"/>
  <c r="J220" s="1"/>
  <c r="H125" i="2650"/>
  <c r="H136" i="2649"/>
  <c r="H134"/>
  <c r="H125"/>
  <c r="H97" i="2650"/>
  <c r="F154" i="2652"/>
  <c r="F209" s="1"/>
  <c r="F211" s="1"/>
  <c r="H140" i="2651"/>
  <c r="H131"/>
  <c r="I177"/>
  <c r="I196" s="1"/>
  <c r="I195"/>
  <c r="L324" i="2652"/>
  <c r="K330"/>
  <c r="M178" i="2649"/>
  <c r="M187" s="1"/>
  <c r="G129" i="2650"/>
  <c r="G138"/>
  <c r="G202" i="2649"/>
  <c r="G210" s="1"/>
  <c r="G227" s="1"/>
  <c r="G138"/>
  <c r="G129"/>
  <c r="I159" i="2650"/>
  <c r="H197"/>
  <c r="L324"/>
  <c r="K330"/>
  <c r="G127" i="2652"/>
  <c r="G136"/>
  <c r="G135" i="2648"/>
  <c r="G126"/>
  <c r="L324"/>
  <c r="K330"/>
  <c r="H248" i="2649"/>
  <c r="H270" s="1"/>
  <c r="I86"/>
  <c r="I159" i="2652"/>
  <c r="H197"/>
  <c r="H244" i="2649"/>
  <c r="H222"/>
  <c r="H223" s="1"/>
  <c r="I219" s="1"/>
  <c r="I93"/>
  <c r="H201"/>
  <c r="H98"/>
  <c r="K324"/>
  <c r="J330"/>
  <c r="H99" i="2652"/>
  <c r="H100"/>
  <c r="J92" i="2648"/>
  <c r="J93" s="1"/>
  <c r="J85"/>
  <c r="J86" s="1"/>
  <c r="J84"/>
  <c r="J92" i="2651"/>
  <c r="J93" s="1"/>
  <c r="J85"/>
  <c r="J86" s="1"/>
  <c r="J84"/>
  <c r="H131" i="2652"/>
  <c r="H140"/>
  <c r="H126" i="2651"/>
  <c r="H131" i="2648"/>
  <c r="H140"/>
  <c r="H136" i="2650"/>
  <c r="H130" i="2649"/>
  <c r="H139"/>
  <c r="H136" i="2651"/>
  <c r="H127"/>
  <c r="H129" i="2648"/>
  <c r="H138"/>
  <c r="H134"/>
  <c r="H125"/>
  <c r="H138" i="2652"/>
  <c r="L53" i="2452"/>
  <c r="N53" s="1"/>
  <c r="V59" s="1"/>
  <c r="L16" i="5" s="1"/>
  <c r="J17"/>
  <c r="K16"/>
  <c r="U60" i="2452"/>
  <c r="K55"/>
  <c r="H145" i="2649" l="1"/>
  <c r="I109" s="1"/>
  <c r="H101" i="2652"/>
  <c r="H145" i="2650"/>
  <c r="I109" s="1"/>
  <c r="I186" i="2648"/>
  <c r="I197" s="1"/>
  <c r="G203" i="2651"/>
  <c r="H200" s="1"/>
  <c r="H146" i="2649"/>
  <c r="I110" s="1"/>
  <c r="I137" s="1"/>
  <c r="H143" i="2652"/>
  <c r="I107" s="1"/>
  <c r="H147" i="2648"/>
  <c r="I111" s="1"/>
  <c r="I138" s="1"/>
  <c r="H145" i="2651"/>
  <c r="I109" s="1"/>
  <c r="H148" i="2649"/>
  <c r="I112" s="1"/>
  <c r="I139" s="1"/>
  <c r="H143"/>
  <c r="I107" s="1"/>
  <c r="G203" i="2652"/>
  <c r="H200" s="1"/>
  <c r="G147" i="2649"/>
  <c r="H111" s="1"/>
  <c r="G148" i="2650"/>
  <c r="H112" s="1"/>
  <c r="H139" s="1"/>
  <c r="H147" i="2651"/>
  <c r="I111" s="1"/>
  <c r="H146" i="2650"/>
  <c r="I110" s="1"/>
  <c r="I128" s="1"/>
  <c r="H134" i="2651"/>
  <c r="H150"/>
  <c r="I114" s="1"/>
  <c r="I141" s="1"/>
  <c r="H144"/>
  <c r="I108" s="1"/>
  <c r="G144" i="2648"/>
  <c r="H108" s="1"/>
  <c r="H135" s="1"/>
  <c r="G145" i="2652"/>
  <c r="H109" s="1"/>
  <c r="G147" i="2650"/>
  <c r="H111" s="1"/>
  <c r="H138" s="1"/>
  <c r="H149" i="2651"/>
  <c r="I113" s="1"/>
  <c r="H143" i="2650"/>
  <c r="I107" s="1"/>
  <c r="I134" s="1"/>
  <c r="G145" i="2648"/>
  <c r="H109" s="1"/>
  <c r="G146" i="2652"/>
  <c r="H110" s="1"/>
  <c r="H137" s="1"/>
  <c r="H137" i="2651"/>
  <c r="H149" i="2649"/>
  <c r="I113" s="1"/>
  <c r="I131" s="1"/>
  <c r="H135"/>
  <c r="H144" s="1"/>
  <c r="I108" s="1"/>
  <c r="H146" i="2648"/>
  <c r="I110" s="1"/>
  <c r="I128" s="1"/>
  <c r="H143" i="2651"/>
  <c r="I107" s="1"/>
  <c r="G210" i="2650"/>
  <c r="G227" s="1"/>
  <c r="G232" s="1"/>
  <c r="G234" s="1"/>
  <c r="H231" s="1"/>
  <c r="G203"/>
  <c r="H200" s="1"/>
  <c r="H202" s="1"/>
  <c r="H149" i="2648"/>
  <c r="I113" s="1"/>
  <c r="I131" s="1"/>
  <c r="H149" i="2652"/>
  <c r="I113" s="1"/>
  <c r="H150" i="2648"/>
  <c r="I114" s="1"/>
  <c r="I132" s="1"/>
  <c r="H146" i="2651"/>
  <c r="I110" s="1"/>
  <c r="H150" i="2649"/>
  <c r="I114" s="1"/>
  <c r="I141" s="1"/>
  <c r="H101" i="2651"/>
  <c r="H149" i="2650"/>
  <c r="I113" s="1"/>
  <c r="I140" s="1"/>
  <c r="J248" i="2651"/>
  <c r="J270" s="1"/>
  <c r="I136"/>
  <c r="I127"/>
  <c r="J222"/>
  <c r="J223" s="1"/>
  <c r="K219" s="1"/>
  <c r="K220" s="1"/>
  <c r="J98"/>
  <c r="J244"/>
  <c r="J201"/>
  <c r="J248" i="2648"/>
  <c r="J270" s="1"/>
  <c r="I220" i="2649"/>
  <c r="I272" s="1"/>
  <c r="H126" i="2648"/>
  <c r="H129" i="2650"/>
  <c r="I140" i="2651"/>
  <c r="I131"/>
  <c r="I125" i="2649"/>
  <c r="I134"/>
  <c r="J220" i="2648"/>
  <c r="J272" s="1"/>
  <c r="I128" i="2649"/>
  <c r="J244" i="2652"/>
  <c r="J201"/>
  <c r="J222"/>
  <c r="J98"/>
  <c r="J248" i="2650"/>
  <c r="J270" s="1"/>
  <c r="H128" i="2652"/>
  <c r="I137" i="2650"/>
  <c r="I137" i="2648"/>
  <c r="J222"/>
  <c r="J223" s="1"/>
  <c r="K219" s="1"/>
  <c r="J201"/>
  <c r="J244"/>
  <c r="J98"/>
  <c r="J248" i="2652"/>
  <c r="J270" s="1"/>
  <c r="J244" i="2650"/>
  <c r="J201"/>
  <c r="J222"/>
  <c r="J98"/>
  <c r="L299" i="2649"/>
  <c r="I141" i="2648"/>
  <c r="I97" i="2651"/>
  <c r="I127" i="2650"/>
  <c r="I136"/>
  <c r="I126" i="2651"/>
  <c r="I135"/>
  <c r="H99" i="2649"/>
  <c r="H101" s="1"/>
  <c r="I97" s="1"/>
  <c r="I244"/>
  <c r="I98"/>
  <c r="I222"/>
  <c r="I223" s="1"/>
  <c r="J219" s="1"/>
  <c r="I201"/>
  <c r="I177" i="2652"/>
  <c r="I195"/>
  <c r="H136"/>
  <c r="H127"/>
  <c r="L55" i="2651"/>
  <c r="L55" i="2652"/>
  <c r="L55" i="2650"/>
  <c r="L55" i="2649"/>
  <c r="L55" i="2648"/>
  <c r="M55" i="2652"/>
  <c r="M55" i="2650"/>
  <c r="M55" i="2651"/>
  <c r="M55" i="2649"/>
  <c r="M55" i="2648"/>
  <c r="H147" i="2652"/>
  <c r="I111" s="1"/>
  <c r="H143" i="2648"/>
  <c r="I107" s="1"/>
  <c r="L324" i="2649"/>
  <c r="K330"/>
  <c r="I248"/>
  <c r="I270" s="1"/>
  <c r="J86"/>
  <c r="M324" i="2650"/>
  <c r="M330" s="1"/>
  <c r="M331" s="1"/>
  <c r="M332" s="1"/>
  <c r="L330"/>
  <c r="I177"/>
  <c r="I196" s="1"/>
  <c r="I195"/>
  <c r="G203" i="2649"/>
  <c r="H200" s="1"/>
  <c r="M324" i="2652"/>
  <c r="M330" s="1"/>
  <c r="M331" s="1"/>
  <c r="M332" s="1"/>
  <c r="L330"/>
  <c r="I186" i="2651"/>
  <c r="G124" i="2652"/>
  <c r="G133"/>
  <c r="G153" s="1"/>
  <c r="G208" s="1"/>
  <c r="G228" s="1"/>
  <c r="G151"/>
  <c r="G206" s="1"/>
  <c r="G214" s="1"/>
  <c r="G215" s="1"/>
  <c r="H99" i="2650"/>
  <c r="H100"/>
  <c r="J223"/>
  <c r="K219" s="1"/>
  <c r="K220" s="1"/>
  <c r="L299" i="2648"/>
  <c r="M298"/>
  <c r="M299" s="1"/>
  <c r="L299" i="2650"/>
  <c r="M298"/>
  <c r="M299" s="1"/>
  <c r="H141"/>
  <c r="H132"/>
  <c r="H150" s="1"/>
  <c r="I114" s="1"/>
  <c r="H130" i="2651"/>
  <c r="H139"/>
  <c r="H148" s="1"/>
  <c r="I112" s="1"/>
  <c r="G106" i="2648"/>
  <c r="F154"/>
  <c r="F209" s="1"/>
  <c r="F211" s="1"/>
  <c r="M324" i="2651"/>
  <c r="M330" s="1"/>
  <c r="M331" s="1"/>
  <c r="M332" s="1"/>
  <c r="L330"/>
  <c r="G144" i="2650"/>
  <c r="H108" s="1"/>
  <c r="G202" i="2648"/>
  <c r="G210" s="1"/>
  <c r="G227" s="1"/>
  <c r="K92" i="2650"/>
  <c r="K93" s="1"/>
  <c r="K85"/>
  <c r="K86" s="1"/>
  <c r="K84"/>
  <c r="K56" i="2652"/>
  <c r="K56" i="2650"/>
  <c r="K56" i="2651"/>
  <c r="K56" i="2649"/>
  <c r="K56" i="2648"/>
  <c r="I129"/>
  <c r="I130" i="2649"/>
  <c r="I140" i="2652"/>
  <c r="I131"/>
  <c r="I97"/>
  <c r="M324" i="2648"/>
  <c r="M330" s="1"/>
  <c r="M331" s="1"/>
  <c r="M332" s="1"/>
  <c r="L330"/>
  <c r="H202" i="2652"/>
  <c r="H210" s="1"/>
  <c r="H227" s="1"/>
  <c r="H232" s="1"/>
  <c r="H234" s="1"/>
  <c r="H129" i="2649"/>
  <c r="H138"/>
  <c r="H147" s="1"/>
  <c r="I111" s="1"/>
  <c r="I127"/>
  <c r="I136"/>
  <c r="I125" i="2650"/>
  <c r="H100" i="2648"/>
  <c r="H99"/>
  <c r="J223" i="2652"/>
  <c r="K219" s="1"/>
  <c r="J159" i="2648"/>
  <c r="H202" i="2651"/>
  <c r="H210" s="1"/>
  <c r="H227" s="1"/>
  <c r="H232" s="1"/>
  <c r="H234" s="1"/>
  <c r="H132" i="2652"/>
  <c r="H141"/>
  <c r="H130"/>
  <c r="H139"/>
  <c r="H130" i="2650"/>
  <c r="L299" i="2652"/>
  <c r="M298"/>
  <c r="M299" s="1"/>
  <c r="L299" i="2651"/>
  <c r="M298"/>
  <c r="M299" s="1"/>
  <c r="H136" i="2648"/>
  <c r="H127"/>
  <c r="H130"/>
  <c r="H139"/>
  <c r="G106" i="2651"/>
  <c r="F154"/>
  <c r="F209" s="1"/>
  <c r="F211" s="1"/>
  <c r="G106" i="2649"/>
  <c r="F154"/>
  <c r="F209" s="1"/>
  <c r="F211" s="1"/>
  <c r="G106" i="2650"/>
  <c r="F154"/>
  <c r="F209" s="1"/>
  <c r="F211" s="1"/>
  <c r="I159" i="2649"/>
  <c r="H197"/>
  <c r="H126" i="2652"/>
  <c r="H135"/>
  <c r="K85" i="2648"/>
  <c r="K86" s="1"/>
  <c r="K84"/>
  <c r="K92"/>
  <c r="K93" s="1"/>
  <c r="K85" i="2651"/>
  <c r="K86" s="1"/>
  <c r="K84"/>
  <c r="K92"/>
  <c r="K93" s="1"/>
  <c r="K85" i="2652"/>
  <c r="K86" s="1"/>
  <c r="K92"/>
  <c r="K93" s="1"/>
  <c r="K84"/>
  <c r="I129" i="2651"/>
  <c r="I138"/>
  <c r="J84" i="2649"/>
  <c r="J92"/>
  <c r="J93" s="1"/>
  <c r="M78"/>
  <c r="M298" s="1"/>
  <c r="M299" s="1"/>
  <c r="I134" i="2651"/>
  <c r="I125"/>
  <c r="I137"/>
  <c r="I128"/>
  <c r="I132"/>
  <c r="I134" i="2652"/>
  <c r="I125"/>
  <c r="I140" i="2649"/>
  <c r="L55" i="2452"/>
  <c r="N55" s="1"/>
  <c r="V60" s="1"/>
  <c r="L17" i="5" s="1"/>
  <c r="K17"/>
  <c r="I131" i="2650" l="1"/>
  <c r="I149" s="1"/>
  <c r="J113" s="1"/>
  <c r="I132" i="2649"/>
  <c r="I148"/>
  <c r="J112" s="1"/>
  <c r="J139" s="1"/>
  <c r="D300" i="2650"/>
  <c r="D300" i="2648"/>
  <c r="I144" i="2651"/>
  <c r="J108" s="1"/>
  <c r="J135" s="1"/>
  <c r="I146" i="2649"/>
  <c r="J110" s="1"/>
  <c r="J137" s="1"/>
  <c r="H148" i="2648"/>
  <c r="I112" s="1"/>
  <c r="I139" s="1"/>
  <c r="H148" i="2652"/>
  <c r="I112" s="1"/>
  <c r="I130" s="1"/>
  <c r="H203" i="2651"/>
  <c r="I200" s="1"/>
  <c r="I143" i="2649"/>
  <c r="J107" s="1"/>
  <c r="J134" s="1"/>
  <c r="H147" i="2650"/>
  <c r="I111" s="1"/>
  <c r="I129" s="1"/>
  <c r="H144" i="2648"/>
  <c r="I108" s="1"/>
  <c r="I126" s="1"/>
  <c r="I145" i="2651"/>
  <c r="J109" s="1"/>
  <c r="J136" s="1"/>
  <c r="I135" i="2649"/>
  <c r="I144" s="1"/>
  <c r="J108" s="1"/>
  <c r="I126"/>
  <c r="I149"/>
  <c r="J113" s="1"/>
  <c r="J131" s="1"/>
  <c r="J149" s="1"/>
  <c r="K113" s="1"/>
  <c r="I146" i="2651"/>
  <c r="J110" s="1"/>
  <c r="J128" s="1"/>
  <c r="I143" i="2650"/>
  <c r="I145" i="2649"/>
  <c r="J109" s="1"/>
  <c r="J127" s="1"/>
  <c r="I140" i="2648"/>
  <c r="I150"/>
  <c r="J114" s="1"/>
  <c r="J132" s="1"/>
  <c r="H210" i="2650"/>
  <c r="H227" s="1"/>
  <c r="H232" s="1"/>
  <c r="H234" s="1"/>
  <c r="I231" s="1"/>
  <c r="H203"/>
  <c r="I200" s="1"/>
  <c r="I202" s="1"/>
  <c r="I150" i="2649"/>
  <c r="J114" s="1"/>
  <c r="J132" s="1"/>
  <c r="I150" i="2651"/>
  <c r="J114" s="1"/>
  <c r="J141" s="1"/>
  <c r="I147"/>
  <c r="J111" s="1"/>
  <c r="J129" s="1"/>
  <c r="H144" i="2652"/>
  <c r="I108" s="1"/>
  <c r="I135" s="1"/>
  <c r="D300" i="2651"/>
  <c r="D300" i="2652"/>
  <c r="I149"/>
  <c r="J113" s="1"/>
  <c r="J140" s="1"/>
  <c r="H101" i="2650"/>
  <c r="I97" s="1"/>
  <c r="I186"/>
  <c r="I197" s="1"/>
  <c r="H145" i="2652"/>
  <c r="I109" s="1"/>
  <c r="I127" s="1"/>
  <c r="I145" i="2650"/>
  <c r="J109" s="1"/>
  <c r="J127" s="1"/>
  <c r="I146" i="2648"/>
  <c r="J110" s="1"/>
  <c r="J137" s="1"/>
  <c r="I146" i="2650"/>
  <c r="J110" s="1"/>
  <c r="J128" s="1"/>
  <c r="H146" i="2652"/>
  <c r="I110" s="1"/>
  <c r="I128" s="1"/>
  <c r="I149" i="2651"/>
  <c r="J113" s="1"/>
  <c r="J140" s="1"/>
  <c r="I149" i="2648"/>
  <c r="J113" s="1"/>
  <c r="J131" s="1"/>
  <c r="J138" i="2651"/>
  <c r="K248" i="2648"/>
  <c r="K270" s="1"/>
  <c r="J131" i="2652"/>
  <c r="J137" i="2651"/>
  <c r="K222" i="2652"/>
  <c r="K98"/>
  <c r="K244"/>
  <c r="K201"/>
  <c r="K244" i="2651"/>
  <c r="K201"/>
  <c r="K222"/>
  <c r="K223" s="1"/>
  <c r="L219" s="1"/>
  <c r="L220" s="1"/>
  <c r="K98"/>
  <c r="K248"/>
  <c r="K270" s="1"/>
  <c r="I139" i="2652"/>
  <c r="J136" i="2649"/>
  <c r="K248" i="2650"/>
  <c r="K270" s="1"/>
  <c r="J220" i="2649"/>
  <c r="J272" s="1"/>
  <c r="J141"/>
  <c r="K220" i="2648"/>
  <c r="K272" s="1"/>
  <c r="I135"/>
  <c r="J127" i="2651"/>
  <c r="J201" i="2649"/>
  <c r="J98"/>
  <c r="J244"/>
  <c r="J222"/>
  <c r="K248" i="2652"/>
  <c r="K270" s="1"/>
  <c r="K244" i="2648"/>
  <c r="K222"/>
  <c r="K201"/>
  <c r="K98"/>
  <c r="K222" i="2650"/>
  <c r="K98"/>
  <c r="K244"/>
  <c r="K201"/>
  <c r="J136"/>
  <c r="J128" i="2648"/>
  <c r="J137" i="2650"/>
  <c r="I137" i="2652"/>
  <c r="J131" i="2651"/>
  <c r="M56" i="2652"/>
  <c r="M56" i="2650"/>
  <c r="M56" i="2651"/>
  <c r="M56" i="2649"/>
  <c r="M92" s="1"/>
  <c r="M56" i="2648"/>
  <c r="I202" i="2651"/>
  <c r="I210" s="1"/>
  <c r="I227" s="1"/>
  <c r="I232" s="1"/>
  <c r="L56" i="2652"/>
  <c r="L56" i="2651"/>
  <c r="L56" i="2649"/>
  <c r="L56" i="2648"/>
  <c r="L56" i="2650"/>
  <c r="I143" i="2652"/>
  <c r="J107" s="1"/>
  <c r="I143" i="2651"/>
  <c r="J107" s="1"/>
  <c r="G133" i="2650"/>
  <c r="G153" s="1"/>
  <c r="G208" s="1"/>
  <c r="G228" s="1"/>
  <c r="G124"/>
  <c r="G151"/>
  <c r="G206" s="1"/>
  <c r="G214" s="1"/>
  <c r="G215" s="1"/>
  <c r="G133" i="2649"/>
  <c r="G153" s="1"/>
  <c r="G208" s="1"/>
  <c r="G228" s="1"/>
  <c r="G124"/>
  <c r="G151"/>
  <c r="G206" s="1"/>
  <c r="G214" s="1"/>
  <c r="G215" s="1"/>
  <c r="G133" i="2651"/>
  <c r="G153" s="1"/>
  <c r="G208" s="1"/>
  <c r="G228" s="1"/>
  <c r="G124"/>
  <c r="G152" s="1"/>
  <c r="G207" s="1"/>
  <c r="G151"/>
  <c r="G206" s="1"/>
  <c r="G214" s="1"/>
  <c r="G215" s="1"/>
  <c r="H145" i="2648"/>
  <c r="I109" s="1"/>
  <c r="H148" i="2650"/>
  <c r="I112" s="1"/>
  <c r="H150" i="2652"/>
  <c r="I114" s="1"/>
  <c r="I231" i="2651"/>
  <c r="I234" s="1"/>
  <c r="H266"/>
  <c r="J177" i="2648"/>
  <c r="J195"/>
  <c r="H101"/>
  <c r="H266" i="2650"/>
  <c r="H203" i="2652"/>
  <c r="I200" s="1"/>
  <c r="I99"/>
  <c r="I100"/>
  <c r="I147" i="2648"/>
  <c r="J111" s="1"/>
  <c r="G203"/>
  <c r="H200" s="1"/>
  <c r="H135" i="2650"/>
  <c r="H126"/>
  <c r="G133" i="2648"/>
  <c r="G153" s="1"/>
  <c r="G208" s="1"/>
  <c r="G228" s="1"/>
  <c r="G124"/>
  <c r="G152" s="1"/>
  <c r="G207" s="1"/>
  <c r="G151"/>
  <c r="G206" s="1"/>
  <c r="G214" s="1"/>
  <c r="G215" s="1"/>
  <c r="G142" i="2652"/>
  <c r="G152"/>
  <c r="G207" s="1"/>
  <c r="M324" i="2649"/>
  <c r="M330" s="1"/>
  <c r="L330"/>
  <c r="I129" i="2652"/>
  <c r="I138"/>
  <c r="I147" s="1"/>
  <c r="J111" s="1"/>
  <c r="M92" i="2650"/>
  <c r="M85"/>
  <c r="M84"/>
  <c r="L92" i="2648"/>
  <c r="L93" s="1"/>
  <c r="L85"/>
  <c r="L86" s="1"/>
  <c r="L84"/>
  <c r="L85" i="2650"/>
  <c r="L86" s="1"/>
  <c r="L84"/>
  <c r="L92"/>
  <c r="L93" s="1"/>
  <c r="L92" i="2651"/>
  <c r="L93" s="1"/>
  <c r="L85"/>
  <c r="L86" s="1"/>
  <c r="L84"/>
  <c r="J140" i="2649"/>
  <c r="J132" i="2651"/>
  <c r="I177" i="2649"/>
  <c r="I195"/>
  <c r="I130" i="2648"/>
  <c r="K220" i="2652"/>
  <c r="J107" i="2650"/>
  <c r="I129" i="2649"/>
  <c r="I138"/>
  <c r="I231" i="2652"/>
  <c r="H266"/>
  <c r="J130" i="2649"/>
  <c r="K85"/>
  <c r="K84"/>
  <c r="K92"/>
  <c r="K93" s="1"/>
  <c r="I139" i="2651"/>
  <c r="I130"/>
  <c r="I132" i="2650"/>
  <c r="I141"/>
  <c r="K223"/>
  <c r="L219" s="1"/>
  <c r="L220" s="1"/>
  <c r="J159" i="2651"/>
  <c r="I197"/>
  <c r="H202" i="2649"/>
  <c r="H210" s="1"/>
  <c r="H227" s="1"/>
  <c r="J159" i="2650"/>
  <c r="K86" i="2649"/>
  <c r="J248"/>
  <c r="J270" s="1"/>
  <c r="I125" i="2648"/>
  <c r="I134"/>
  <c r="M85"/>
  <c r="M92"/>
  <c r="M84"/>
  <c r="M85" i="2651"/>
  <c r="M92"/>
  <c r="M84"/>
  <c r="M85" i="2652"/>
  <c r="M84"/>
  <c r="M92"/>
  <c r="L85" i="2649"/>
  <c r="L92" i="2652"/>
  <c r="L93" s="1"/>
  <c r="L85"/>
  <c r="L86" s="1"/>
  <c r="L84"/>
  <c r="I186"/>
  <c r="I196"/>
  <c r="I99" i="2649"/>
  <c r="I100"/>
  <c r="J126" i="2651"/>
  <c r="I99"/>
  <c r="I100"/>
  <c r="J141" i="2648"/>
  <c r="D300" i="2649"/>
  <c r="J128"/>
  <c r="J125"/>
  <c r="I138" i="2650"/>
  <c r="C99" i="9"/>
  <c r="C100" s="1"/>
  <c r="C71"/>
  <c r="C72" s="1"/>
  <c r="C43"/>
  <c r="C44" s="1"/>
  <c r="C15"/>
  <c r="C16" s="1"/>
  <c r="J140" i="2650" l="1"/>
  <c r="J149" s="1"/>
  <c r="K113" s="1"/>
  <c r="J131"/>
  <c r="J140" i="2648"/>
  <c r="I101" i="2649"/>
  <c r="I126" i="2652"/>
  <c r="I136"/>
  <c r="J145" i="2649"/>
  <c r="K109" s="1"/>
  <c r="K127" s="1"/>
  <c r="I148" i="2648"/>
  <c r="J112" s="1"/>
  <c r="I101" i="2652"/>
  <c r="J97" s="1"/>
  <c r="J146" i="2649"/>
  <c r="K110" s="1"/>
  <c r="I143" i="2648"/>
  <c r="J107" s="1"/>
  <c r="J134" s="1"/>
  <c r="I144"/>
  <c r="J108" s="1"/>
  <c r="J126" s="1"/>
  <c r="I148" i="2652"/>
  <c r="J112" s="1"/>
  <c r="J147" i="2651"/>
  <c r="K111" s="1"/>
  <c r="K138" s="1"/>
  <c r="J150" i="2648"/>
  <c r="K114" s="1"/>
  <c r="J144" i="2651"/>
  <c r="K108" s="1"/>
  <c r="K126" s="1"/>
  <c r="I147" i="2649"/>
  <c r="J111" s="1"/>
  <c r="H144" i="2650"/>
  <c r="I108" s="1"/>
  <c r="I126" s="1"/>
  <c r="J149" i="2651"/>
  <c r="K113" s="1"/>
  <c r="J149" i="2648"/>
  <c r="K113" s="1"/>
  <c r="K140" s="1"/>
  <c r="I146" i="2652"/>
  <c r="J110" s="1"/>
  <c r="I145"/>
  <c r="J109" s="1"/>
  <c r="J136" s="1"/>
  <c r="J150" i="2651"/>
  <c r="K114" s="1"/>
  <c r="I210" i="2650"/>
  <c r="I227" s="1"/>
  <c r="I232" s="1"/>
  <c r="I234" s="1"/>
  <c r="J231" s="1"/>
  <c r="I203"/>
  <c r="J200" s="1"/>
  <c r="J202" s="1"/>
  <c r="J203" s="1"/>
  <c r="K200" s="1"/>
  <c r="I144" i="2652"/>
  <c r="J108" s="1"/>
  <c r="J126" s="1"/>
  <c r="J146" i="2648"/>
  <c r="K110" s="1"/>
  <c r="K128" s="1"/>
  <c r="I147" i="2650"/>
  <c r="J111" s="1"/>
  <c r="J129" s="1"/>
  <c r="I150"/>
  <c r="J114" s="1"/>
  <c r="J141" s="1"/>
  <c r="I148" i="2651"/>
  <c r="J112" s="1"/>
  <c r="J139" s="1"/>
  <c r="K223" i="2652"/>
  <c r="L219" s="1"/>
  <c r="L220" s="1"/>
  <c r="G142" i="2648"/>
  <c r="G154" s="1"/>
  <c r="G209" s="1"/>
  <c r="G211" s="1"/>
  <c r="J145" i="2650"/>
  <c r="K109" s="1"/>
  <c r="J145" i="2651"/>
  <c r="K109" s="1"/>
  <c r="K136" s="1"/>
  <c r="J146"/>
  <c r="K110" s="1"/>
  <c r="J149" i="2652"/>
  <c r="K113" s="1"/>
  <c r="K131" s="1"/>
  <c r="L222"/>
  <c r="L98"/>
  <c r="L244"/>
  <c r="L201"/>
  <c r="M93"/>
  <c r="J132" i="2650"/>
  <c r="K244" i="2649"/>
  <c r="K98"/>
  <c r="K222"/>
  <c r="K201"/>
  <c r="K132" i="2651"/>
  <c r="K141"/>
  <c r="L244" i="2648"/>
  <c r="L98"/>
  <c r="L222"/>
  <c r="L201"/>
  <c r="M93"/>
  <c r="K135" i="2651"/>
  <c r="L248" i="2652"/>
  <c r="L270" s="1"/>
  <c r="M86"/>
  <c r="M248" s="1"/>
  <c r="M270" s="1"/>
  <c r="J138" i="2649"/>
  <c r="J129"/>
  <c r="M86" i="2651"/>
  <c r="M248" s="1"/>
  <c r="M270" s="1"/>
  <c r="L248"/>
  <c r="L270" s="1"/>
  <c r="L222" i="2650"/>
  <c r="L98"/>
  <c r="L244"/>
  <c r="L201"/>
  <c r="M93"/>
  <c r="M86"/>
  <c r="M248" s="1"/>
  <c r="M270" s="1"/>
  <c r="L248"/>
  <c r="L270" s="1"/>
  <c r="M86" i="2648"/>
  <c r="M248" s="1"/>
  <c r="M270" s="1"/>
  <c r="L248"/>
  <c r="L270" s="1"/>
  <c r="J138" i="2652"/>
  <c r="J129"/>
  <c r="I135" i="2650"/>
  <c r="K137" i="2648"/>
  <c r="K129" i="2651"/>
  <c r="L222"/>
  <c r="L223" s="1"/>
  <c r="M219" s="1"/>
  <c r="M220" s="1"/>
  <c r="L98"/>
  <c r="L244"/>
  <c r="L201"/>
  <c r="M93"/>
  <c r="K127" i="2650"/>
  <c r="K136"/>
  <c r="K132" i="2648"/>
  <c r="K141"/>
  <c r="K248" i="2649"/>
  <c r="K270" s="1"/>
  <c r="L86"/>
  <c r="J177" i="2650"/>
  <c r="J196" s="1"/>
  <c r="J195"/>
  <c r="L223"/>
  <c r="M219" s="1"/>
  <c r="M220" s="1"/>
  <c r="J130" i="2648"/>
  <c r="J139"/>
  <c r="I186" i="2649"/>
  <c r="I196"/>
  <c r="J143"/>
  <c r="K107" s="1"/>
  <c r="I101" i="2651"/>
  <c r="H203" i="2649"/>
  <c r="I200" s="1"/>
  <c r="J148"/>
  <c r="K112" s="1"/>
  <c r="J125" i="2650"/>
  <c r="J134"/>
  <c r="H106" i="2652"/>
  <c r="G154"/>
  <c r="G209" s="1"/>
  <c r="G211" s="1"/>
  <c r="J138" i="2648"/>
  <c r="J129"/>
  <c r="I141" i="2652"/>
  <c r="I132"/>
  <c r="I127" i="2648"/>
  <c r="I136"/>
  <c r="I145" s="1"/>
  <c r="J109" s="1"/>
  <c r="G142" i="2651"/>
  <c r="G142" i="2649"/>
  <c r="G152"/>
  <c r="G207" s="1"/>
  <c r="L92"/>
  <c r="L93" s="1"/>
  <c r="L84"/>
  <c r="I203" i="2651"/>
  <c r="J200" s="1"/>
  <c r="J146" i="2650"/>
  <c r="K110" s="1"/>
  <c r="K223" i="2648"/>
  <c r="L219" s="1"/>
  <c r="J150" i="2649"/>
  <c r="K114" s="1"/>
  <c r="J223"/>
  <c r="K219" s="1"/>
  <c r="K128"/>
  <c r="K137"/>
  <c r="J97"/>
  <c r="J159" i="2652"/>
  <c r="I197"/>
  <c r="J125" i="2648"/>
  <c r="J177" i="2651"/>
  <c r="J196" s="1"/>
  <c r="J195"/>
  <c r="J135" i="2652"/>
  <c r="K140" i="2649"/>
  <c r="K131"/>
  <c r="J135"/>
  <c r="J126"/>
  <c r="H202" i="2648"/>
  <c r="H210" s="1"/>
  <c r="H227" s="1"/>
  <c r="I202" i="2652"/>
  <c r="I210" s="1"/>
  <c r="I227" s="1"/>
  <c r="I232" s="1"/>
  <c r="I234" s="1"/>
  <c r="I97" i="2648"/>
  <c r="J186"/>
  <c r="J196"/>
  <c r="J231" i="2651"/>
  <c r="I266"/>
  <c r="I139" i="2650"/>
  <c r="I130"/>
  <c r="G142"/>
  <c r="G152"/>
  <c r="G207" s="1"/>
  <c r="J134" i="2651"/>
  <c r="J125"/>
  <c r="J134" i="2652"/>
  <c r="J125"/>
  <c r="M85" i="2649"/>
  <c r="M84"/>
  <c r="K131" i="2651"/>
  <c r="K140"/>
  <c r="J137" i="2652"/>
  <c r="J128"/>
  <c r="J127"/>
  <c r="I100" i="2650"/>
  <c r="I99"/>
  <c r="K136" i="2649"/>
  <c r="J139" i="2652"/>
  <c r="J130"/>
  <c r="K128" i="2651"/>
  <c r="K137"/>
  <c r="E20" i="2188"/>
  <c r="F20"/>
  <c r="K131" i="2650" l="1"/>
  <c r="K149" s="1"/>
  <c r="L113" s="1"/>
  <c r="K140"/>
  <c r="J135" i="2648"/>
  <c r="J144" s="1"/>
  <c r="K108" s="1"/>
  <c r="K126" s="1"/>
  <c r="J146" i="2652"/>
  <c r="K110" s="1"/>
  <c r="H106" i="2648"/>
  <c r="H133" s="1"/>
  <c r="H153" s="1"/>
  <c r="H208" s="1"/>
  <c r="J130" i="2651"/>
  <c r="K131" i="2648"/>
  <c r="J138" i="2650"/>
  <c r="K140" i="2652"/>
  <c r="K127" i="2651"/>
  <c r="K145" s="1"/>
  <c r="L109" s="1"/>
  <c r="K145" i="2649"/>
  <c r="L109" s="1"/>
  <c r="L136" s="1"/>
  <c r="I101" i="2650"/>
  <c r="J97" s="1"/>
  <c r="J145" i="2652"/>
  <c r="K109" s="1"/>
  <c r="K127" s="1"/>
  <c r="J148" i="2651"/>
  <c r="K112" s="1"/>
  <c r="K130" s="1"/>
  <c r="J143" i="2648"/>
  <c r="K107" s="1"/>
  <c r="K134" s="1"/>
  <c r="K149"/>
  <c r="L113" s="1"/>
  <c r="L131" s="1"/>
  <c r="I203" i="2652"/>
  <c r="J200" s="1"/>
  <c r="J144"/>
  <c r="K108" s="1"/>
  <c r="K135" s="1"/>
  <c r="J186" i="2651"/>
  <c r="J197" s="1"/>
  <c r="K146" i="2649"/>
  <c r="L110" s="1"/>
  <c r="L128" s="1"/>
  <c r="K150" i="2648"/>
  <c r="L114" s="1"/>
  <c r="L132" s="1"/>
  <c r="K145" i="2650"/>
  <c r="L109" s="1"/>
  <c r="L127" s="1"/>
  <c r="J147" i="2652"/>
  <c r="K111" s="1"/>
  <c r="K138" s="1"/>
  <c r="I266" i="2650"/>
  <c r="J148" i="2652"/>
  <c r="K112" s="1"/>
  <c r="J143"/>
  <c r="K107" s="1"/>
  <c r="K125" s="1"/>
  <c r="J143" i="2651"/>
  <c r="K107" s="1"/>
  <c r="J143" i="2650"/>
  <c r="K107" s="1"/>
  <c r="K134" s="1"/>
  <c r="J148" i="2648"/>
  <c r="K112" s="1"/>
  <c r="J147" i="2650"/>
  <c r="K111" s="1"/>
  <c r="K138" s="1"/>
  <c r="K147" i="2651"/>
  <c r="L111" s="1"/>
  <c r="J147" i="2649"/>
  <c r="K111" s="1"/>
  <c r="K129" s="1"/>
  <c r="K144" i="2651"/>
  <c r="L108" s="1"/>
  <c r="L135" s="1"/>
  <c r="J150" i="2650"/>
  <c r="K114" s="1"/>
  <c r="K141" s="1"/>
  <c r="K146" i="2648"/>
  <c r="L110" s="1"/>
  <c r="K149" i="2652"/>
  <c r="L113" s="1"/>
  <c r="L131" s="1"/>
  <c r="K149" i="2651"/>
  <c r="L113" s="1"/>
  <c r="L131" s="1"/>
  <c r="I148" i="2650"/>
  <c r="J112" s="1"/>
  <c r="J130" s="1"/>
  <c r="I150" i="2652"/>
  <c r="J114" s="1"/>
  <c r="J141" s="1"/>
  <c r="J147" i="2648"/>
  <c r="K111" s="1"/>
  <c r="K129" s="1"/>
  <c r="L223" i="2652"/>
  <c r="M219" s="1"/>
  <c r="M220" s="1"/>
  <c r="I144" i="2650"/>
  <c r="J108" s="1"/>
  <c r="J135" s="1"/>
  <c r="K150" i="2651"/>
  <c r="L114" s="1"/>
  <c r="L141" s="1"/>
  <c r="K125"/>
  <c r="K134"/>
  <c r="K126" i="2652"/>
  <c r="L137" i="2649"/>
  <c r="L201"/>
  <c r="L98"/>
  <c r="L244"/>
  <c r="L222"/>
  <c r="M93"/>
  <c r="K139" i="2648"/>
  <c r="K130"/>
  <c r="K129" i="2650"/>
  <c r="L126" i="2651"/>
  <c r="L140"/>
  <c r="J231" i="2652"/>
  <c r="I266"/>
  <c r="J126" i="2650"/>
  <c r="L127" i="2649"/>
  <c r="K136" i="2652"/>
  <c r="K137"/>
  <c r="K128"/>
  <c r="J202"/>
  <c r="J203" s="1"/>
  <c r="K200" s="1"/>
  <c r="H124" i="2648"/>
  <c r="H152" s="1"/>
  <c r="H207" s="1"/>
  <c r="H263" s="1"/>
  <c r="K146" i="2651"/>
  <c r="L110" s="1"/>
  <c r="K159" i="2648"/>
  <c r="J197"/>
  <c r="I99"/>
  <c r="I100"/>
  <c r="J99" i="2652"/>
  <c r="J100"/>
  <c r="H203" i="2648"/>
  <c r="I200" s="1"/>
  <c r="J144" i="2649"/>
  <c r="K108" s="1"/>
  <c r="K149"/>
  <c r="L113" s="1"/>
  <c r="J100"/>
  <c r="J99"/>
  <c r="K141"/>
  <c r="K132"/>
  <c r="K128" i="2650"/>
  <c r="K137"/>
  <c r="H106" i="2651"/>
  <c r="G154"/>
  <c r="G209" s="1"/>
  <c r="G211" s="1"/>
  <c r="H124" i="2652"/>
  <c r="H152" s="1"/>
  <c r="H207" s="1"/>
  <c r="H263" s="1"/>
  <c r="H133"/>
  <c r="H153" s="1"/>
  <c r="H208" s="1"/>
  <c r="H151"/>
  <c r="H206" s="1"/>
  <c r="K130" i="2649"/>
  <c r="K139"/>
  <c r="J210" i="2650"/>
  <c r="J227" s="1"/>
  <c r="J232" s="1"/>
  <c r="J234" s="1"/>
  <c r="J186"/>
  <c r="L248" i="2649"/>
  <c r="L270" s="1"/>
  <c r="M86"/>
  <c r="M248" s="1"/>
  <c r="M270" s="1"/>
  <c r="M244" i="2651"/>
  <c r="M201"/>
  <c r="M222"/>
  <c r="M223" s="1"/>
  <c r="M98"/>
  <c r="M244" i="2650"/>
  <c r="M201"/>
  <c r="M222"/>
  <c r="M223" s="1"/>
  <c r="M98"/>
  <c r="K139" i="2652"/>
  <c r="K130"/>
  <c r="K134"/>
  <c r="H106" i="2650"/>
  <c r="G154"/>
  <c r="G209" s="1"/>
  <c r="G211" s="1"/>
  <c r="K139" i="2651"/>
  <c r="K159"/>
  <c r="K125" i="2648"/>
  <c r="J177" i="2652"/>
  <c r="J196" s="1"/>
  <c r="J195"/>
  <c r="K220" i="2649"/>
  <c r="K272" s="1"/>
  <c r="L220" i="2648"/>
  <c r="L272" s="1"/>
  <c r="J202" i="2651"/>
  <c r="J210" s="1"/>
  <c r="J227" s="1"/>
  <c r="J232" s="1"/>
  <c r="J234" s="1"/>
  <c r="H106" i="2649"/>
  <c r="G154"/>
  <c r="G209" s="1"/>
  <c r="G211" s="1"/>
  <c r="J136" i="2648"/>
  <c r="J127"/>
  <c r="K125" i="2650"/>
  <c r="I202" i="2649"/>
  <c r="I210" s="1"/>
  <c r="I227" s="1"/>
  <c r="J97" i="2651"/>
  <c r="K134" i="2649"/>
  <c r="K125"/>
  <c r="J159"/>
  <c r="I197"/>
  <c r="K202" i="2650"/>
  <c r="K203" s="1"/>
  <c r="L200" s="1"/>
  <c r="L202" s="1"/>
  <c r="L203" s="1"/>
  <c r="M200" s="1"/>
  <c r="M202" s="1"/>
  <c r="L141" i="2648"/>
  <c r="L140"/>
  <c r="L136" i="2650"/>
  <c r="L138" i="2651"/>
  <c r="L129"/>
  <c r="L137" i="2648"/>
  <c r="L128"/>
  <c r="K129" i="2652"/>
  <c r="K138" i="2649"/>
  <c r="M244" i="2648"/>
  <c r="M222"/>
  <c r="M201"/>
  <c r="M98"/>
  <c r="M222" i="2652"/>
  <c r="M98"/>
  <c r="M244"/>
  <c r="M201"/>
  <c r="D20" i="2188"/>
  <c r="C20"/>
  <c r="B20"/>
  <c r="L131" i="2650" l="1"/>
  <c r="L140"/>
  <c r="M223" i="2652"/>
  <c r="H151" i="2648"/>
  <c r="H206" s="1"/>
  <c r="K132" i="2650"/>
  <c r="K150" s="1"/>
  <c r="L114" s="1"/>
  <c r="J132" i="2652"/>
  <c r="L127" i="2651"/>
  <c r="L136"/>
  <c r="L132"/>
  <c r="L150" s="1"/>
  <c r="M114" s="1"/>
  <c r="K143"/>
  <c r="L107" s="1"/>
  <c r="L125" s="1"/>
  <c r="L140" i="2652"/>
  <c r="L150" i="2648"/>
  <c r="M114" s="1"/>
  <c r="M132" s="1"/>
  <c r="K143" i="2652"/>
  <c r="L107" s="1"/>
  <c r="L125" s="1"/>
  <c r="L143" s="1"/>
  <c r="M107" s="1"/>
  <c r="J101" i="2649"/>
  <c r="J139" i="2650"/>
  <c r="L147" i="2651"/>
  <c r="M111" s="1"/>
  <c r="M138" s="1"/>
  <c r="L145" i="2650"/>
  <c r="M109" s="1"/>
  <c r="M136" s="1"/>
  <c r="L149" i="2648"/>
  <c r="M113" s="1"/>
  <c r="M131" s="1"/>
  <c r="I101"/>
  <c r="J97" s="1"/>
  <c r="K146" i="2652"/>
  <c r="L110" s="1"/>
  <c r="L137" s="1"/>
  <c r="L146" i="2649"/>
  <c r="M110" s="1"/>
  <c r="M128" s="1"/>
  <c r="M146" s="1"/>
  <c r="K144" i="2652"/>
  <c r="L108" s="1"/>
  <c r="L126" s="1"/>
  <c r="L144" i="2651"/>
  <c r="M108" s="1"/>
  <c r="M126" s="1"/>
  <c r="K147" i="2649"/>
  <c r="L111" s="1"/>
  <c r="L129" s="1"/>
  <c r="L146" i="2648"/>
  <c r="M110" s="1"/>
  <c r="M128" s="1"/>
  <c r="K143"/>
  <c r="L107" s="1"/>
  <c r="L125" s="1"/>
  <c r="K138"/>
  <c r="K135"/>
  <c r="K144" s="1"/>
  <c r="L108" s="1"/>
  <c r="L135" s="1"/>
  <c r="K147"/>
  <c r="L111" s="1"/>
  <c r="L138" s="1"/>
  <c r="J144" i="2650"/>
  <c r="K108" s="1"/>
  <c r="M203"/>
  <c r="I203" i="2649"/>
  <c r="J200" s="1"/>
  <c r="J202" s="1"/>
  <c r="J203" s="1"/>
  <c r="K200" s="1"/>
  <c r="K143" i="2650"/>
  <c r="L107" s="1"/>
  <c r="L134" s="1"/>
  <c r="J145" i="2648"/>
  <c r="K109" s="1"/>
  <c r="K136" s="1"/>
  <c r="J203" i="2651"/>
  <c r="K200" s="1"/>
  <c r="L223" i="2648"/>
  <c r="M219" s="1"/>
  <c r="K223" i="2649"/>
  <c r="L219" s="1"/>
  <c r="K148" i="2651"/>
  <c r="L112" s="1"/>
  <c r="L130" s="1"/>
  <c r="H142" i="2652"/>
  <c r="I106" s="1"/>
  <c r="J101"/>
  <c r="L145" i="2649"/>
  <c r="M109" s="1"/>
  <c r="M136" s="1"/>
  <c r="J150" i="2652"/>
  <c r="K114" s="1"/>
  <c r="K132" s="1"/>
  <c r="J148" i="2650"/>
  <c r="K112" s="1"/>
  <c r="K139" s="1"/>
  <c r="K148" i="2648"/>
  <c r="L112" s="1"/>
  <c r="L139" s="1"/>
  <c r="M137"/>
  <c r="K231" i="2651"/>
  <c r="J266"/>
  <c r="L125" i="2650"/>
  <c r="K231"/>
  <c r="J266"/>
  <c r="K97" i="2652"/>
  <c r="M127" i="2649"/>
  <c r="K141" i="2652"/>
  <c r="M140" i="2648"/>
  <c r="K97" i="2649"/>
  <c r="M137"/>
  <c r="L138"/>
  <c r="M129" i="2651"/>
  <c r="M141" i="2648"/>
  <c r="J177" i="2649"/>
  <c r="J195"/>
  <c r="K147" i="2652"/>
  <c r="L111" s="1"/>
  <c r="K143" i="2649"/>
  <c r="L107" s="1"/>
  <c r="J99" i="2651"/>
  <c r="J100"/>
  <c r="H124" i="2649"/>
  <c r="H152" s="1"/>
  <c r="H207" s="1"/>
  <c r="H263" s="1"/>
  <c r="H133"/>
  <c r="H153" s="1"/>
  <c r="H208" s="1"/>
  <c r="H151"/>
  <c r="H206" s="1"/>
  <c r="J186" i="2652"/>
  <c r="L149" i="2650"/>
  <c r="M113" s="1"/>
  <c r="J100"/>
  <c r="J99"/>
  <c r="K148" i="2652"/>
  <c r="L112" s="1"/>
  <c r="K159" i="2650"/>
  <c r="J197"/>
  <c r="K148" i="2649"/>
  <c r="L112" s="1"/>
  <c r="H214" i="2652"/>
  <c r="H215" s="1"/>
  <c r="H262" s="1"/>
  <c r="H243"/>
  <c r="H245" s="1"/>
  <c r="H267" s="1"/>
  <c r="H228"/>
  <c r="H239"/>
  <c r="H272"/>
  <c r="K146" i="2650"/>
  <c r="L110" s="1"/>
  <c r="K150" i="2649"/>
  <c r="L114" s="1"/>
  <c r="K126"/>
  <c r="K135"/>
  <c r="K177" i="2648"/>
  <c r="K196" s="1"/>
  <c r="K195"/>
  <c r="L128" i="2651"/>
  <c r="L137"/>
  <c r="H142" i="2648"/>
  <c r="H243"/>
  <c r="H245" s="1"/>
  <c r="H267" s="1"/>
  <c r="H228"/>
  <c r="J210" i="2652"/>
  <c r="J227" s="1"/>
  <c r="J232" s="1"/>
  <c r="K145"/>
  <c r="L109" s="1"/>
  <c r="J234"/>
  <c r="L149" i="2651"/>
  <c r="M113" s="1"/>
  <c r="K147" i="2650"/>
  <c r="L111" s="1"/>
  <c r="M127"/>
  <c r="K127" i="2648"/>
  <c r="K202" i="2651"/>
  <c r="K203" s="1"/>
  <c r="L200" s="1"/>
  <c r="M220" i="2648"/>
  <c r="M272" s="1"/>
  <c r="L220" i="2649"/>
  <c r="L272" s="1"/>
  <c r="L134" i="2648"/>
  <c r="K195" i="2651"/>
  <c r="K177"/>
  <c r="K196" s="1"/>
  <c r="L139"/>
  <c r="H133" i="2650"/>
  <c r="H153" s="1"/>
  <c r="H208" s="1"/>
  <c r="H124"/>
  <c r="H151"/>
  <c r="H206" s="1"/>
  <c r="L134" i="2652"/>
  <c r="H154"/>
  <c r="H209" s="1"/>
  <c r="H260" s="1"/>
  <c r="H133" i="2651"/>
  <c r="H153" s="1"/>
  <c r="H208" s="1"/>
  <c r="H124"/>
  <c r="H152" s="1"/>
  <c r="H207" s="1"/>
  <c r="H263" s="1"/>
  <c r="H151"/>
  <c r="H206" s="1"/>
  <c r="L131" i="2649"/>
  <c r="L140"/>
  <c r="I202" i="2648"/>
  <c r="I210" s="1"/>
  <c r="I227" s="1"/>
  <c r="H214"/>
  <c r="H215" s="1"/>
  <c r="H262" s="1"/>
  <c r="K202" i="2652"/>
  <c r="K203" s="1"/>
  <c r="L200" s="1"/>
  <c r="L128"/>
  <c r="K135" i="2650"/>
  <c r="K126"/>
  <c r="L129" i="2648"/>
  <c r="M135" i="2651"/>
  <c r="M244" i="2649"/>
  <c r="M98"/>
  <c r="M222"/>
  <c r="M201"/>
  <c r="L135" i="2652"/>
  <c r="L134" i="2651"/>
  <c r="L149" i="2652"/>
  <c r="M113" s="1"/>
  <c r="H17" i="49"/>
  <c r="I17"/>
  <c r="M132" i="2651" l="1"/>
  <c r="M141"/>
  <c r="L141" i="2650"/>
  <c r="L150" s="1"/>
  <c r="M114" s="1"/>
  <c r="L132"/>
  <c r="M147" i="2651"/>
  <c r="K130" i="2650"/>
  <c r="J101" i="2651"/>
  <c r="L145"/>
  <c r="M109" s="1"/>
  <c r="M127"/>
  <c r="M145" s="1"/>
  <c r="M136"/>
  <c r="J101" i="2650"/>
  <c r="L147" i="2649"/>
  <c r="M111" s="1"/>
  <c r="M138" s="1"/>
  <c r="M146" i="2648"/>
  <c r="M223"/>
  <c r="L143" i="2651"/>
  <c r="M107" s="1"/>
  <c r="I203" i="2648"/>
  <c r="J200" s="1"/>
  <c r="K144" i="2650"/>
  <c r="L108" s="1"/>
  <c r="L126" s="1"/>
  <c r="L146" i="2652"/>
  <c r="M110" s="1"/>
  <c r="M145" i="2650"/>
  <c r="L126" i="2648"/>
  <c r="L144" s="1"/>
  <c r="M108" s="1"/>
  <c r="M149"/>
  <c r="L130"/>
  <c r="M145" i="2649"/>
  <c r="L148" i="2648"/>
  <c r="M112" s="1"/>
  <c r="K150" i="2652"/>
  <c r="L114" s="1"/>
  <c r="L132" s="1"/>
  <c r="L148" i="2651"/>
  <c r="M112" s="1"/>
  <c r="M144"/>
  <c r="K148" i="2650"/>
  <c r="L112" s="1"/>
  <c r="L139" s="1"/>
  <c r="L147" i="2648"/>
  <c r="M111" s="1"/>
  <c r="M138" s="1"/>
  <c r="L149" i="2649"/>
  <c r="M113" s="1"/>
  <c r="M131" s="1"/>
  <c r="H142" i="2651"/>
  <c r="I106" s="1"/>
  <c r="L143" i="2648"/>
  <c r="M107" s="1"/>
  <c r="M125" s="1"/>
  <c r="L223" i="2649"/>
  <c r="M219" s="1"/>
  <c r="K145" i="2648"/>
  <c r="L109" s="1"/>
  <c r="L127" s="1"/>
  <c r="K186"/>
  <c r="K197" s="1"/>
  <c r="H142" i="2649"/>
  <c r="I106" s="1"/>
  <c r="M150" i="2648"/>
  <c r="L143" i="2650"/>
  <c r="M107" s="1"/>
  <c r="M125" s="1"/>
  <c r="L202" i="2652"/>
  <c r="L203" s="1"/>
  <c r="M200" s="1"/>
  <c r="M202" s="1"/>
  <c r="M203" s="1"/>
  <c r="M134" i="2648"/>
  <c r="L141" i="2652"/>
  <c r="L135" i="2650"/>
  <c r="H238" i="2652"/>
  <c r="H240" s="1"/>
  <c r="H271" s="1"/>
  <c r="H264"/>
  <c r="K97" i="2650"/>
  <c r="M129" i="2649"/>
  <c r="M140"/>
  <c r="M134" i="2650"/>
  <c r="M131" i="2652"/>
  <c r="M140"/>
  <c r="L130" i="2650"/>
  <c r="M128" i="2652"/>
  <c r="M137"/>
  <c r="J202" i="2648"/>
  <c r="J210" s="1"/>
  <c r="J227" s="1"/>
  <c r="H154" i="2651"/>
  <c r="H209" s="1"/>
  <c r="H211" s="1"/>
  <c r="L144" i="2652"/>
  <c r="M108" s="1"/>
  <c r="J99" i="2648"/>
  <c r="J100"/>
  <c r="H214" i="2651"/>
  <c r="H215" s="1"/>
  <c r="H262" s="1"/>
  <c r="H214" i="2650"/>
  <c r="H215" s="1"/>
  <c r="H262" s="1"/>
  <c r="H228"/>
  <c r="H243"/>
  <c r="H245" s="1"/>
  <c r="H267" s="1"/>
  <c r="H239"/>
  <c r="H272"/>
  <c r="K186" i="2651"/>
  <c r="K210"/>
  <c r="K227" s="1"/>
  <c r="K232" s="1"/>
  <c r="K234" s="1"/>
  <c r="L129" i="2650"/>
  <c r="L138"/>
  <c r="K231" i="2652"/>
  <c r="J266"/>
  <c r="L146" i="2651"/>
  <c r="M110" s="1"/>
  <c r="K144" i="2649"/>
  <c r="L108" s="1"/>
  <c r="L128" i="2650"/>
  <c r="L137"/>
  <c r="H211" i="2652"/>
  <c r="L139" i="2649"/>
  <c r="L130"/>
  <c r="K177" i="2650"/>
  <c r="K196" s="1"/>
  <c r="K210" s="1"/>
  <c r="K227" s="1"/>
  <c r="K232" s="1"/>
  <c r="K234" s="1"/>
  <c r="K195"/>
  <c r="M131"/>
  <c r="M140"/>
  <c r="H214" i="2649"/>
  <c r="H215" s="1"/>
  <c r="H262" s="1"/>
  <c r="H228"/>
  <c r="H243"/>
  <c r="H245" s="1"/>
  <c r="H267" s="1"/>
  <c r="M150" i="2651"/>
  <c r="K100" i="2649"/>
  <c r="K99"/>
  <c r="M125" i="2651"/>
  <c r="M134"/>
  <c r="M129" i="2648"/>
  <c r="H243" i="2651"/>
  <c r="H245" s="1"/>
  <c r="H267" s="1"/>
  <c r="H228"/>
  <c r="H239"/>
  <c r="H272"/>
  <c r="I124" i="2652"/>
  <c r="I133"/>
  <c r="I153" s="1"/>
  <c r="I208" s="1"/>
  <c r="I151"/>
  <c r="I206" s="1"/>
  <c r="M134"/>
  <c r="M125"/>
  <c r="H142" i="2650"/>
  <c r="H152"/>
  <c r="H207" s="1"/>
  <c r="H263" s="1"/>
  <c r="M130" i="2651"/>
  <c r="M139"/>
  <c r="M220" i="2649"/>
  <c r="M272" s="1"/>
  <c r="L202" i="2651"/>
  <c r="L203" s="1"/>
  <c r="M200" s="1"/>
  <c r="L136" i="2648"/>
  <c r="K202" i="2649"/>
  <c r="K203" s="1"/>
  <c r="L200" s="1"/>
  <c r="M131" i="2651"/>
  <c r="M140"/>
  <c r="L136" i="2652"/>
  <c r="L127"/>
  <c r="I106" i="2648"/>
  <c r="H154"/>
  <c r="H209" s="1"/>
  <c r="L159"/>
  <c r="L132" i="2649"/>
  <c r="L141"/>
  <c r="L139" i="2652"/>
  <c r="L130"/>
  <c r="K159"/>
  <c r="J197"/>
  <c r="H154" i="2649"/>
  <c r="H209" s="1"/>
  <c r="H211" s="1"/>
  <c r="K97" i="2651"/>
  <c r="L125" i="2649"/>
  <c r="L134"/>
  <c r="L138" i="2652"/>
  <c r="L129"/>
  <c r="J186" i="2649"/>
  <c r="J196"/>
  <c r="J210" s="1"/>
  <c r="J227" s="1"/>
  <c r="M139" i="2648"/>
  <c r="M130"/>
  <c r="K100" i="2652"/>
  <c r="K99"/>
  <c r="E17" i="49"/>
  <c r="G17"/>
  <c r="F17"/>
  <c r="M132" i="2650" l="1"/>
  <c r="M141"/>
  <c r="M223" i="2649"/>
  <c r="M147"/>
  <c r="L147" i="2652"/>
  <c r="M111" s="1"/>
  <c r="M149" i="2651"/>
  <c r="M148"/>
  <c r="M143" i="2652"/>
  <c r="K101" i="2649"/>
  <c r="K101" i="2652"/>
  <c r="M148" i="2648"/>
  <c r="L146" i="2650"/>
  <c r="M110" s="1"/>
  <c r="J203" i="2648"/>
  <c r="K200" s="1"/>
  <c r="K202" s="1"/>
  <c r="L144" i="2650"/>
  <c r="M108" s="1"/>
  <c r="L150" i="2652"/>
  <c r="M114" s="1"/>
  <c r="M126" i="2648"/>
  <c r="M135"/>
  <c r="L148" i="2652"/>
  <c r="M112" s="1"/>
  <c r="L145"/>
  <c r="M109" s="1"/>
  <c r="M136" s="1"/>
  <c r="M147" i="2648"/>
  <c r="M143" i="2651"/>
  <c r="M143" i="2648"/>
  <c r="L148" i="2650"/>
  <c r="M112" s="1"/>
  <c r="L145" i="2648"/>
  <c r="M109" s="1"/>
  <c r="M149" i="2649"/>
  <c r="L143"/>
  <c r="M107" s="1"/>
  <c r="L150"/>
  <c r="M114" s="1"/>
  <c r="M141" s="1"/>
  <c r="M150" i="2650"/>
  <c r="H260" i="2649"/>
  <c r="H238" s="1"/>
  <c r="H273" s="1"/>
  <c r="M149" i="2650"/>
  <c r="H260" i="2651"/>
  <c r="H238" s="1"/>
  <c r="H240" s="1"/>
  <c r="H271" s="1"/>
  <c r="J101" i="2648"/>
  <c r="M149" i="2652"/>
  <c r="M143" i="2650"/>
  <c r="M130" i="2652"/>
  <c r="M139"/>
  <c r="M136" i="2648"/>
  <c r="M127"/>
  <c r="M145"/>
  <c r="M126" i="2650"/>
  <c r="M135"/>
  <c r="M144" s="1"/>
  <c r="L97" i="2652"/>
  <c r="M127"/>
  <c r="M134" i="2649"/>
  <c r="M125"/>
  <c r="M143" s="1"/>
  <c r="L202"/>
  <c r="L203" s="1"/>
  <c r="M200" s="1"/>
  <c r="K97" i="2648"/>
  <c r="L231" i="2650"/>
  <c r="K266"/>
  <c r="M138" i="2652"/>
  <c r="M129"/>
  <c r="I133" i="2649"/>
  <c r="I153" s="1"/>
  <c r="I208" s="1"/>
  <c r="I124"/>
  <c r="I152" s="1"/>
  <c r="I207" s="1"/>
  <c r="I263" s="1"/>
  <c r="I151"/>
  <c r="I206" s="1"/>
  <c r="K177" i="2652"/>
  <c r="K196" s="1"/>
  <c r="K210" s="1"/>
  <c r="K227" s="1"/>
  <c r="K232" s="1"/>
  <c r="K195"/>
  <c r="L177" i="2648"/>
  <c r="L196" s="1"/>
  <c r="L195"/>
  <c r="I133"/>
  <c r="I153" s="1"/>
  <c r="I208" s="1"/>
  <c r="I124"/>
  <c r="I152" s="1"/>
  <c r="I207" s="1"/>
  <c r="I263" s="1"/>
  <c r="I151"/>
  <c r="I206" s="1"/>
  <c r="M202" i="2651"/>
  <c r="M203" s="1"/>
  <c r="L231"/>
  <c r="K266"/>
  <c r="L97" i="2649"/>
  <c r="K159"/>
  <c r="J197"/>
  <c r="K99" i="2651"/>
  <c r="K100"/>
  <c r="K101" s="1"/>
  <c r="H211" i="2648"/>
  <c r="H260"/>
  <c r="I106" i="2650"/>
  <c r="H154"/>
  <c r="H209" s="1"/>
  <c r="H260" s="1"/>
  <c r="I243" i="2652"/>
  <c r="I245" s="1"/>
  <c r="I267" s="1"/>
  <c r="I228"/>
  <c r="I239"/>
  <c r="I272"/>
  <c r="K186" i="2650"/>
  <c r="L148" i="2649"/>
  <c r="M112" s="1"/>
  <c r="L126"/>
  <c r="L135"/>
  <c r="M128" i="2651"/>
  <c r="M137"/>
  <c r="K234" i="2652"/>
  <c r="L147" i="2650"/>
  <c r="M111" s="1"/>
  <c r="K197" i="2651"/>
  <c r="L159"/>
  <c r="I124"/>
  <c r="I152" s="1"/>
  <c r="I207" s="1"/>
  <c r="I263" s="1"/>
  <c r="I133"/>
  <c r="I153" s="1"/>
  <c r="I208" s="1"/>
  <c r="I151"/>
  <c r="I206" s="1"/>
  <c r="M146" i="2652"/>
  <c r="M144" i="2648"/>
  <c r="K100" i="2650"/>
  <c r="K99"/>
  <c r="H274" i="2652"/>
  <c r="H275" s="1"/>
  <c r="H276" s="1"/>
  <c r="H277" s="1"/>
  <c r="I214"/>
  <c r="I215" s="1"/>
  <c r="I262" s="1"/>
  <c r="I260"/>
  <c r="I142"/>
  <c r="I152"/>
  <c r="I207" s="1"/>
  <c r="I263" s="1"/>
  <c r="M137" i="2650"/>
  <c r="M128"/>
  <c r="H264" i="2651"/>
  <c r="M135" i="2652"/>
  <c r="M126"/>
  <c r="M130" i="2650"/>
  <c r="M139"/>
  <c r="M141" i="2652"/>
  <c r="M132"/>
  <c r="E87" i="5"/>
  <c r="F87"/>
  <c r="G87"/>
  <c r="H87"/>
  <c r="D87"/>
  <c r="L144" i="2649" l="1"/>
  <c r="M108" s="1"/>
  <c r="I142" i="2648"/>
  <c r="L186"/>
  <c r="M145" i="2652"/>
  <c r="M132" i="2649"/>
  <c r="K203" i="2648"/>
  <c r="L200" s="1"/>
  <c r="L202" s="1"/>
  <c r="L203" s="1"/>
  <c r="M200" s="1"/>
  <c r="M202" s="1"/>
  <c r="M203" s="1"/>
  <c r="K210"/>
  <c r="K227" s="1"/>
  <c r="M148" i="2650"/>
  <c r="M144" i="2652"/>
  <c r="K101" i="2650"/>
  <c r="M146"/>
  <c r="H211"/>
  <c r="M150" i="2652"/>
  <c r="I142" i="2651"/>
  <c r="J106" s="1"/>
  <c r="I142" i="2649"/>
  <c r="M147" i="2652"/>
  <c r="M150" i="2649"/>
  <c r="H274" i="2651"/>
  <c r="H275" s="1"/>
  <c r="H276" s="1"/>
  <c r="H277" s="1"/>
  <c r="I238" i="2652"/>
  <c r="I240" s="1"/>
  <c r="I271" s="1"/>
  <c r="L97" i="2650"/>
  <c r="I154" i="2651"/>
  <c r="I209" s="1"/>
  <c r="I211" s="1"/>
  <c r="L231" i="2652"/>
  <c r="K266"/>
  <c r="M146" i="2651"/>
  <c r="M130" i="2649"/>
  <c r="M139"/>
  <c r="H264" i="2650"/>
  <c r="H238"/>
  <c r="H240" s="1"/>
  <c r="H271" s="1"/>
  <c r="I260" i="2648"/>
  <c r="I214"/>
  <c r="I215" s="1"/>
  <c r="I262" s="1"/>
  <c r="K186" i="2652"/>
  <c r="I214" i="2649"/>
  <c r="I215" s="1"/>
  <c r="I262" s="1"/>
  <c r="I260"/>
  <c r="J106" i="2652"/>
  <c r="I154"/>
  <c r="I209" s="1"/>
  <c r="I211" s="1"/>
  <c r="H278"/>
  <c r="H279" s="1"/>
  <c r="H284"/>
  <c r="H285" s="1"/>
  <c r="I214" i="2651"/>
  <c r="I215" s="1"/>
  <c r="I262" s="1"/>
  <c r="I260"/>
  <c r="I243"/>
  <c r="I245" s="1"/>
  <c r="I267" s="1"/>
  <c r="I228"/>
  <c r="I239"/>
  <c r="I272"/>
  <c r="L195"/>
  <c r="L177"/>
  <c r="L196" s="1"/>
  <c r="L210" s="1"/>
  <c r="L227" s="1"/>
  <c r="L232" s="1"/>
  <c r="L234" s="1"/>
  <c r="M138" i="2650"/>
  <c r="M129"/>
  <c r="M135" i="2649"/>
  <c r="M126"/>
  <c r="L159" i="2650"/>
  <c r="K197"/>
  <c r="I124"/>
  <c r="I152" s="1"/>
  <c r="I207" s="1"/>
  <c r="I263" s="1"/>
  <c r="I133"/>
  <c r="I151"/>
  <c r="I206" s="1"/>
  <c r="H238" i="2648"/>
  <c r="H273" s="1"/>
  <c r="H264"/>
  <c r="L97" i="2651"/>
  <c r="K177" i="2649"/>
  <c r="K195"/>
  <c r="L100"/>
  <c r="L99"/>
  <c r="J106" i="2648"/>
  <c r="I154"/>
  <c r="I209" s="1"/>
  <c r="I211" s="1"/>
  <c r="I243"/>
  <c r="I245" s="1"/>
  <c r="I267" s="1"/>
  <c r="I228"/>
  <c r="M159"/>
  <c r="L197"/>
  <c r="J106" i="2649"/>
  <c r="I154"/>
  <c r="I209" s="1"/>
  <c r="I211" s="1"/>
  <c r="I228"/>
  <c r="I243"/>
  <c r="I245" s="1"/>
  <c r="I267" s="1"/>
  <c r="K100" i="2648"/>
  <c r="K99"/>
  <c r="M202" i="2649"/>
  <c r="M203" s="1"/>
  <c r="L100" i="2652"/>
  <c r="L99"/>
  <c r="M148"/>
  <c r="D57" i="9"/>
  <c r="C61"/>
  <c r="C62" s="1"/>
  <c r="E9" s="1"/>
  <c r="D56"/>
  <c r="B59" s="1"/>
  <c r="C56"/>
  <c r="E51"/>
  <c r="F51" s="1"/>
  <c r="G51" s="1"/>
  <c r="H51" s="1"/>
  <c r="I51" s="1"/>
  <c r="J51" s="1"/>
  <c r="K51" s="1"/>
  <c r="L51" s="1"/>
  <c r="L101" i="2649" l="1"/>
  <c r="M144"/>
  <c r="H274" i="2650"/>
  <c r="H275" s="1"/>
  <c r="H276" s="1"/>
  <c r="H277" s="1"/>
  <c r="H284" s="1"/>
  <c r="H285" s="1"/>
  <c r="K101" i="2648"/>
  <c r="L210"/>
  <c r="L227" s="1"/>
  <c r="M147" i="2650"/>
  <c r="L186" i="2651"/>
  <c r="L197" s="1"/>
  <c r="M148" i="2649"/>
  <c r="M97"/>
  <c r="L100" i="2651"/>
  <c r="L99"/>
  <c r="I142" i="2650"/>
  <c r="I153"/>
  <c r="I208" s="1"/>
  <c r="J124" i="2652"/>
  <c r="J152" s="1"/>
  <c r="J207" s="1"/>
  <c r="J263" s="1"/>
  <c r="J133"/>
  <c r="J153" s="1"/>
  <c r="J208" s="1"/>
  <c r="J151"/>
  <c r="J206" s="1"/>
  <c r="J133" i="2651"/>
  <c r="J153" s="1"/>
  <c r="J208" s="1"/>
  <c r="J124"/>
  <c r="J152" s="1"/>
  <c r="J207" s="1"/>
  <c r="J263" s="1"/>
  <c r="J151"/>
  <c r="J206" s="1"/>
  <c r="L99" i="2650"/>
  <c r="L100"/>
  <c r="H284" i="2651"/>
  <c r="H285" s="1"/>
  <c r="H278"/>
  <c r="H279" s="1"/>
  <c r="L97" i="2648"/>
  <c r="L101" i="2652"/>
  <c r="J133" i="2649"/>
  <c r="J153" s="1"/>
  <c r="J208" s="1"/>
  <c r="J124"/>
  <c r="J152" s="1"/>
  <c r="J207" s="1"/>
  <c r="J263" s="1"/>
  <c r="J151"/>
  <c r="J206" s="1"/>
  <c r="M177" i="2648"/>
  <c r="M196" s="1"/>
  <c r="M210" s="1"/>
  <c r="M227" s="1"/>
  <c r="M195"/>
  <c r="J133"/>
  <c r="J153" s="1"/>
  <c r="J208" s="1"/>
  <c r="J124"/>
  <c r="J152" s="1"/>
  <c r="J207" s="1"/>
  <c r="J263" s="1"/>
  <c r="J151"/>
  <c r="J206" s="1"/>
  <c r="M231" i="2651"/>
  <c r="L266"/>
  <c r="K186" i="2649"/>
  <c r="K196"/>
  <c r="K210" s="1"/>
  <c r="K227" s="1"/>
  <c r="H274" i="2648"/>
  <c r="H275" s="1"/>
  <c r="H276" s="1"/>
  <c r="H277" s="1"/>
  <c r="I214" i="2650"/>
  <c r="I215" s="1"/>
  <c r="I262" s="1"/>
  <c r="I260"/>
  <c r="L177"/>
  <c r="L196" s="1"/>
  <c r="L210" s="1"/>
  <c r="L227" s="1"/>
  <c r="L232" s="1"/>
  <c r="L234" s="1"/>
  <c r="L195"/>
  <c r="I238" i="2651"/>
  <c r="I240" s="1"/>
  <c r="I271" s="1"/>
  <c r="I238" i="2649"/>
  <c r="I273" s="1"/>
  <c r="L159" i="2652"/>
  <c r="K197"/>
  <c r="I238" i="2648"/>
  <c r="I273" s="1"/>
  <c r="C53" i="9"/>
  <c r="C64"/>
  <c r="C65"/>
  <c r="E8" s="1"/>
  <c r="C58"/>
  <c r="H278" i="2650" l="1"/>
  <c r="H279" s="1"/>
  <c r="M159" i="2651"/>
  <c r="M177" s="1"/>
  <c r="M196" s="1"/>
  <c r="M210" s="1"/>
  <c r="M227" s="1"/>
  <c r="M232" s="1"/>
  <c r="M234" s="1"/>
  <c r="M266" s="1"/>
  <c r="L101" i="2650"/>
  <c r="L101" i="2651"/>
  <c r="M97" s="1"/>
  <c r="L186" i="2650"/>
  <c r="I238"/>
  <c r="J142" i="2648"/>
  <c r="M186"/>
  <c r="M197" s="1"/>
  <c r="J142" i="2651"/>
  <c r="M97" i="2650"/>
  <c r="M231"/>
  <c r="L266"/>
  <c r="J214" i="2648"/>
  <c r="J215" s="1"/>
  <c r="J262" s="1"/>
  <c r="J260"/>
  <c r="J142" i="2649"/>
  <c r="J243"/>
  <c r="J245" s="1"/>
  <c r="J267" s="1"/>
  <c r="J228"/>
  <c r="M97" i="2652"/>
  <c r="J214" i="2651"/>
  <c r="J215" s="1"/>
  <c r="J262" s="1"/>
  <c r="J260"/>
  <c r="J142" i="2652"/>
  <c r="M195" i="2651"/>
  <c r="J106" i="2650"/>
  <c r="I154"/>
  <c r="I209" s="1"/>
  <c r="I211" s="1"/>
  <c r="M100" i="2649"/>
  <c r="M99"/>
  <c r="L177" i="2652"/>
  <c r="L196" s="1"/>
  <c r="L210" s="1"/>
  <c r="L227" s="1"/>
  <c r="L232" s="1"/>
  <c r="L234" s="1"/>
  <c r="L195"/>
  <c r="M159" i="2650"/>
  <c r="L197"/>
  <c r="H278" i="2648"/>
  <c r="H279" s="1"/>
  <c r="H284"/>
  <c r="H285" s="1"/>
  <c r="L159" i="2649"/>
  <c r="K197"/>
  <c r="K106" i="2648"/>
  <c r="J154"/>
  <c r="J209" s="1"/>
  <c r="J211" s="1"/>
  <c r="J243"/>
  <c r="J245" s="1"/>
  <c r="J267" s="1"/>
  <c r="J228"/>
  <c r="J260" i="2649"/>
  <c r="J214"/>
  <c r="J215" s="1"/>
  <c r="J262" s="1"/>
  <c r="L100" i="2648"/>
  <c r="L99"/>
  <c r="K106" i="2651"/>
  <c r="J154"/>
  <c r="J209" s="1"/>
  <c r="J211" s="1"/>
  <c r="J243"/>
  <c r="J245" s="1"/>
  <c r="J267" s="1"/>
  <c r="J228"/>
  <c r="J239"/>
  <c r="J272"/>
  <c r="J214" i="2652"/>
  <c r="J215" s="1"/>
  <c r="J262" s="1"/>
  <c r="J260"/>
  <c r="J228"/>
  <c r="J243"/>
  <c r="J245" s="1"/>
  <c r="J267" s="1"/>
  <c r="J239"/>
  <c r="J272"/>
  <c r="I243" i="2650"/>
  <c r="I245" s="1"/>
  <c r="I267" s="1"/>
  <c r="I228"/>
  <c r="I239"/>
  <c r="I272"/>
  <c r="C59" i="9"/>
  <c r="I240" i="2650" l="1"/>
  <c r="I271" s="1"/>
  <c r="M101" i="2649"/>
  <c r="J238"/>
  <c r="J273" s="1"/>
  <c r="M186" i="2651"/>
  <c r="M197" s="1"/>
  <c r="J238"/>
  <c r="J238" i="2648"/>
  <c r="J273" s="1"/>
  <c r="J238" i="2652"/>
  <c r="J240" s="1"/>
  <c r="J271" s="1"/>
  <c r="L186"/>
  <c r="M159" s="1"/>
  <c r="K133" i="2648"/>
  <c r="K153" s="1"/>
  <c r="K208" s="1"/>
  <c r="K124"/>
  <c r="K152" s="1"/>
  <c r="K207" s="1"/>
  <c r="K263" s="1"/>
  <c r="K151"/>
  <c r="K206" s="1"/>
  <c r="M177" i="2650"/>
  <c r="M196" s="1"/>
  <c r="M210" s="1"/>
  <c r="M227" s="1"/>
  <c r="M232" s="1"/>
  <c r="M234" s="1"/>
  <c r="M266" s="1"/>
  <c r="M195"/>
  <c r="L197" i="2652"/>
  <c r="J240" i="2651"/>
  <c r="J271" s="1"/>
  <c r="M99"/>
  <c r="M100"/>
  <c r="K133"/>
  <c r="K153" s="1"/>
  <c r="K208" s="1"/>
  <c r="K124"/>
  <c r="K152" s="1"/>
  <c r="K207" s="1"/>
  <c r="K263" s="1"/>
  <c r="K151"/>
  <c r="K206" s="1"/>
  <c r="L101" i="2648"/>
  <c r="L177" i="2649"/>
  <c r="L195"/>
  <c r="M231" i="2652"/>
  <c r="L266"/>
  <c r="J133" i="2650"/>
  <c r="J153" s="1"/>
  <c r="J208" s="1"/>
  <c r="J124"/>
  <c r="J152" s="1"/>
  <c r="J207" s="1"/>
  <c r="J263" s="1"/>
  <c r="J151"/>
  <c r="J206" s="1"/>
  <c r="K106" i="2652"/>
  <c r="J154"/>
  <c r="J209" s="1"/>
  <c r="J211" s="1"/>
  <c r="M99"/>
  <c r="M100"/>
  <c r="K106" i="2649"/>
  <c r="J154"/>
  <c r="J209" s="1"/>
  <c r="J211" s="1"/>
  <c r="M99" i="2650"/>
  <c r="M100"/>
  <c r="D29" i="9"/>
  <c r="C23"/>
  <c r="C28" s="1"/>
  <c r="C33"/>
  <c r="D28"/>
  <c r="B31" s="1"/>
  <c r="E23"/>
  <c r="F23" s="1"/>
  <c r="G23" s="1"/>
  <c r="H23" s="1"/>
  <c r="I23" s="1"/>
  <c r="J23" s="1"/>
  <c r="K23" s="1"/>
  <c r="L23" s="1"/>
  <c r="M23" s="1"/>
  <c r="N23" s="1"/>
  <c r="O23" s="1"/>
  <c r="M101" i="2650" l="1"/>
  <c r="M101" i="2651"/>
  <c r="M101" i="2652"/>
  <c r="J142" i="2650"/>
  <c r="K106" s="1"/>
  <c r="K142" i="2648"/>
  <c r="K154" s="1"/>
  <c r="K209" s="1"/>
  <c r="K211" s="1"/>
  <c r="K133" i="2649"/>
  <c r="K153" s="1"/>
  <c r="K208" s="1"/>
  <c r="K124"/>
  <c r="K152" s="1"/>
  <c r="K207" s="1"/>
  <c r="K263" s="1"/>
  <c r="K151"/>
  <c r="K206" s="1"/>
  <c r="J154" i="2650"/>
  <c r="J209" s="1"/>
  <c r="J211" s="1"/>
  <c r="J214"/>
  <c r="J215" s="1"/>
  <c r="J262" s="1"/>
  <c r="J260"/>
  <c r="M97" i="2648"/>
  <c r="K142" i="2651"/>
  <c r="K243"/>
  <c r="K245" s="1"/>
  <c r="K267" s="1"/>
  <c r="K228"/>
  <c r="K239"/>
  <c r="K272"/>
  <c r="M177" i="2652"/>
  <c r="M196" s="1"/>
  <c r="M210" s="1"/>
  <c r="M227" s="1"/>
  <c r="M232" s="1"/>
  <c r="M195"/>
  <c r="M186" i="2650"/>
  <c r="M197" s="1"/>
  <c r="K214" i="2648"/>
  <c r="K215" s="1"/>
  <c r="K262" s="1"/>
  <c r="K260"/>
  <c r="K124" i="2652"/>
  <c r="K133"/>
  <c r="K153" s="1"/>
  <c r="K208" s="1"/>
  <c r="K151"/>
  <c r="K206" s="1"/>
  <c r="J228" i="2650"/>
  <c r="J243"/>
  <c r="J245" s="1"/>
  <c r="J267" s="1"/>
  <c r="J239"/>
  <c r="J272"/>
  <c r="M234" i="2652"/>
  <c r="M266" s="1"/>
  <c r="L186" i="2649"/>
  <c r="L196"/>
  <c r="L210" s="1"/>
  <c r="L227" s="1"/>
  <c r="K214" i="2651"/>
  <c r="K215" s="1"/>
  <c r="K262" s="1"/>
  <c r="K260"/>
  <c r="K228" i="2648"/>
  <c r="K243"/>
  <c r="K245" s="1"/>
  <c r="K267" s="1"/>
  <c r="C36" i="9"/>
  <c r="D113"/>
  <c r="C117"/>
  <c r="D112"/>
  <c r="B115" s="1"/>
  <c r="C112"/>
  <c r="E107"/>
  <c r="F107" s="1"/>
  <c r="C89"/>
  <c r="D84"/>
  <c r="D85"/>
  <c r="C84"/>
  <c r="C92"/>
  <c r="E96" i="5"/>
  <c r="F96"/>
  <c r="G96"/>
  <c r="H96"/>
  <c r="D96"/>
  <c r="E84"/>
  <c r="F84"/>
  <c r="G84"/>
  <c r="H84"/>
  <c r="D84"/>
  <c r="L106" i="2648" l="1"/>
  <c r="K142" i="2649"/>
  <c r="L106" s="1"/>
  <c r="K238" i="2651"/>
  <c r="K240" s="1"/>
  <c r="K271" s="1"/>
  <c r="K243" i="2652"/>
  <c r="K245" s="1"/>
  <c r="K267" s="1"/>
  <c r="K228"/>
  <c r="K239"/>
  <c r="K272"/>
  <c r="K238" i="2648"/>
  <c r="K273" s="1"/>
  <c r="M186" i="2652"/>
  <c r="M197" s="1"/>
  <c r="M99" i="2648"/>
  <c r="M100"/>
  <c r="J238" i="2650"/>
  <c r="J240" s="1"/>
  <c r="J271" s="1"/>
  <c r="K214" i="2649"/>
  <c r="K215" s="1"/>
  <c r="K262" s="1"/>
  <c r="K260"/>
  <c r="L133" i="2648"/>
  <c r="L153" s="1"/>
  <c r="L208" s="1"/>
  <c r="L124"/>
  <c r="L152" s="1"/>
  <c r="L207" s="1"/>
  <c r="L263" s="1"/>
  <c r="L151"/>
  <c r="L206" s="1"/>
  <c r="M159" i="2649"/>
  <c r="L197"/>
  <c r="K214" i="2652"/>
  <c r="K215" s="1"/>
  <c r="K262" s="1"/>
  <c r="K260"/>
  <c r="K142"/>
  <c r="K152"/>
  <c r="K207" s="1"/>
  <c r="K263" s="1"/>
  <c r="L106" i="2651"/>
  <c r="K154"/>
  <c r="K209" s="1"/>
  <c r="K211" s="1"/>
  <c r="K133" i="2650"/>
  <c r="K153" s="1"/>
  <c r="K208" s="1"/>
  <c r="K124"/>
  <c r="K152" s="1"/>
  <c r="K207" s="1"/>
  <c r="K263" s="1"/>
  <c r="K151"/>
  <c r="K206" s="1"/>
  <c r="K154" i="2649"/>
  <c r="K209" s="1"/>
  <c r="K211" s="1"/>
  <c r="K243"/>
  <c r="K245" s="1"/>
  <c r="K267" s="1"/>
  <c r="K228"/>
  <c r="C120" i="9"/>
  <c r="B87"/>
  <c r="M101" i="2648" l="1"/>
  <c r="K142" i="2650"/>
  <c r="L106" s="1"/>
  <c r="L142" i="2648"/>
  <c r="K260" i="2650"/>
  <c r="K214"/>
  <c r="K215" s="1"/>
  <c r="K262" s="1"/>
  <c r="K238" i="2652"/>
  <c r="K240" s="1"/>
  <c r="K271" s="1"/>
  <c r="L214" i="2648"/>
  <c r="L215" s="1"/>
  <c r="L262" s="1"/>
  <c r="L260"/>
  <c r="K238" i="2649"/>
  <c r="K273" s="1"/>
  <c r="L124"/>
  <c r="L152" s="1"/>
  <c r="L207" s="1"/>
  <c r="L263" s="1"/>
  <c r="L133"/>
  <c r="L153" s="1"/>
  <c r="L208" s="1"/>
  <c r="L151"/>
  <c r="L206" s="1"/>
  <c r="K243" i="2650"/>
  <c r="K245" s="1"/>
  <c r="K267" s="1"/>
  <c r="K228"/>
  <c r="K239"/>
  <c r="K272"/>
  <c r="L124" i="2651"/>
  <c r="L152" s="1"/>
  <c r="L207" s="1"/>
  <c r="L263" s="1"/>
  <c r="L133"/>
  <c r="L153" s="1"/>
  <c r="L208" s="1"/>
  <c r="L151"/>
  <c r="L206" s="1"/>
  <c r="L106" i="2652"/>
  <c r="K154"/>
  <c r="K209" s="1"/>
  <c r="K211" s="1"/>
  <c r="M177" i="2649"/>
  <c r="M195"/>
  <c r="M106" i="2648"/>
  <c r="L154"/>
  <c r="L209" s="1"/>
  <c r="L211" s="1"/>
  <c r="L243"/>
  <c r="L245" s="1"/>
  <c r="L267" s="1"/>
  <c r="L228"/>
  <c r="E79" i="9"/>
  <c r="L238" i="2648" l="1"/>
  <c r="L273" s="1"/>
  <c r="K238" i="2650"/>
  <c r="K240" s="1"/>
  <c r="K271" s="1"/>
  <c r="K154"/>
  <c r="K209" s="1"/>
  <c r="K211" s="1"/>
  <c r="L214" i="2651"/>
  <c r="L215" s="1"/>
  <c r="L262" s="1"/>
  <c r="L260"/>
  <c r="L214" i="2649"/>
  <c r="L215" s="1"/>
  <c r="L262" s="1"/>
  <c r="L260"/>
  <c r="M133" i="2648"/>
  <c r="M153" s="1"/>
  <c r="M208" s="1"/>
  <c r="M124"/>
  <c r="M152" s="1"/>
  <c r="M207" s="1"/>
  <c r="M263" s="1"/>
  <c r="M151"/>
  <c r="M206" s="1"/>
  <c r="M186" i="2649"/>
  <c r="M197" s="1"/>
  <c r="M196"/>
  <c r="M210" s="1"/>
  <c r="M227" s="1"/>
  <c r="L124" i="2652"/>
  <c r="L133"/>
  <c r="L153" s="1"/>
  <c r="L208" s="1"/>
  <c r="L151"/>
  <c r="L206" s="1"/>
  <c r="L142" i="2651"/>
  <c r="L133" i="2650"/>
  <c r="L153" s="1"/>
  <c r="L208" s="1"/>
  <c r="L124"/>
  <c r="L152" s="1"/>
  <c r="L207" s="1"/>
  <c r="L263" s="1"/>
  <c r="L151"/>
  <c r="L206" s="1"/>
  <c r="L142" i="2649"/>
  <c r="L243" i="2651"/>
  <c r="L245" s="1"/>
  <c r="L267" s="1"/>
  <c r="L228"/>
  <c r="L239"/>
  <c r="L272"/>
  <c r="L228" i="2649"/>
  <c r="L243"/>
  <c r="L245" s="1"/>
  <c r="L267" s="1"/>
  <c r="F79" i="9"/>
  <c r="G79" s="1"/>
  <c r="H79" s="1"/>
  <c r="I79" s="1"/>
  <c r="L142" i="2650" l="1"/>
  <c r="L154" s="1"/>
  <c r="L209" s="1"/>
  <c r="L211" s="1"/>
  <c r="M142" i="2648"/>
  <c r="M154" s="1"/>
  <c r="M209" s="1"/>
  <c r="M211" s="1"/>
  <c r="M106" i="2649"/>
  <c r="L154"/>
  <c r="L209" s="1"/>
  <c r="L211" s="1"/>
  <c r="M106" i="2650"/>
  <c r="L260"/>
  <c r="L214"/>
  <c r="L215" s="1"/>
  <c r="L262" s="1"/>
  <c r="M106" i="2651"/>
  <c r="L154"/>
  <c r="L209" s="1"/>
  <c r="L211" s="1"/>
  <c r="L239" i="2652"/>
  <c r="L243"/>
  <c r="L245" s="1"/>
  <c r="L267" s="1"/>
  <c r="L228"/>
  <c r="L272"/>
  <c r="M260" i="2648"/>
  <c r="M214"/>
  <c r="M215" s="1"/>
  <c r="M262" s="1"/>
  <c r="L238" i="2649"/>
  <c r="L273" s="1"/>
  <c r="L238" i="2651"/>
  <c r="L240" s="1"/>
  <c r="L271" s="1"/>
  <c r="L239" i="2650"/>
  <c r="L243"/>
  <c r="L245" s="1"/>
  <c r="L267" s="1"/>
  <c r="L228"/>
  <c r="L272"/>
  <c r="L260" i="2652"/>
  <c r="L214"/>
  <c r="L215" s="1"/>
  <c r="L262" s="1"/>
  <c r="L142"/>
  <c r="L152"/>
  <c r="L207" s="1"/>
  <c r="L263" s="1"/>
  <c r="M243" i="2648"/>
  <c r="M245" s="1"/>
  <c r="M267" s="1"/>
  <c r="M228"/>
  <c r="C81" i="9"/>
  <c r="L238" i="2652" l="1"/>
  <c r="L240" s="1"/>
  <c r="L271" s="1"/>
  <c r="M238" i="2648"/>
  <c r="M273" s="1"/>
  <c r="L238" i="2650"/>
  <c r="M106" i="2652"/>
  <c r="L154"/>
  <c r="L209" s="1"/>
  <c r="L211" s="1"/>
  <c r="M133" i="2651"/>
  <c r="M153" s="1"/>
  <c r="M208" s="1"/>
  <c r="M124"/>
  <c r="M152" s="1"/>
  <c r="M207" s="1"/>
  <c r="M263" s="1"/>
  <c r="M151"/>
  <c r="M206" s="1"/>
  <c r="L240" i="2650"/>
  <c r="L271" s="1"/>
  <c r="M133"/>
  <c r="M153" s="1"/>
  <c r="M208" s="1"/>
  <c r="M124"/>
  <c r="M152" s="1"/>
  <c r="M207" s="1"/>
  <c r="M263" s="1"/>
  <c r="M151"/>
  <c r="M206" s="1"/>
  <c r="M124" i="2649"/>
  <c r="M152" s="1"/>
  <c r="M207" s="1"/>
  <c r="M263" s="1"/>
  <c r="M133"/>
  <c r="M153" s="1"/>
  <c r="M208" s="1"/>
  <c r="M151"/>
  <c r="M206" s="1"/>
  <c r="E25" i="49"/>
  <c r="E21"/>
  <c r="C34" i="9"/>
  <c r="F9" s="1"/>
  <c r="C25"/>
  <c r="C37"/>
  <c r="F8" s="1"/>
  <c r="C121"/>
  <c r="C8" s="1"/>
  <c r="C93"/>
  <c r="D8" s="1"/>
  <c r="H67" i="2649" s="1"/>
  <c r="C30" i="9"/>
  <c r="C118"/>
  <c r="C9" s="1"/>
  <c r="C90"/>
  <c r="D9" s="1"/>
  <c r="H68" i="2649" s="1"/>
  <c r="C109" i="9"/>
  <c r="C114"/>
  <c r="C86"/>
  <c r="M142" i="2649" l="1"/>
  <c r="M154" s="1"/>
  <c r="M209" s="1"/>
  <c r="M211" s="1"/>
  <c r="M142" i="2650"/>
  <c r="M154" s="1"/>
  <c r="M209" s="1"/>
  <c r="M243"/>
  <c r="M245" s="1"/>
  <c r="M267" s="1"/>
  <c r="M228"/>
  <c r="M239"/>
  <c r="M272"/>
  <c r="M260" i="2651"/>
  <c r="M214"/>
  <c r="M215" s="1"/>
  <c r="M262" s="1"/>
  <c r="M260" i="2649"/>
  <c r="M214"/>
  <c r="M215" s="1"/>
  <c r="M262" s="1"/>
  <c r="M228"/>
  <c r="M243"/>
  <c r="M245" s="1"/>
  <c r="M267" s="1"/>
  <c r="M260" i="2650"/>
  <c r="M211"/>
  <c r="M214"/>
  <c r="M215" s="1"/>
  <c r="M262" s="1"/>
  <c r="M142" i="2651"/>
  <c r="M154" s="1"/>
  <c r="M209" s="1"/>
  <c r="M211" s="1"/>
  <c r="M243"/>
  <c r="M245" s="1"/>
  <c r="M267" s="1"/>
  <c r="M228"/>
  <c r="M239"/>
  <c r="M272"/>
  <c r="M133" i="2652"/>
  <c r="M153" s="1"/>
  <c r="M208" s="1"/>
  <c r="M124"/>
  <c r="M151"/>
  <c r="M206" s="1"/>
  <c r="M67"/>
  <c r="H71"/>
  <c r="M68"/>
  <c r="H72"/>
  <c r="H331" s="1"/>
  <c r="H332" s="1"/>
  <c r="K71"/>
  <c r="I71"/>
  <c r="K67"/>
  <c r="I67"/>
  <c r="L71"/>
  <c r="J71"/>
  <c r="L67"/>
  <c r="J67"/>
  <c r="K72"/>
  <c r="K331" s="1"/>
  <c r="K332" s="1"/>
  <c r="I72"/>
  <c r="I331" s="1"/>
  <c r="I332" s="1"/>
  <c r="K68"/>
  <c r="I68"/>
  <c r="L72"/>
  <c r="L331" s="1"/>
  <c r="L332" s="1"/>
  <c r="J72"/>
  <c r="J331" s="1"/>
  <c r="J332" s="1"/>
  <c r="L68"/>
  <c r="J68"/>
  <c r="M67" i="2651"/>
  <c r="H71"/>
  <c r="M68"/>
  <c r="H72"/>
  <c r="H331" s="1"/>
  <c r="H332" s="1"/>
  <c r="K71"/>
  <c r="I71"/>
  <c r="K67"/>
  <c r="I67"/>
  <c r="L71"/>
  <c r="J71"/>
  <c r="L67"/>
  <c r="J67"/>
  <c r="K72"/>
  <c r="K331" s="1"/>
  <c r="K332" s="1"/>
  <c r="I72"/>
  <c r="I331" s="1"/>
  <c r="I332" s="1"/>
  <c r="K68"/>
  <c r="I68"/>
  <c r="L72"/>
  <c r="L331" s="1"/>
  <c r="L332" s="1"/>
  <c r="J72"/>
  <c r="J331" s="1"/>
  <c r="J332" s="1"/>
  <c r="L68"/>
  <c r="J68"/>
  <c r="H71" i="2650"/>
  <c r="M67"/>
  <c r="M71" i="2649"/>
  <c r="H72" i="2650"/>
  <c r="H331" s="1"/>
  <c r="H332" s="1"/>
  <c r="M68"/>
  <c r="M72" i="2649"/>
  <c r="M331" s="1"/>
  <c r="M332" s="1"/>
  <c r="H251"/>
  <c r="H269" s="1"/>
  <c r="H264"/>
  <c r="L71" i="2650"/>
  <c r="J71"/>
  <c r="L67"/>
  <c r="J67"/>
  <c r="K71"/>
  <c r="I71"/>
  <c r="K67"/>
  <c r="I67"/>
  <c r="L72"/>
  <c r="L331" s="1"/>
  <c r="L332" s="1"/>
  <c r="J72"/>
  <c r="J331" s="1"/>
  <c r="J332" s="1"/>
  <c r="L68"/>
  <c r="J68"/>
  <c r="K72"/>
  <c r="K331" s="1"/>
  <c r="K332" s="1"/>
  <c r="I72"/>
  <c r="I331" s="1"/>
  <c r="I332" s="1"/>
  <c r="K68"/>
  <c r="I68"/>
  <c r="H71" i="2649"/>
  <c r="M67"/>
  <c r="H72"/>
  <c r="H331" s="1"/>
  <c r="H332" s="1"/>
  <c r="M68"/>
  <c r="L71"/>
  <c r="J71"/>
  <c r="L67"/>
  <c r="J67"/>
  <c r="K71"/>
  <c r="I71"/>
  <c r="K67"/>
  <c r="I67"/>
  <c r="L72"/>
  <c r="L331" s="1"/>
  <c r="L332" s="1"/>
  <c r="J72"/>
  <c r="J331" s="1"/>
  <c r="J332" s="1"/>
  <c r="L68"/>
  <c r="J68"/>
  <c r="K72"/>
  <c r="K331" s="1"/>
  <c r="K332" s="1"/>
  <c r="I72"/>
  <c r="I331" s="1"/>
  <c r="I332" s="1"/>
  <c r="K68"/>
  <c r="I68"/>
  <c r="M67" i="2648"/>
  <c r="H71"/>
  <c r="M68"/>
  <c r="H72"/>
  <c r="H331" s="1"/>
  <c r="H332" s="1"/>
  <c r="K71"/>
  <c r="I71"/>
  <c r="K67"/>
  <c r="I67"/>
  <c r="L71"/>
  <c r="J71"/>
  <c r="L67"/>
  <c r="J67"/>
  <c r="K72"/>
  <c r="K331" s="1"/>
  <c r="K332" s="1"/>
  <c r="I72"/>
  <c r="I331" s="1"/>
  <c r="I332" s="1"/>
  <c r="K68"/>
  <c r="I68"/>
  <c r="L72"/>
  <c r="L331" s="1"/>
  <c r="L332" s="1"/>
  <c r="J72"/>
  <c r="J331" s="1"/>
  <c r="J332" s="1"/>
  <c r="L68"/>
  <c r="J68"/>
  <c r="E29" i="49"/>
  <c r="C115" i="9"/>
  <c r="C31"/>
  <c r="C87"/>
  <c r="C2" i="49"/>
  <c r="H274" i="2649" l="1"/>
  <c r="H275" s="1"/>
  <c r="H276" s="1"/>
  <c r="H277" s="1"/>
  <c r="M238"/>
  <c r="M273" s="1"/>
  <c r="M238" i="2651"/>
  <c r="M142" i="2652"/>
  <c r="M154" s="1"/>
  <c r="M209" s="1"/>
  <c r="M152"/>
  <c r="M207" s="1"/>
  <c r="M263" s="1"/>
  <c r="M214"/>
  <c r="M215" s="1"/>
  <c r="M262" s="1"/>
  <c r="M260"/>
  <c r="M239"/>
  <c r="M243"/>
  <c r="M245" s="1"/>
  <c r="M267" s="1"/>
  <c r="M228"/>
  <c r="M272"/>
  <c r="M238" i="2650"/>
  <c r="M240" s="1"/>
  <c r="M271" s="1"/>
  <c r="M240" i="2651"/>
  <c r="M271" s="1"/>
  <c r="J251" i="2652"/>
  <c r="J269" s="1"/>
  <c r="J264"/>
  <c r="I251"/>
  <c r="I269" s="1"/>
  <c r="I264"/>
  <c r="F333"/>
  <c r="L251"/>
  <c r="L269" s="1"/>
  <c r="L264"/>
  <c r="K251"/>
  <c r="K269" s="1"/>
  <c r="K264"/>
  <c r="M251"/>
  <c r="M269" s="1"/>
  <c r="J251" i="2651"/>
  <c r="J269" s="1"/>
  <c r="J264"/>
  <c r="I251"/>
  <c r="I269" s="1"/>
  <c r="I264"/>
  <c r="F333"/>
  <c r="L251"/>
  <c r="L269" s="1"/>
  <c r="L264"/>
  <c r="K251"/>
  <c r="K269" s="1"/>
  <c r="K264"/>
  <c r="M251"/>
  <c r="M269" s="1"/>
  <c r="M264"/>
  <c r="I251" i="2650"/>
  <c r="I269" s="1"/>
  <c r="I264"/>
  <c r="J251"/>
  <c r="J269" s="1"/>
  <c r="J264"/>
  <c r="H278" i="2649"/>
  <c r="H279" s="1"/>
  <c r="H284"/>
  <c r="H285" s="1"/>
  <c r="F333" i="2650"/>
  <c r="M251"/>
  <c r="M269" s="1"/>
  <c r="M264"/>
  <c r="K251"/>
  <c r="K269" s="1"/>
  <c r="K264"/>
  <c r="L251"/>
  <c r="L269" s="1"/>
  <c r="L264"/>
  <c r="I251" i="2649"/>
  <c r="I269" s="1"/>
  <c r="I264"/>
  <c r="J251"/>
  <c r="J269" s="1"/>
  <c r="J264"/>
  <c r="M251"/>
  <c r="M269" s="1"/>
  <c r="M264"/>
  <c r="K251"/>
  <c r="K269" s="1"/>
  <c r="K264"/>
  <c r="L251"/>
  <c r="L269" s="1"/>
  <c r="L264"/>
  <c r="F333"/>
  <c r="J251" i="2648"/>
  <c r="J269" s="1"/>
  <c r="J264"/>
  <c r="I251"/>
  <c r="I269" s="1"/>
  <c r="I264"/>
  <c r="F333"/>
  <c r="L251"/>
  <c r="L269" s="1"/>
  <c r="L264"/>
  <c r="K251"/>
  <c r="K269" s="1"/>
  <c r="K264"/>
  <c r="M251"/>
  <c r="M269" s="1"/>
  <c r="M264"/>
  <c r="M264" i="2652" l="1"/>
  <c r="M211"/>
  <c r="M238"/>
  <c r="M240" s="1"/>
  <c r="M271" s="1"/>
  <c r="M274" s="1"/>
  <c r="I274"/>
  <c r="J274"/>
  <c r="K274"/>
  <c r="L274"/>
  <c r="I274" i="2651"/>
  <c r="J274"/>
  <c r="M274"/>
  <c r="K274"/>
  <c r="L274"/>
  <c r="J274" i="2650"/>
  <c r="I274"/>
  <c r="L274"/>
  <c r="K274"/>
  <c r="M274"/>
  <c r="L274" i="2649"/>
  <c r="K274"/>
  <c r="M274"/>
  <c r="J274"/>
  <c r="I274"/>
  <c r="I274" i="2648"/>
  <c r="J274"/>
  <c r="M274"/>
  <c r="K274"/>
  <c r="L274"/>
  <c r="L275" i="2652" l="1"/>
  <c r="L276" s="1"/>
  <c r="L277" s="1"/>
  <c r="K275"/>
  <c r="K276" s="1"/>
  <c r="K277" s="1"/>
  <c r="M275"/>
  <c r="M276" s="1"/>
  <c r="M277" s="1"/>
  <c r="J275"/>
  <c r="J276" s="1"/>
  <c r="J277" s="1"/>
  <c r="I275"/>
  <c r="I276" s="1"/>
  <c r="I277" s="1"/>
  <c r="L275" i="2651"/>
  <c r="L276" s="1"/>
  <c r="L277" s="1"/>
  <c r="K275"/>
  <c r="K276" s="1"/>
  <c r="K277" s="1"/>
  <c r="M275"/>
  <c r="M276" s="1"/>
  <c r="M277" s="1"/>
  <c r="J275"/>
  <c r="J276" s="1"/>
  <c r="J277" s="1"/>
  <c r="I275"/>
  <c r="I276" s="1"/>
  <c r="I277" s="1"/>
  <c r="M275" i="2650"/>
  <c r="M276" s="1"/>
  <c r="M277" s="1"/>
  <c r="K275"/>
  <c r="K276" s="1"/>
  <c r="K277" s="1"/>
  <c r="L275"/>
  <c r="L276" s="1"/>
  <c r="L277" s="1"/>
  <c r="I275"/>
  <c r="I276" s="1"/>
  <c r="I277" s="1"/>
  <c r="J275"/>
  <c r="J276" s="1"/>
  <c r="J277" s="1"/>
  <c r="I275" i="2649"/>
  <c r="I276" s="1"/>
  <c r="I277" s="1"/>
  <c r="J275"/>
  <c r="J276" s="1"/>
  <c r="J277" s="1"/>
  <c r="M275"/>
  <c r="M276" s="1"/>
  <c r="M277" s="1"/>
  <c r="K275"/>
  <c r="K276" s="1"/>
  <c r="K277" s="1"/>
  <c r="L275"/>
  <c r="L276" s="1"/>
  <c r="L277" s="1"/>
  <c r="L275" i="2648"/>
  <c r="L276" s="1"/>
  <c r="L277" s="1"/>
  <c r="M275"/>
  <c r="M276" s="1"/>
  <c r="M277" s="1"/>
  <c r="J275"/>
  <c r="J276" s="1"/>
  <c r="J277" s="1"/>
  <c r="I275"/>
  <c r="I276" s="1"/>
  <c r="I277" s="1"/>
  <c r="K275"/>
  <c r="K276" s="1"/>
  <c r="K277" s="1"/>
  <c r="I284" i="2652" l="1"/>
  <c r="I285" s="1"/>
  <c r="I278"/>
  <c r="I279" s="1"/>
  <c r="J284"/>
  <c r="J285" s="1"/>
  <c r="J278"/>
  <c r="J279" s="1"/>
  <c r="M284"/>
  <c r="M285" s="1"/>
  <c r="M278"/>
  <c r="M279" s="1"/>
  <c r="K284"/>
  <c r="K285" s="1"/>
  <c r="K278"/>
  <c r="K279" s="1"/>
  <c r="L284"/>
  <c r="L285" s="1"/>
  <c r="L278"/>
  <c r="L279" s="1"/>
  <c r="I284" i="2651"/>
  <c r="I285" s="1"/>
  <c r="I278"/>
  <c r="I279" s="1"/>
  <c r="J284"/>
  <c r="J285" s="1"/>
  <c r="J278"/>
  <c r="J279" s="1"/>
  <c r="M284"/>
  <c r="M285" s="1"/>
  <c r="M278"/>
  <c r="M279" s="1"/>
  <c r="K284"/>
  <c r="K285" s="1"/>
  <c r="K278"/>
  <c r="K279" s="1"/>
  <c r="L284"/>
  <c r="L285" s="1"/>
  <c r="L278"/>
  <c r="L279" s="1"/>
  <c r="J284" i="2650"/>
  <c r="J285" s="1"/>
  <c r="J278"/>
  <c r="J279" s="1"/>
  <c r="I284"/>
  <c r="I285" s="1"/>
  <c r="I278"/>
  <c r="I279" s="1"/>
  <c r="L284"/>
  <c r="L285" s="1"/>
  <c r="L278"/>
  <c r="L279" s="1"/>
  <c r="K284"/>
  <c r="K285" s="1"/>
  <c r="K278"/>
  <c r="K279" s="1"/>
  <c r="M284"/>
  <c r="M285" s="1"/>
  <c r="M278"/>
  <c r="M279" s="1"/>
  <c r="L284" i="2649"/>
  <c r="L285" s="1"/>
  <c r="L278"/>
  <c r="L279" s="1"/>
  <c r="M284"/>
  <c r="M285" s="1"/>
  <c r="M278"/>
  <c r="M279" s="1"/>
  <c r="J284"/>
  <c r="J285" s="1"/>
  <c r="J278"/>
  <c r="J279" s="1"/>
  <c r="I284"/>
  <c r="I285" s="1"/>
  <c r="I278"/>
  <c r="I279" s="1"/>
  <c r="K284"/>
  <c r="K285" s="1"/>
  <c r="K278"/>
  <c r="K279" s="1"/>
  <c r="I284" i="2648"/>
  <c r="I285" s="1"/>
  <c r="I278"/>
  <c r="I279" s="1"/>
  <c r="J284"/>
  <c r="J285" s="1"/>
  <c r="J278"/>
  <c r="J279" s="1"/>
  <c r="M284"/>
  <c r="M285" s="1"/>
  <c r="M278"/>
  <c r="M279" s="1"/>
  <c r="L284"/>
  <c r="L285" s="1"/>
  <c r="L278"/>
  <c r="L279" s="1"/>
  <c r="K284"/>
  <c r="K285" s="1"/>
  <c r="K278"/>
  <c r="K279" s="1"/>
  <c r="D286" i="2652" l="1"/>
  <c r="E7" i="49" s="1"/>
  <c r="D286" i="2651"/>
  <c r="F7" i="49" s="1"/>
  <c r="D286" i="2650"/>
  <c r="G7" i="49" s="1"/>
  <c r="D286" i="2649"/>
  <c r="H7" i="49" s="1"/>
  <c r="D286" i="2648"/>
  <c r="I7" i="49" s="1"/>
  <c r="D295" i="2652" l="1"/>
  <c r="E337"/>
  <c r="E6" i="49" s="1"/>
  <c r="D295" i="2651"/>
  <c r="E337"/>
  <c r="F6" i="49" s="1"/>
  <c r="D295" i="2650"/>
  <c r="E337"/>
  <c r="G6" i="49" s="1"/>
  <c r="D295" i="2649"/>
  <c r="E337"/>
  <c r="H6" i="49" s="1"/>
  <c r="D295" i="2648"/>
  <c r="E337"/>
  <c r="I6" i="49" s="1"/>
  <c r="D301" i="2652" l="1"/>
  <c r="D301" i="2651"/>
  <c r="D301" i="2650"/>
  <c r="D301" i="2649"/>
  <c r="D301" i="2648"/>
  <c r="L302" i="2652" l="1"/>
  <c r="J302"/>
  <c r="H302"/>
  <c r="M302"/>
  <c r="K302"/>
  <c r="I302"/>
  <c r="L302" i="2651"/>
  <c r="J302"/>
  <c r="H302"/>
  <c r="M302"/>
  <c r="K302"/>
  <c r="I302"/>
  <c r="L302" i="2650"/>
  <c r="J302"/>
  <c r="H302"/>
  <c r="M302"/>
  <c r="K302"/>
  <c r="I302"/>
  <c r="L302" i="2649"/>
  <c r="J302"/>
  <c r="H302"/>
  <c r="M302"/>
  <c r="K302"/>
  <c r="I302"/>
  <c r="L302" i="2648"/>
  <c r="J302"/>
  <c r="H302"/>
  <c r="M302"/>
  <c r="K302"/>
  <c r="I302"/>
  <c r="I304" i="2652" l="1"/>
  <c r="I303"/>
  <c r="M304"/>
  <c r="M303"/>
  <c r="J304"/>
  <c r="J303"/>
  <c r="K304"/>
  <c r="K303"/>
  <c r="H304"/>
  <c r="H303"/>
  <c r="L304"/>
  <c r="L303"/>
  <c r="I304" i="2651"/>
  <c r="I303"/>
  <c r="M304"/>
  <c r="M303"/>
  <c r="J304"/>
  <c r="J303"/>
  <c r="K304"/>
  <c r="K303"/>
  <c r="H304"/>
  <c r="H303"/>
  <c r="L304"/>
  <c r="L303"/>
  <c r="I304" i="2650"/>
  <c r="I303"/>
  <c r="M304"/>
  <c r="M303"/>
  <c r="J304"/>
  <c r="J303"/>
  <c r="K304"/>
  <c r="K303"/>
  <c r="H304"/>
  <c r="H303"/>
  <c r="L304"/>
  <c r="L303"/>
  <c r="I304" i="2649"/>
  <c r="I303"/>
  <c r="M304"/>
  <c r="M303"/>
  <c r="J304"/>
  <c r="J303"/>
  <c r="K304"/>
  <c r="K303"/>
  <c r="H304"/>
  <c r="H303"/>
  <c r="L304"/>
  <c r="L303"/>
  <c r="I304" i="2648"/>
  <c r="I303"/>
  <c r="M304"/>
  <c r="M303"/>
  <c r="J304"/>
  <c r="J303"/>
  <c r="K304"/>
  <c r="K303"/>
  <c r="H304"/>
  <c r="H303"/>
  <c r="L304"/>
  <c r="L303"/>
  <c r="H340" i="2652" l="1"/>
  <c r="E8" i="49" s="1"/>
  <c r="E336" i="2652"/>
  <c r="E5" i="49" s="1"/>
  <c r="I340" i="2652"/>
  <c r="E9" i="49" s="1"/>
  <c r="D327" i="2652"/>
  <c r="D305"/>
  <c r="D306" s="1"/>
  <c r="H340" i="2651"/>
  <c r="F8" i="49" s="1"/>
  <c r="E336" i="2651"/>
  <c r="F5" i="49" s="1"/>
  <c r="I340" i="2651"/>
  <c r="F9" i="49" s="1"/>
  <c r="D327" i="2651"/>
  <c r="D305"/>
  <c r="D306" s="1"/>
  <c r="H340" i="2650"/>
  <c r="G8" i="49" s="1"/>
  <c r="E336" i="2650"/>
  <c r="G5" i="49" s="1"/>
  <c r="I340" i="2650"/>
  <c r="G9" i="49" s="1"/>
  <c r="D327" i="2650"/>
  <c r="D305"/>
  <c r="D306" s="1"/>
  <c r="H340" i="2649"/>
  <c r="H8" i="49" s="1"/>
  <c r="E336" i="2649"/>
  <c r="H5" i="49" s="1"/>
  <c r="I340" i="2649"/>
  <c r="H9" i="49" s="1"/>
  <c r="D327" i="2649"/>
  <c r="D305"/>
  <c r="D306" s="1"/>
  <c r="H340" i="2648"/>
  <c r="I8" i="49" s="1"/>
  <c r="E336" i="2648"/>
  <c r="I5" i="49" s="1"/>
  <c r="I340" i="2648"/>
  <c r="I9" i="49" s="1"/>
  <c r="D327" i="2648"/>
  <c r="D305"/>
  <c r="D306" s="1"/>
  <c r="D328" i="2649" l="1"/>
  <c r="H4" i="49" s="1"/>
  <c r="H12"/>
  <c r="D328" i="2648"/>
  <c r="I4" i="49" s="1"/>
  <c r="I12"/>
  <c r="D328" i="2650"/>
  <c r="G4" i="49" s="1"/>
  <c r="G12"/>
  <c r="D328" i="2652"/>
  <c r="E4" i="49" s="1"/>
  <c r="B8" i="2188" s="1"/>
  <c r="E12" i="49"/>
  <c r="D328" i="2651"/>
  <c r="F4" i="49" s="1"/>
  <c r="F12"/>
  <c r="A25" i="4" l="1"/>
  <c r="H16" i="49" l="1"/>
  <c r="D8" i="2188"/>
  <c r="G16" i="49"/>
  <c r="E8" i="2188" l="1"/>
  <c r="I16" i="49"/>
  <c r="C8" i="2188"/>
  <c r="F16" i="49"/>
  <c r="E16" l="1"/>
  <c r="F8" i="2188"/>
  <c r="E26" i="49"/>
  <c r="E27" s="1"/>
  <c r="E22" l="1"/>
  <c r="E23" s="1"/>
  <c r="E30"/>
  <c r="E31" s="1"/>
  <c r="C14" i="2188"/>
  <c r="E14"/>
  <c r="C18" l="1"/>
  <c r="C16"/>
  <c r="B14"/>
  <c r="D14"/>
  <c r="E18" l="1"/>
  <c r="F14"/>
  <c r="F18" s="1"/>
  <c r="C21"/>
  <c r="E16"/>
  <c r="D18"/>
  <c r="D16"/>
  <c r="B16"/>
  <c r="B18"/>
  <c r="F16" l="1"/>
  <c r="F21" s="1"/>
  <c r="E21"/>
  <c r="D21"/>
  <c r="B21"/>
</calcChain>
</file>

<file path=xl/comments1.xml><?xml version="1.0" encoding="utf-8"?>
<comments xmlns="http://schemas.openxmlformats.org/spreadsheetml/2006/main">
  <authors>
    <author>Paul Ware</author>
  </authors>
  <commentList>
    <comment ref="G53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This zero value is a place-filler for a data item that is not in fact used. Whatever value is placed in this cell will get multiplied by zero and therefore have no effect.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This zero value is a place-filler for a data item that is not in fact used. Whatever value is placed in this cell will get multiplied by zero and therefore have no effect.</t>
        </r>
      </text>
    </comment>
  </commentList>
</comments>
</file>

<file path=xl/comments2.xml><?xml version="1.0" encoding="utf-8"?>
<comments xmlns="http://schemas.openxmlformats.org/spreadsheetml/2006/main">
  <authors>
    <author>Paul Ware</author>
  </authors>
  <commentList>
    <comment ref="F93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Forecast of disposed assets set to ni.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The first assessment period is the 15 month period commencing 1 July 1013 for all suppliers except MDL. For MDL the first assessment period is the 12 month period commencing 1 July 2013.</t>
        </r>
      </text>
    </comment>
  </commentList>
</comments>
</file>

<file path=xl/comments3.xml><?xml version="1.0" encoding="utf-8"?>
<comments xmlns="http://schemas.openxmlformats.org/spreadsheetml/2006/main">
  <authors>
    <author>Paul Ware</author>
  </authors>
  <commentList>
    <comment ref="F93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Forecast of disposed assets set to ni.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The first assessment period is the 15 month period commencing 1 July 1013 for all suppliers except MDL. For MDL the first assessment period is the 12 month period commencing 1 July 2013.</t>
        </r>
      </text>
    </comment>
  </commentList>
</comments>
</file>

<file path=xl/comments4.xml><?xml version="1.0" encoding="utf-8"?>
<comments xmlns="http://schemas.openxmlformats.org/spreadsheetml/2006/main">
  <authors>
    <author>Paul Ware</author>
  </authors>
  <commentList>
    <comment ref="F93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Forecast of disposed assets set to ni.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The first assessment period is the 15 month period commencing 1 July 1013 for all suppliers except MDL. For MDL the first assessment period is the 12 month period commencing 1 July 2013.</t>
        </r>
      </text>
    </comment>
  </commentList>
</comments>
</file>

<file path=xl/comments5.xml><?xml version="1.0" encoding="utf-8"?>
<comments xmlns="http://schemas.openxmlformats.org/spreadsheetml/2006/main">
  <authors>
    <author>Paul Ware</author>
  </authors>
  <commentList>
    <comment ref="F93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Forecast of disposed assets set to ni.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The first assessment period is the 15 month period commencing 1 July 1013 for all suppliers except MDL. For MDL the first assessment period is the 12 month period commencing 1 July 2013.</t>
        </r>
      </text>
    </comment>
  </commentList>
</comments>
</file>

<file path=xl/comments6.xml><?xml version="1.0" encoding="utf-8"?>
<comments xmlns="http://schemas.openxmlformats.org/spreadsheetml/2006/main">
  <authors>
    <author>Paul Ware</author>
  </authors>
  <commentList>
    <comment ref="F93" authorId="0">
      <text>
        <r>
          <rPr>
            <b/>
            <sz val="8"/>
            <color indexed="81"/>
            <rFont val="Tahoma"/>
            <family val="2"/>
          </rPr>
          <t>Paul Ware:</t>
        </r>
        <r>
          <rPr>
            <sz val="8"/>
            <color indexed="81"/>
            <rFont val="Tahoma"/>
            <family val="2"/>
          </rPr>
          <t xml:space="preserve">
Forecast of disposed assets set to ni.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>Paul Ware:</t>
        </r>
        <r>
          <rPr>
            <sz val="9"/>
            <color indexed="81"/>
            <rFont val="Tahoma"/>
            <family val="2"/>
          </rPr>
          <t xml:space="preserve">
The first assessment period is the 15 month period commencing 1 July 1013 for all suppliers except MDL. For MDL the first assessment period is the 12 month period commencing 1 July 2013.</t>
        </r>
      </text>
    </comment>
  </commentList>
</comments>
</file>

<file path=xl/sharedStrings.xml><?xml version="1.0" encoding="utf-8"?>
<sst xmlns="http://schemas.openxmlformats.org/spreadsheetml/2006/main" count="1924" uniqueCount="486">
  <si>
    <t>Purpose</t>
  </si>
  <si>
    <t>Description</t>
  </si>
  <si>
    <t>Inputs Anchor</t>
  </si>
  <si>
    <t>Inputs</t>
  </si>
  <si>
    <t>Calculations</t>
  </si>
  <si>
    <t>Time series data only in these columns</t>
  </si>
  <si>
    <t>Versions</t>
  </si>
  <si>
    <t>Names Anchor</t>
  </si>
  <si>
    <t>Non business-specific single inputs</t>
  </si>
  <si>
    <t>Notes</t>
  </si>
  <si>
    <t>Vanilla WACC (75th Percentile)</t>
  </si>
  <si>
    <t>Cost of Debt</t>
  </si>
  <si>
    <t>Leverage</t>
  </si>
  <si>
    <t>Pass-through costs</t>
  </si>
  <si>
    <t>Recoverable costs</t>
  </si>
  <si>
    <t>Operating Expenditure</t>
  </si>
  <si>
    <t>RAB of disposed assets</t>
  </si>
  <si>
    <t>Tax Depreciation</t>
  </si>
  <si>
    <t>Base year</t>
  </si>
  <si>
    <t>Misc</t>
  </si>
  <si>
    <t>Tax rate</t>
  </si>
  <si>
    <t>Remaining asset life of existing assets</t>
  </si>
  <si>
    <t>Commissioned Assets</t>
  </si>
  <si>
    <t>Disposed assets</t>
  </si>
  <si>
    <t>Revaluation of existing assets</t>
  </si>
  <si>
    <t>Depreciation of existing assets</t>
  </si>
  <si>
    <t>Closing RAB value of existing assets</t>
  </si>
  <si>
    <t>Revaluation</t>
  </si>
  <si>
    <t>Adjusted depreciation</t>
  </si>
  <si>
    <t>Regulatory Tax Asset Value</t>
  </si>
  <si>
    <t>Amortisation of Initial Differences in Asset Values</t>
  </si>
  <si>
    <t>Deductions for regulatory tax purposes</t>
  </si>
  <si>
    <t>Notional Deductible Interest</t>
  </si>
  <si>
    <t>Amortisation of Revaluations</t>
  </si>
  <si>
    <t>Regulatory tax adjustments</t>
  </si>
  <si>
    <t>PV of total costs to recover</t>
  </si>
  <si>
    <t>Remaining life of newly commissioned assets</t>
  </si>
  <si>
    <t>years</t>
  </si>
  <si>
    <t>data</t>
  </si>
  <si>
    <t>Misc.</t>
  </si>
  <si>
    <t>Base yr</t>
  </si>
  <si>
    <t>Year sequence number</t>
  </si>
  <si>
    <t>Closing RAB value of existing assets, adjusted deprec'n</t>
  </si>
  <si>
    <t>Total adjusted depreciation of commissioned assets</t>
  </si>
  <si>
    <t>Adjusted depn of existing assets</t>
  </si>
  <si>
    <t>Opening RAB value of existing assets, adjusted depn</t>
  </si>
  <si>
    <t>Totals of asset values, depreciation etc</t>
  </si>
  <si>
    <t>Total opening RAB of comm assets, adjusted depn</t>
  </si>
  <si>
    <t>Total closing RAB of comm assets, adjusted depn</t>
  </si>
  <si>
    <t>Depreciation of commissioned assets</t>
  </si>
  <si>
    <r>
      <t>TF</t>
    </r>
    <r>
      <rPr>
        <vertAlign val="subscript"/>
        <sz val="11"/>
        <color theme="1"/>
        <rFont val="Calibri"/>
        <family val="2"/>
        <scheme val="minor"/>
      </rPr>
      <t>rev</t>
    </r>
  </si>
  <si>
    <t>Revenue date</t>
  </si>
  <si>
    <t>Mid-year date</t>
  </si>
  <si>
    <t>of revenues, opex, commissioning of assets, interest and tax payments.</t>
  </si>
  <si>
    <t>This sheet contains inputs and calculations relating to an analysis that allows general timings to be adopted, i.e. inputs for the timing</t>
  </si>
  <si>
    <t>Intra-year timing</t>
  </si>
  <si>
    <t>Term Credit Spread Differential Allowance</t>
  </si>
  <si>
    <t>Present value of indexed revenues</t>
  </si>
  <si>
    <t>Indexed amount of revenue</t>
  </si>
  <si>
    <t>Dec</t>
  </si>
  <si>
    <t>Mar</t>
  </si>
  <si>
    <t>Jun</t>
  </si>
  <si>
    <t>Sep</t>
  </si>
  <si>
    <t>Links to sheets for individual businesses, and short names for regulated businesses</t>
  </si>
  <si>
    <t>Business-specific data</t>
  </si>
  <si>
    <t>Value of commissioned assets</t>
  </si>
  <si>
    <t>PV of the equivalent single amount</t>
  </si>
  <si>
    <t>Dates of receipt of revenues</t>
  </si>
  <si>
    <t>PV of BBAR before tax over the PV period</t>
  </si>
  <si>
    <t>Present value of indexed revenues for each year</t>
  </si>
  <si>
    <t>CPI minus X revenues for industry-wide X</t>
  </si>
  <si>
    <t>Calculation of present value of total costs over the present value period</t>
  </si>
  <si>
    <t>Opening investment value</t>
  </si>
  <si>
    <t>Return of capital</t>
  </si>
  <si>
    <t>Supplier Number</t>
  </si>
  <si>
    <t>Opening RAB value of existing assets</t>
  </si>
  <si>
    <t>TCSD Allowance</t>
  </si>
  <si>
    <t>This workbook performs many of the calculations required to determine the allowed prices and revenues</t>
  </si>
  <si>
    <t>(value of commissioned assets), and constant price revenue growth (effectively a measure of the growth in</t>
  </si>
  <si>
    <t>Gas Distribution and Transmission businesses</t>
  </si>
  <si>
    <t>quantities of service supplied). The projections are inputs to this workbook.</t>
  </si>
  <si>
    <t>ignored by reviewers and users. It is for development purposes only.</t>
  </si>
  <si>
    <t>Equivalent single cash flow</t>
  </si>
  <si>
    <t>Almost all inputs to this workbook are in the 'Inputs' sheet. The sheet 'IntraYr' contains the intra-year timing</t>
  </si>
  <si>
    <r>
      <t>i.e. equivalent to 12 monthly transactions at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following month, as demonstrated below</t>
    </r>
  </si>
  <si>
    <t>Other regulated income</t>
  </si>
  <si>
    <t>Depreciation temp diff for deferred tax</t>
  </si>
  <si>
    <t>Closing regulatory tax asset value</t>
  </si>
  <si>
    <t>Depreciation Temporary differences</t>
  </si>
  <si>
    <t>Revaluation rate</t>
  </si>
  <si>
    <t>The allowed revenues set out in this line and the present</t>
  </si>
  <si>
    <t>Error check for PV equivalence (should = 0)</t>
  </si>
  <si>
    <t>value of these revenues as calculated in the next 3 lines</t>
  </si>
  <si>
    <t>the building blocks costs and the allowable revenues.</t>
  </si>
  <si>
    <t>BBAR before tax in year-end terms, i.e. Rev * TfFrev</t>
  </si>
  <si>
    <t>PV of BBAR before tax for each year</t>
  </si>
  <si>
    <t>Real price adjustment for industry-wide X</t>
  </si>
  <si>
    <t>AR before tax in year-end terms in each year</t>
  </si>
  <si>
    <t>AR before tax in revenue-date terms in each year</t>
  </si>
  <si>
    <t>PV of AR before tax for each year</t>
  </si>
  <si>
    <t>PV of AR before tax over PV period</t>
  </si>
  <si>
    <t>AR before tax in first year of the PV period</t>
  </si>
  <si>
    <t>Indexed allowed revenue before tax</t>
  </si>
  <si>
    <t>This model calculates the allowed revenues for regulated businesses under Part 4 of the Commerce Act 1986.</t>
  </si>
  <si>
    <t>Opening RAB of commissioned assets</t>
  </si>
  <si>
    <t>Revaluation of commissioned assets</t>
  </si>
  <si>
    <t>Closing RAB of commissioned assets</t>
  </si>
  <si>
    <t>Opening Deferred Tax</t>
  </si>
  <si>
    <t>Closing Deferred Tax</t>
  </si>
  <si>
    <t>Total depreciation</t>
  </si>
  <si>
    <t>Total revaluation</t>
  </si>
  <si>
    <t>Aggregagte opening RAB value</t>
  </si>
  <si>
    <t>Aggregate closing RAB value</t>
  </si>
  <si>
    <t>Aggregate value of commissioned assets</t>
  </si>
  <si>
    <t>Nominal growth rate in disposed assets</t>
  </si>
  <si>
    <t>Asset base scaling factor</t>
  </si>
  <si>
    <t>Aggregate value of disposed assets</t>
  </si>
  <si>
    <t>Total Depreciation</t>
  </si>
  <si>
    <t>Regulatory tax allowance</t>
  </si>
  <si>
    <t>Nominal growth rate in other income</t>
  </si>
  <si>
    <t>not its scale. The calculations in this and the two adjacent lines achieve</t>
  </si>
  <si>
    <t>the present value equivalence of Spec 3.2.3 without goal-seeking.</t>
  </si>
  <si>
    <t>Opening regulatory tax asset value</t>
  </si>
  <si>
    <t>Industry-wide X factor</t>
  </si>
  <si>
    <t>Building Block Allowable Revenue before tax (BBAR before tax), deferred tax approach</t>
  </si>
  <si>
    <t>BBAR before tax in revenue date terms, calculaton not referencing tax</t>
  </si>
  <si>
    <t>BBAR before tax in year-end terms, direct simple calculaton</t>
  </si>
  <si>
    <t>BBAR before tax in revenue date terms</t>
  </si>
  <si>
    <t>Difference between the two BBAR calculations (should = 0)</t>
  </si>
  <si>
    <t>Present value of the Building Block Allowable Revenue before tax</t>
  </si>
  <si>
    <t>Building Block Allowable Revenue before tax (BBAR before tax), tax payable approach</t>
  </si>
  <si>
    <t>None of the material below this line is required for the operation of this workbook, and should be</t>
  </si>
  <si>
    <t>Monthly cash flows</t>
  </si>
  <si>
    <t>Regulatory tax allowance before considering possibility of tax losses</t>
  </si>
  <si>
    <t>Check value that closing value is as expected. Should = 0</t>
  </si>
  <si>
    <t>Operating expenditure</t>
  </si>
  <si>
    <t>Operating expenditure allowance</t>
  </si>
  <si>
    <t>are a check on the correctness of the PV equivalence between</t>
  </si>
  <si>
    <t>CPI changes based on information available October 2009</t>
  </si>
  <si>
    <t>CPI data</t>
  </si>
  <si>
    <t>2009/10</t>
  </si>
  <si>
    <t>2010/11</t>
  </si>
  <si>
    <t>2011/12</t>
  </si>
  <si>
    <t>2012/13</t>
  </si>
  <si>
    <t>2013/14</t>
  </si>
  <si>
    <t>2014/15</t>
  </si>
  <si>
    <t>CPI and corporate tax rate</t>
  </si>
  <si>
    <t>Price adjustment (%, industry-wide X)</t>
  </si>
  <si>
    <t>Commission Opex projections</t>
  </si>
  <si>
    <t>Return on capital</t>
  </si>
  <si>
    <t>Constant price revenue growth</t>
  </si>
  <si>
    <t>PV of AR before tax for 2013/14 and 2014/15</t>
  </si>
  <si>
    <t>Price adjustment, allowed rev basis, 2013/14</t>
  </si>
  <si>
    <t>GasNet</t>
  </si>
  <si>
    <t>Maui</t>
  </si>
  <si>
    <t>Powerco</t>
  </si>
  <si>
    <t>Vector_Dist</t>
  </si>
  <si>
    <t>Vector_Trans</t>
  </si>
  <si>
    <t>Revenue through Prices</t>
  </si>
  <si>
    <t>2015/16</t>
  </si>
  <si>
    <t>2016/17</t>
  </si>
  <si>
    <t>2017/18</t>
  </si>
  <si>
    <t>Opening RAB 2010/11</t>
  </si>
  <si>
    <t>Opening RAB 2009/10</t>
  </si>
  <si>
    <t>Opening regulatory tax asset value 2010/11</t>
  </si>
  <si>
    <t>Opening regulatory tax asset value 2009/10</t>
  </si>
  <si>
    <t>Average DV rate 2010/11</t>
  </si>
  <si>
    <t>Tax Depreciation 2009/10</t>
  </si>
  <si>
    <t>Weighted Average Remaining Life at year-end 2009/10</t>
  </si>
  <si>
    <t>.</t>
  </si>
  <si>
    <t>Number of months of each building blocks year within the present value period</t>
  </si>
  <si>
    <t>Number of months of each allowed revenue year within the present value period</t>
  </si>
  <si>
    <t>to the regulatory period)</t>
  </si>
  <si>
    <t>Intra-year timing factors for a 12 month period</t>
  </si>
  <si>
    <t>Period-end date</t>
  </si>
  <si>
    <t>Period-start date</t>
  </si>
  <si>
    <t>Days in a period</t>
  </si>
  <si>
    <t>Days from revenue date to end of period</t>
  </si>
  <si>
    <r>
      <t>Timing factor TF</t>
    </r>
    <r>
      <rPr>
        <vertAlign val="subscript"/>
        <sz val="11"/>
        <color theme="1"/>
        <rFont val="Calibri"/>
        <family val="2"/>
        <scheme val="minor"/>
      </rPr>
      <t>rev</t>
    </r>
  </si>
  <si>
    <r>
      <t>Timing factor Tf</t>
    </r>
    <r>
      <rPr>
        <vertAlign val="subscript"/>
        <sz val="11"/>
        <color theme="1"/>
        <rFont val="Calibri"/>
        <family val="2"/>
        <scheme val="minor"/>
      </rPr>
      <t>mid</t>
    </r>
  </si>
  <si>
    <t>Days from mid-period date to end of period</t>
  </si>
  <si>
    <t>Intra-year timing factors for a 3 month period</t>
  </si>
  <si>
    <t>receiving 3 equal revenue amounts on the 20th of the month following the provision of service.</t>
  </si>
  <si>
    <t>Summary of timing factors</t>
  </si>
  <si>
    <r>
      <t>Tf</t>
    </r>
    <r>
      <rPr>
        <vertAlign val="subscript"/>
        <sz val="12"/>
        <color theme="1"/>
        <rFont val="Calibri"/>
        <family val="2"/>
        <scheme val="minor"/>
      </rPr>
      <t>mid</t>
    </r>
  </si>
  <si>
    <r>
      <t>Tf</t>
    </r>
    <r>
      <rPr>
        <vertAlign val="subscript"/>
        <sz val="12"/>
        <color theme="1"/>
        <rFont val="Calibri"/>
        <family val="2"/>
        <scheme val="minor"/>
      </rPr>
      <t>rev</t>
    </r>
  </si>
  <si>
    <t>3 month period</t>
  </si>
  <si>
    <t>12 month period</t>
  </si>
  <si>
    <t>Business-specific inputs</t>
  </si>
  <si>
    <r>
      <t>TF</t>
    </r>
    <r>
      <rPr>
        <vertAlign val="subscript"/>
        <sz val="11"/>
        <color theme="1"/>
        <rFont val="Calibri"/>
        <family val="2"/>
        <scheme val="minor"/>
      </rPr>
      <t>mid</t>
    </r>
  </si>
  <si>
    <t>Building blocks timing factors</t>
  </si>
  <si>
    <t>Allowed revenue timing factors</t>
  </si>
  <si>
    <r>
      <t>i.e. equivalent to 3 monthly transactions at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following month, as demonstrated below</t>
    </r>
  </si>
  <si>
    <t>Proportion of building blocks year that is in PV period</t>
  </si>
  <si>
    <t>Timings to which columns relate</t>
  </si>
  <si>
    <t>Periods covered by allowed revenue calculations</t>
  </si>
  <si>
    <t>Existing assets: RAB, revaluation &amp; depreciation</t>
  </si>
  <si>
    <t>Commissioned assets: RAB, revaluation &amp; depreciation</t>
  </si>
  <si>
    <t>Commissioned assets: Adjusted Depn &amp; RAB</t>
  </si>
  <si>
    <t>Existing assets: Adjusted depreciation &amp; RAB</t>
  </si>
  <si>
    <t>CPI adjustment</t>
  </si>
  <si>
    <t>Allowed rev with reset in 2013/14, rev date</t>
  </si>
  <si>
    <t>Allowed 2013/14 rev, no reset, rev date terms</t>
  </si>
  <si>
    <t>Proportion of the Allowed Revenue year that is in the PV period</t>
  </si>
  <si>
    <t>September</t>
  </si>
  <si>
    <t>Input data selections where data selection is GPB dependent</t>
  </si>
  <si>
    <t>Number of years to discount the year-end  values to 30 June 2013</t>
  </si>
  <si>
    <t>Number of years to discount allowed revenues to 30 June 2013</t>
  </si>
  <si>
    <t>Information &amp; building blocks year-end</t>
  </si>
  <si>
    <t>Pricing &amp; allowed revenue year-end</t>
  </si>
  <si>
    <t>Full years covered by building block calculations</t>
  </si>
  <si>
    <t>Year number (used only for the INDEX function, base year number = 1)</t>
  </si>
  <si>
    <r>
      <t xml:space="preserve">Year of the </t>
    </r>
    <r>
      <rPr>
        <i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of the period</t>
    </r>
  </si>
  <si>
    <r>
      <t xml:space="preserve">Timing Factors and part-year periods   </t>
    </r>
    <r>
      <rPr>
        <b/>
        <sz val="13.6"/>
        <color theme="1"/>
        <rFont val="Calibri"/>
        <family val="2"/>
      </rPr>
      <t xml:space="preserve">–   </t>
    </r>
    <r>
      <rPr>
        <b/>
        <sz val="16"/>
        <color theme="1"/>
        <rFont val="Calibri"/>
        <family val="2"/>
        <scheme val="minor"/>
      </rPr>
      <t xml:space="preserve">   </t>
    </r>
  </si>
  <si>
    <t>Increase in deferred tax asset, ΔDT</t>
  </si>
  <si>
    <t>Deferred Tax</t>
  </si>
  <si>
    <t>This row not used</t>
  </si>
  <si>
    <t>9 month period</t>
  </si>
  <si>
    <t>Intra-year timing factors for a 9 month period</t>
  </si>
  <si>
    <r>
      <t>i.e. equivalent to 9 monthly transactions at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following month, as demonstrated below</t>
    </r>
  </si>
  <si>
    <t>First month of the PV period in 2013</t>
  </si>
  <si>
    <t>Last month of the PV period in 2017</t>
  </si>
  <si>
    <t>Part years and full building blocks years within the present value period</t>
  </si>
  <si>
    <t>Part years and full allowable revenue years within the present value period</t>
  </si>
  <si>
    <t>Asset schedules</t>
  </si>
  <si>
    <t>Building Blocks Cost Components (other than tax)</t>
  </si>
  <si>
    <t>Tax Building Blocks Cost Components</t>
  </si>
  <si>
    <t>July</t>
  </si>
  <si>
    <t>Intra-year timing factors for a 6 month period</t>
  </si>
  <si>
    <r>
      <t>i.e. equivalent to 6 monthly transactions at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following month, as demonstrated below</t>
    </r>
  </si>
  <si>
    <t>6 month period</t>
  </si>
  <si>
    <t>receiving 12 equal revenue amounts on the 20th of the month following the provision of service.</t>
  </si>
  <si>
    <t>Current price path and calculation of adjustment percentage</t>
  </si>
  <si>
    <t>The column headings used throughout this model to indicate the year to which data relates are the headings in this row.</t>
  </si>
  <si>
    <t>Part-years and whole years used to determine PV(building blocks costs)</t>
  </si>
  <si>
    <t>Part-years and whole years used to determine the default price path</t>
  </si>
  <si>
    <t>Current price path net revenue, rev date terms, allowable rev year-end</t>
  </si>
  <si>
    <t>Total months (should = 51 for a 1 July 2013 start</t>
  </si>
  <si>
    <t>Depreciation temp difference for deferred tax</t>
  </si>
  <si>
    <t>Depreciation temp difference for tax payable</t>
  </si>
  <si>
    <t>Disposed assets 2009/10</t>
  </si>
  <si>
    <t>Whole years used to calculate building blocks costs</t>
  </si>
  <si>
    <t>Change in CPI, 2 index</t>
  </si>
  <si>
    <t>Corporate tax rate</t>
  </si>
  <si>
    <t>Depreciation</t>
  </si>
  <si>
    <t>Notional deductible interest</t>
  </si>
  <si>
    <t xml:space="preserve"> </t>
  </si>
  <si>
    <t>Actual CPI, ex Statistics NZ</t>
  </si>
  <si>
    <t>Policy Targets Agreement CPI inflation outcomes midpoint</t>
  </si>
  <si>
    <t>CPI inflation outcome annual decrement</t>
  </si>
  <si>
    <t>The values in the next 9 rows are for a part-year or whole year, which ever is applicable.</t>
  </si>
  <si>
    <t>The values in the next 10 rows are for a part-year when a whole year does not apply.</t>
  </si>
  <si>
    <t>Change in CPI, 2 index, June year-end, no lag</t>
  </si>
  <si>
    <t>Change in CPI, 2 index, December year-end, no lag</t>
  </si>
  <si>
    <t>PV of costs over the PV period</t>
  </si>
  <si>
    <t>Building block years end December for MDL, June for all other GPBs. Present value period is 1 July 2013 to 30 Sept 2017.</t>
  </si>
  <si>
    <t>Allowed revenue years end June for MDL, September for all other GPBs. Present value period is 1 July 2013 to 30 Sept 2017.</t>
  </si>
  <si>
    <t>receiving 9 equal revenue amounts on the 20th of the month following the provision of service.</t>
  </si>
  <si>
    <t>Calculation that a 20 June receipt date for all revenues earned in a 9 month period ending 30 September is equivalent to</t>
  </si>
  <si>
    <t>receiving 6 equal revenue amounts on the 20th of the month following the provision of service.</t>
  </si>
  <si>
    <t>PV as at 1 July 2012 of the series of unit amounts</t>
  </si>
  <si>
    <t>Commerce Commission projections</t>
  </si>
  <si>
    <t>GasNet_CC</t>
  </si>
  <si>
    <r>
      <t>WACC for the year or part-year, ie WACC</t>
    </r>
    <r>
      <rPr>
        <vertAlign val="subscript"/>
        <sz val="11"/>
        <color theme="1"/>
        <rFont val="Calibri"/>
        <family val="2"/>
        <scheme val="minor"/>
      </rPr>
      <t>p</t>
    </r>
  </si>
  <si>
    <t>Additional allowance re CPP costs</t>
  </si>
  <si>
    <t>Results</t>
  </si>
  <si>
    <t>Financial Model - Gas Pipeline Businesses</t>
  </si>
  <si>
    <t>It does this for gas distribution businesses and gas transmission businesses.</t>
  </si>
  <si>
    <t xml:space="preserve">assumptions, along with the calculation of the timing factors. There is a CPI sheet, and this has its own inputs. </t>
  </si>
  <si>
    <t>CPI (historical and forecast)</t>
  </si>
  <si>
    <t>Should = 0</t>
  </si>
  <si>
    <t>Calculations required for charts</t>
  </si>
  <si>
    <t>Currency</t>
  </si>
  <si>
    <t>$</t>
  </si>
  <si>
    <t>Units</t>
  </si>
  <si>
    <t>m</t>
  </si>
  <si>
    <t>Label</t>
  </si>
  <si>
    <t>Revenue changes</t>
  </si>
  <si>
    <t>Estimated adjustment to revenues over the regulatory period</t>
  </si>
  <si>
    <t>Sign</t>
  </si>
  <si>
    <t>Absolute rounded</t>
  </si>
  <si>
    <t>Supplier name</t>
  </si>
  <si>
    <t>Expected Revenues in the first assessment period</t>
  </si>
  <si>
    <t>Values for charts in Draft Decision Reasons Paper</t>
  </si>
  <si>
    <t>Difference between forecast revenue and forecast costs (1 July 2013 to 30 September 2017)</t>
  </si>
  <si>
    <t>Present value of the current price path revenue (for each year)</t>
  </si>
  <si>
    <t>Present value of the current price path revenue (total)</t>
  </si>
  <si>
    <t>Forecast revenues (current price path) less forecast costs</t>
  </si>
  <si>
    <t>Calculation that a 4 November receipt date for all revenues earned in a 6 month period ending 31 December is equivalent to</t>
  </si>
  <si>
    <t>Calculation that a 20 September receipt date for all revenues earned in a 3 month period ending 30 September is equivalent to</t>
  </si>
  <si>
    <t>Calculation that a 2 February receipt date for all revenues earned in a 12 month period ending 30 June is equivalent to</t>
  </si>
  <si>
    <t>PV as at 1 Jan 2017 of the series of unit amounts</t>
  </si>
  <si>
    <t>PV as at 1 July 2013 of the series of unit amounts</t>
  </si>
  <si>
    <t>PV as at 1 July 2017 of the series of unit amounts</t>
  </si>
  <si>
    <t>These calculations equally apply to the 3 month period of July, August and September 2013.</t>
  </si>
  <si>
    <t>Revenues for current price path during the PV period, revenue date terms</t>
  </si>
  <si>
    <t>Revenues for current price path during the PV period, period-end terms</t>
  </si>
  <si>
    <t>ΔCPI</t>
  </si>
  <si>
    <t>Values for compliance formulas</t>
  </si>
  <si>
    <t>Full-year equivalent allowable revenue, revenue date terms</t>
  </si>
  <si>
    <t>Delta D</t>
  </si>
  <si>
    <t>Values for compliance formulas:</t>
  </si>
  <si>
    <t>Maximum allowable revenue in first year or part-year (annualised)</t>
  </si>
  <si>
    <t>Allowable revenue in pricing year ending 2013</t>
  </si>
  <si>
    <t>Allowable revenue in pricing year ending 2014</t>
  </si>
  <si>
    <t>Opening RAB</t>
  </si>
  <si>
    <t>Industry-wide adjustments</t>
  </si>
  <si>
    <t>No reset 2013/14 revenue, total for GDBs</t>
  </si>
  <si>
    <t>With reset 2013/14 revenue, total for GDBs</t>
  </si>
  <si>
    <t>Adjustment for GDBs</t>
  </si>
  <si>
    <t>No reset 2013/14 revenue, total for GTBs</t>
  </si>
  <si>
    <t>With reset 2013/14 revenue, total for GTBs</t>
  </si>
  <si>
    <t>Adjustment for GTBs</t>
  </si>
  <si>
    <t>No reset 2013/14 revenue, total for GPBs</t>
  </si>
  <si>
    <t>With reset 2013/14 revenue, total for GPBs</t>
  </si>
  <si>
    <t>Adjustment for GPBs</t>
  </si>
  <si>
    <t>Opex, 2011/12</t>
  </si>
  <si>
    <t>Opex, 2012/13</t>
  </si>
  <si>
    <t>Opex, 2013/14</t>
  </si>
  <si>
    <t>Opex, 2014/15</t>
  </si>
  <si>
    <t>Opex, 2015/16</t>
  </si>
  <si>
    <t>Opex, 2016/17</t>
  </si>
  <si>
    <t>Opex, 2017/18</t>
  </si>
  <si>
    <t>Constant price revenue growth, 2010/11</t>
  </si>
  <si>
    <t>Constant price revenue growth, 2011/12</t>
  </si>
  <si>
    <t>Constant price revenue growth, 2012/13</t>
  </si>
  <si>
    <t>Constant price revenue growth, 2013/14</t>
  </si>
  <si>
    <t>Constant price revenue growth, 2014/15</t>
  </si>
  <si>
    <t>Constant price revenue growth, 2015/16</t>
  </si>
  <si>
    <t>Constant price revenue growth, 2016/17</t>
  </si>
  <si>
    <t>Constant price revenue growth, 2017/18</t>
  </si>
  <si>
    <t>Value of commissioned assets , 2011/12</t>
  </si>
  <si>
    <t>Value of commissioned assets , 2012/13</t>
  </si>
  <si>
    <t>Value of commissioned assets , 2013/14</t>
  </si>
  <si>
    <t>Value of commissioned assets , 2014/15</t>
  </si>
  <si>
    <t>Value of commissioned assets , 2015/16</t>
  </si>
  <si>
    <t>Value of commissioned assets , 2016/17</t>
  </si>
  <si>
    <t>Value of commissioned assets , 2017/18</t>
  </si>
  <si>
    <t>Number of mths of 2012/13 B. Blocks year in PV period</t>
  </si>
  <si>
    <t>Number of mths of 2013/14 B. Blocks year in PV period</t>
  </si>
  <si>
    <t>Number of mths of 2014/15 B. Blocks year in PV period</t>
  </si>
  <si>
    <t>Number of mths of 2015/16 B. Blocks year in PV period</t>
  </si>
  <si>
    <t>Number of mths of 2016/17 B. Blocks year in PV period</t>
  </si>
  <si>
    <t>Number of mths of 2017/18 B. Blocks year in PV period</t>
  </si>
  <si>
    <t>Number of mths of 2012/13 Allowed Rev year in PV period</t>
  </si>
  <si>
    <t>Number of mths of 2013/14 Allowed Rev year in PV period</t>
  </si>
  <si>
    <t>Number of mths of 2014/15 Allowed Rev year in PV period</t>
  </si>
  <si>
    <t>Number of mths of 2015/16 Allowed Rev year in PV period</t>
  </si>
  <si>
    <t>Number of mths of 2016/17 Allowed Rev year in PV period</t>
  </si>
  <si>
    <t>Number of mths of 2017/18 Allowed Rev year in PV period</t>
  </si>
  <si>
    <t>Opening RAB, assets commissioned in 2009/10</t>
  </si>
  <si>
    <t>Opening RAB, assets commissioned in 2010/11</t>
  </si>
  <si>
    <t>Opening RAB, assets commissioned in 2011/12</t>
  </si>
  <si>
    <t>Opening RAB, assets commissioned in 2012/13</t>
  </si>
  <si>
    <t>Opening RAB, assets commissioned in 2013/14</t>
  </si>
  <si>
    <t>Opening RAB, assets commissioned in 2014/15</t>
  </si>
  <si>
    <t>Opening RAB, assets commissioned in 2015/16</t>
  </si>
  <si>
    <t>Opening RAB, assets commissioned in 2016/17</t>
  </si>
  <si>
    <t>Opening RAB, assets commissioned in 2017/18</t>
  </si>
  <si>
    <t>Years of remaing life, assets comm in 2009/10</t>
  </si>
  <si>
    <t>Years of remaing life, assets comm in 2010/11</t>
  </si>
  <si>
    <t>Years of remaing life, assets comm in 2011/12</t>
  </si>
  <si>
    <t>Years of remaing life, assets comm in 2012/13</t>
  </si>
  <si>
    <t>Years of remaing life, assets comm in 2013/14</t>
  </si>
  <si>
    <t>Years of remaing life, assets comm in 2014/15</t>
  </si>
  <si>
    <t>Years of remaing life, assets comm in 2015/16</t>
  </si>
  <si>
    <t>Years of remaing life, assets comm in 2016/17</t>
  </si>
  <si>
    <t>Years of remaing life, assets comm in 2017/18</t>
  </si>
  <si>
    <t>Revaluation of assets commissioned in 2009/10</t>
  </si>
  <si>
    <t>Revaluation of assets commissioned in 2010/11</t>
  </si>
  <si>
    <t>Revaluation of assets commissioned in 2011/12</t>
  </si>
  <si>
    <t>Revaluation of assets commissioned in 2012/13</t>
  </si>
  <si>
    <t>Revaluation of assets commissioned in 2013/14</t>
  </si>
  <si>
    <t>Revaluation of assets commissioned in 2014/15</t>
  </si>
  <si>
    <t>Revaluation of assets commissioned in 2015/16</t>
  </si>
  <si>
    <t>Revaluation of assets commissioned in 2016/17</t>
  </si>
  <si>
    <t>Revaluation of assets commissioned in 2017/18</t>
  </si>
  <si>
    <t>Depreciation of assets commissioned in 2009/10</t>
  </si>
  <si>
    <t>Depreciation of assets commissioned in 2010/11</t>
  </si>
  <si>
    <t>Depreciation of assets commissioned in 2011/12</t>
  </si>
  <si>
    <t>Depreciation of assets commissioned in 2012/13</t>
  </si>
  <si>
    <t>Depreciation of assets commissioned in 2013/14</t>
  </si>
  <si>
    <t>Depreciation of assets commissioned in 2014/15</t>
  </si>
  <si>
    <t>Depreciation of assets commissioned in 2015/16</t>
  </si>
  <si>
    <t>Depreciation of assets commissioned in 2016/17</t>
  </si>
  <si>
    <t>Depreciation of assets commissioned in 2017/18</t>
  </si>
  <si>
    <t>Closing RAB of assets commissioned in 2009/10</t>
  </si>
  <si>
    <t>Closing RAB of assets commissioned in 2010/11</t>
  </si>
  <si>
    <t>Closing RAB of assets commissioned in 2011/12</t>
  </si>
  <si>
    <t>Closing RAB of assets commissioned in 2012/13</t>
  </si>
  <si>
    <t>Closing RAB of assets commissioned in 2013/14</t>
  </si>
  <si>
    <t>Closing RAB of assets commissioned in 2014/15</t>
  </si>
  <si>
    <t>Closing RAB of assets commissioned in 2015/16</t>
  </si>
  <si>
    <t>Closing RAB of assets commissioned in 2016/17</t>
  </si>
  <si>
    <t>Closing RAB of assets commissioned in 2017/18</t>
  </si>
  <si>
    <t>Opening RAB, adjusted depn, assets comm. in 2009/10</t>
  </si>
  <si>
    <t>Opening RAB, adjusted depn, assets comm. in 2010/11</t>
  </si>
  <si>
    <t>Opening RAB, adjusted depn, assets comm. in 2011/12</t>
  </si>
  <si>
    <t>Opening RAB, adjusted depn, assets comm. in 2012/13</t>
  </si>
  <si>
    <t>Opening RAB, adjusted depn, assets comm. in 2013/14</t>
  </si>
  <si>
    <t>Opening RAB, adjusted depn, assets comm. in 2014/15</t>
  </si>
  <si>
    <t>Opening RAB, adjusted depn, assets comm. in 2015/16</t>
  </si>
  <si>
    <t>Opening RAB, adjusted depn, assets comm. in 2016/17</t>
  </si>
  <si>
    <t>Opening RAB, adjusted depn, assets comm. in 2017/18</t>
  </si>
  <si>
    <t>Adjusted depreciation, assets comm. in 2009/10</t>
  </si>
  <si>
    <t>Adjusted depreciation, assets comm. in 2010/11</t>
  </si>
  <si>
    <t>Adjusted depreciation, assets comm. in 2011/12</t>
  </si>
  <si>
    <t>Adjusted depreciation, assets comm. in 2012/13</t>
  </si>
  <si>
    <t>Adjusted depreciation, assets comm. in 2013/14</t>
  </si>
  <si>
    <t>Adjusted depreciation, assets comm. in 2014/15</t>
  </si>
  <si>
    <t>Adjusted depreciation, assets comm. in 2015/16</t>
  </si>
  <si>
    <t>Adjusted depreciation, assets comm. in 2016/17</t>
  </si>
  <si>
    <t>Adjusted depreciation, assets comm. in 2017/18</t>
  </si>
  <si>
    <t>Closing RAB, adjusted depn, assets comm. in 2009/10</t>
  </si>
  <si>
    <t>Closing RAB, adjusted depn, assets comm. in 2010/11</t>
  </si>
  <si>
    <t>Closing RAB, adjusted depn, assets comm. in 2011/12</t>
  </si>
  <si>
    <t>Closing RAB, adjusted depn, assets comm. in 2012/13</t>
  </si>
  <si>
    <t>Closing RAB, adjusted depn, assets comm. in 2013/14</t>
  </si>
  <si>
    <t>Closing RAB, adjusted depn, assets comm. in 2014/15</t>
  </si>
  <si>
    <t>Closing RAB, adjusted depn, assets comm. in 2015/16</t>
  </si>
  <si>
    <t>Closing RAB, adjusted depn, assets comm. in 2016/17</t>
  </si>
  <si>
    <t>Closing RAB, adjusted depn, assets comm. in 2017/18</t>
  </si>
  <si>
    <t>This line establishes the profile of the CPI minus X path, but</t>
  </si>
  <si>
    <t>Sept 2012 MPS</t>
  </si>
  <si>
    <t>changes, Table 2.5,</t>
  </si>
  <si>
    <t>RBNZ forecast CPI</t>
  </si>
  <si>
    <t>Statistics NZ CPI Table 1 SE9A</t>
  </si>
  <si>
    <t>Forecast Change in CPI</t>
  </si>
  <si>
    <t>from the Sept 2012 release</t>
  </si>
  <si>
    <t>Forecast CPI with 1.02 adjustment</t>
  </si>
  <si>
    <t>Forecast CPI (no 1.02 adjustment)</t>
  </si>
  <si>
    <t>Change in CPI, 8 index, with 1.02 adjustment</t>
  </si>
  <si>
    <t>Change in CPI, 8 index, no 1.02 adjustment</t>
  </si>
  <si>
    <t>Change in CPI, 8 index, Sept year-end, with 1.02 factor</t>
  </si>
  <si>
    <t>Change in CPI, 8 index, June year-end, with 1.02 factor</t>
  </si>
  <si>
    <t>Change in CPI, 8 index, June year-end, no 1.02 factor</t>
  </si>
  <si>
    <t>Change in CPI, 8 index, Sept year-end, no 1.02 factor</t>
  </si>
  <si>
    <t>Change in CPI, 8 index, with adjustment by 1.02 factor</t>
  </si>
  <si>
    <t>of suppliers controlled under Part 4 of the Commerce Act 1986. It is intended to operate in conjuction with</t>
  </si>
  <si>
    <t>separate workbooks that calculate projections of operating expenditure, capital expenditure</t>
  </si>
  <si>
    <t>Note that the formula in this row for MDL references the row for the year ending 2014 while</t>
  </si>
  <si>
    <t xml:space="preserve"> for other businesses, the year ending 2013 is referenced.</t>
  </si>
  <si>
    <t xml:space="preserve">Difference between PV revenues no reset over the PV period and PV BBAR over the PV period </t>
  </si>
  <si>
    <t>01/07/09 to 30/06/10</t>
  </si>
  <si>
    <t>01/07/10 to 30/06/11</t>
  </si>
  <si>
    <t>01/07/11 to 30/06/12</t>
  </si>
  <si>
    <t>01/07/12 to 30/06/13</t>
  </si>
  <si>
    <t>01/07/13 to 30/06/14</t>
  </si>
  <si>
    <t>01/07/14 to 30/06/15</t>
  </si>
  <si>
    <t>01/07/15 to 30/06/16</t>
  </si>
  <si>
    <t>01/07/16 to 30/06/17</t>
  </si>
  <si>
    <t>01/07/17 to 30/06/18</t>
  </si>
  <si>
    <t>01/10/09 to 30/09/10</t>
  </si>
  <si>
    <t>01/10/10 to 30/09/11</t>
  </si>
  <si>
    <t>01/10/11 to 30/09/12</t>
  </si>
  <si>
    <t>01/10/12 to 30/09/13</t>
  </si>
  <si>
    <t>01/10/13 to 30/09/14</t>
  </si>
  <si>
    <t>01/10/14 to 30/09/15</t>
  </si>
  <si>
    <t>01/10/15 to 30/09/16</t>
  </si>
  <si>
    <t>01/10/16 to 30/09/17</t>
  </si>
  <si>
    <t>01/10/17 to 30/09/18</t>
  </si>
  <si>
    <t/>
  </si>
  <si>
    <t>01/07/17 to 30/09/17</t>
  </si>
  <si>
    <t>01/07/13 to 30/09/13</t>
  </si>
  <si>
    <t>01/01/10 to 31/12/10</t>
  </si>
  <si>
    <t>01/01/11 to 31/12/11</t>
  </si>
  <si>
    <t>01/01/12 to 31/12/12</t>
  </si>
  <si>
    <t>01/01/13 to 31/12/13</t>
  </si>
  <si>
    <t>01/01/14 to 31/12/14</t>
  </si>
  <si>
    <t>01/01/15 to 31/12/15</t>
  </si>
  <si>
    <t>01/01/16 to 31/12/16</t>
  </si>
  <si>
    <t>01/01/17 to 31/12/17</t>
  </si>
  <si>
    <t>01/01/18 to 31/12/18</t>
  </si>
  <si>
    <t>01/07/13 to 31/12/13</t>
  </si>
  <si>
    <t>01/01/17 to 30/09/17</t>
  </si>
  <si>
    <t>Version for public release, 28 February 2013</t>
  </si>
  <si>
    <t>All calculations in the workbook are preformed automatically, without the use of macros or data tables.</t>
  </si>
  <si>
    <t>N/A</t>
  </si>
  <si>
    <t xml:space="preserve">June </t>
  </si>
  <si>
    <t>December</t>
  </si>
  <si>
    <t xml:space="preserve">September </t>
  </si>
  <si>
    <t>June</t>
  </si>
  <si>
    <t>1 + Constant price revenue growth to 2011/12</t>
  </si>
  <si>
    <t>Vector Distribution</t>
  </si>
  <si>
    <t>MDL</t>
  </si>
  <si>
    <t>Vector Transmission</t>
  </si>
</sst>
</file>

<file path=xl/styles.xml><?xml version="1.0" encoding="utf-8"?>
<styleSheet xmlns="http://schemas.openxmlformats.org/spreadsheetml/2006/main">
  <numFmts count="6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"/>
    <numFmt numFmtId="168" formatCode="0.0"/>
    <numFmt numFmtId="169" formatCode="0.0000%"/>
    <numFmt numFmtId="170" formatCode="_(* #,##0_);_(* \(#,##0\);_(* &quot;-&quot;??_);_(@_)"/>
    <numFmt numFmtId="171" formatCode="dd\ mmm\ yyyy"/>
    <numFmt numFmtId="172" formatCode="0.0000"/>
    <numFmt numFmtId="173" formatCode="_(* #,##0.000_);_(* \(#,##0.000\);_(* &quot;-&quot;??_);_(@_)"/>
    <numFmt numFmtId="174" formatCode="0.0%"/>
    <numFmt numFmtId="175" formatCode="#\ ##0"/>
    <numFmt numFmtId="176" formatCode="d\ mmm\ yyyy"/>
    <numFmt numFmtId="177" formatCode="mmm"/>
    <numFmt numFmtId="178" formatCode="[$-C09]d\ mmmm\ yyyy;@"/>
    <numFmt numFmtId="179" formatCode="0.000%"/>
    <numFmt numFmtId="180" formatCode="_-* #,##0_-;\-* #,##0_-;_-* &quot;-&quot;??_-;_-@_-"/>
    <numFmt numFmtId="181" formatCode="#,##0.000"/>
    <numFmt numFmtId="182" formatCode="_(* #,##0.0000_);_(* \(#,##0.0000\);_(* &quot;-&quot;??_);_(@_)"/>
    <numFmt numFmtId="183" formatCode="0.00000"/>
    <numFmt numFmtId="184" formatCode="_(* [$-1409]d\ mmm\ yyyy\ h\ AM/PM_);_(* @"/>
    <numFmt numFmtId="185" formatCode="#,##0_);\(#,##0\);0_);* @_)"/>
    <numFmt numFmtId="186" formatCode="#,##0.0_);\(#,##0.0\);0.0_);* @_)"/>
    <numFmt numFmtId="187" formatCode="#,##0.00_);\(#,##0.00\);0.00_);* @_)"/>
    <numFmt numFmtId="188" formatCode="#,##0.000_);\(#,##0.000\);0.000_);* @_)"/>
    <numFmt numFmtId="189" formatCode="#,##0.0000_);\(#,##0.0000\);0.0000_);* @_)"/>
    <numFmt numFmtId="190" formatCode="d\-mmm\-yyyy;[Red]&quot;Not date&quot;;&quot;-&quot;;[Red]* &quot;Not date&quot;"/>
    <numFmt numFmtId="191" formatCode="d\-mmm\-yyyy\ h:mm\ \a\.m\./\p\.m\.;[Red]* &quot;Not date&quot;;&quot;-&quot;;[Red]* &quot;Not date&quot;"/>
    <numFmt numFmtId="192" formatCode="d/mm/yyyy;[Red]* &quot;Not date&quot;;&quot;-&quot;;[Red]* &quot;Not date&quot;"/>
    <numFmt numFmtId="193" formatCode="mm/dd/yyyy;[Red]* &quot;Not date&quot;;&quot;-&quot;;[Red]* &quot;Not date&quot;"/>
    <numFmt numFmtId="194" formatCode="mmm\-yy;[Red]* &quot;Not date&quot;;&quot;-&quot;;[Red]* &quot;Not date&quot;"/>
    <numFmt numFmtId="195" formatCode="0;\-0;0;* @"/>
    <numFmt numFmtId="196" formatCode="h:mm\ \a\.m\./\p\.m\.;[Red]* &quot;Not time&quot;;\-;[Red]* &quot;Not time&quot;"/>
    <numFmt numFmtId="197" formatCode="[h]:mm;[Red]* &quot;Not time&quot;;[h]:mm;[Red]* &quot;Not time&quot;"/>
    <numFmt numFmtId="198" formatCode="#,##0.00;[Red]\(#,##0.00\)"/>
    <numFmt numFmtId="199" formatCode="#,##0;[Red]\(#,##0\)"/>
    <numFmt numFmtId="200" formatCode="_(* #,##0_);_(* \(#,##0\);_(* &quot;–&quot;??_);_(* @_)"/>
    <numFmt numFmtId="201" formatCode="_(* #,##0.0_);_(* \(#,##0.0\);_(* &quot;–&quot;???_);_(* @_)"/>
    <numFmt numFmtId="202" formatCode="_(* #,##0.00_);_(* \(#,##0.00\);_(* &quot;–&quot;???_);_(* @_)"/>
    <numFmt numFmtId="203" formatCode="_(* #,##0.000_);_(* \(#,##0.000\);_(* &quot;–&quot;??_);_(* @_)"/>
    <numFmt numFmtId="204" formatCode="_(* #,##0.0000_);_(* \(#,##0.0000\);_(* &quot;–&quot;??_);_(* @_)"/>
    <numFmt numFmtId="205" formatCode="_ * #,##0.00_ ;_ * \-#,##0.00_ ;_ * &quot;-&quot;??_ ;_ @_ "/>
    <numFmt numFmtId="206" formatCode="0%;\-0%;0%;* @_%"/>
    <numFmt numFmtId="207" formatCode="0.0%;\-0.0%;0.0%;* @_%"/>
    <numFmt numFmtId="208" formatCode="0.00%;\-0.00%;0.00%;* @_%"/>
    <numFmt numFmtId="209" formatCode="0.000%;\-0.000%;0.000%;* @_%"/>
    <numFmt numFmtId="210" formatCode="&quot;$&quot;* #,##0_);&quot;$&quot;* \(#,##0\);&quot;$&quot;* 0_);* @_)"/>
    <numFmt numFmtId="211" formatCode="&quot;$&quot;* #,##0.0_);&quot;$&quot;* \(#,##0.0\);&quot;$&quot;* 0.0_);* @_)"/>
    <numFmt numFmtId="212" formatCode="&quot;$&quot;* #,##0.00_);&quot;$&quot;* \(#,##0.00\);&quot;$&quot;* 0.00_);* @_)"/>
    <numFmt numFmtId="213" formatCode="&quot;$&quot;* #,##0.000_);&quot;$&quot;* \(#,##0.000\);&quot;$&quot;* 0.000_);* @_)"/>
    <numFmt numFmtId="214" formatCode="&quot;$&quot;* #,##0.0000_);&quot;$&quot;* \(#,##0.0000\);&quot;$&quot;* 0.0000_);* @_)"/>
    <numFmt numFmtId="215" formatCode="_ &quot;$&quot;* #,##0.00_ ;_ &quot;$&quot;* \-#,##0.00_ ;_ &quot;$&quot;* &quot;-&quot;??_ ;_ @_ "/>
    <numFmt numFmtId="216" formatCode="&quot;$&quot;#,##0\ ;\(&quot;$&quot;#,##0\)"/>
    <numFmt numFmtId="217" formatCode="[$-1409]d\ mmm\ yy;@"/>
    <numFmt numFmtId="218" formatCode="_([$-1409]d\ mmmm\ yyyy;_(@"/>
    <numFmt numFmtId="219" formatCode="_(* #,##0_);_(* \(#,##0\);_(* &quot;–&quot;??_);\(@_)"/>
    <numFmt numFmtId="220" formatCode="&quot;$&quot;* #,##0.000_);&quot;$&quot;* \(#,##0.000\)"/>
    <numFmt numFmtId="221" formatCode="d\-mmm\-yyyy;[Red]* &quot;Not date&quot;;&quot;-&quot;;[Red]* &quot;Not date&quot;"/>
    <numFmt numFmtId="222" formatCode="d\-mmm\-yyyy\ h:mm\ \a\.m\./\p\.m\.;[Red]* &quot;Not time&quot;;0;[Red]* &quot;Not time&quot;"/>
    <numFmt numFmtId="223" formatCode="_(* #,##0%_);_(* \(#,##0%\);_(* &quot;–&quot;???_);_(* @_)"/>
    <numFmt numFmtId="224" formatCode="_(* #,##0.0%_);_(* \(#,##0.0%\);_(* &quot;–&quot;???_);_(* @_)"/>
    <numFmt numFmtId="225" formatCode="_(* #,##0.00%_);_(* \(#,##0.00%\);_(* &quot;–&quot;???_);_(* @_)"/>
    <numFmt numFmtId="226" formatCode="_(@_)"/>
    <numFmt numFmtId="227" formatCode="_(* @_)"/>
    <numFmt numFmtId="228" formatCode="_([$-1409]h:mm\ AM/PM;@"/>
    <numFmt numFmtId="229" formatCode="_(* 0000_);_(* \(0000\);_(* &quot;–&quot;??_);_(@_)"/>
    <numFmt numFmtId="230" formatCode="d\.mm\.yy;@"/>
    <numFmt numFmtId="231" formatCode="_-[$€-2]* #,##0.00_-;\-[$€-2]* #,##0.00_-;_-[$€-2]* &quot;-&quot;??_-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mbria"/>
      <family val="2"/>
      <scheme val="maj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Arial Mäo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Arial Mäo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Helv"/>
    </font>
    <font>
      <sz val="10"/>
      <name val="CG Times (W1)"/>
    </font>
    <font>
      <sz val="9"/>
      <name val="Times New Roman"/>
      <family val="1"/>
    </font>
    <font>
      <i/>
      <sz val="8"/>
      <name val="Times"/>
    </font>
    <font>
      <b/>
      <sz val="8"/>
      <name val="times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 Mäori"/>
      <family val="2"/>
    </font>
    <font>
      <sz val="11"/>
      <color indexed="8"/>
      <name val="Arial Mäori"/>
      <family val="2"/>
    </font>
    <font>
      <sz val="11"/>
      <color indexed="9"/>
      <name val="Arial Mäori"/>
      <family val="2"/>
    </font>
    <font>
      <sz val="11"/>
      <color indexed="20"/>
      <name val="Arial Mäori"/>
      <family val="2"/>
    </font>
    <font>
      <b/>
      <sz val="11"/>
      <color indexed="52"/>
      <name val="Arial Mäori"/>
      <family val="2"/>
    </font>
    <font>
      <b/>
      <sz val="11"/>
      <color indexed="9"/>
      <name val="Arial Mäori"/>
      <family val="2"/>
    </font>
    <font>
      <i/>
      <sz val="11"/>
      <color indexed="23"/>
      <name val="Arial Mäori"/>
      <family val="2"/>
    </font>
    <font>
      <sz val="11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1"/>
      <color indexed="62"/>
      <name val="Arial Mäori"/>
      <family val="2"/>
    </font>
    <font>
      <sz val="11"/>
      <color indexed="52"/>
      <name val="Arial Mäori"/>
      <family val="2"/>
    </font>
    <font>
      <sz val="11"/>
      <color indexed="60"/>
      <name val="Arial Mäori"/>
      <family val="2"/>
    </font>
    <font>
      <b/>
      <sz val="11"/>
      <color indexed="63"/>
      <name val="Arial Mäori"/>
      <family val="2"/>
    </font>
    <font>
      <b/>
      <sz val="11"/>
      <color indexed="8"/>
      <name val="Arial Mäori"/>
      <family val="2"/>
    </font>
    <font>
      <sz val="11"/>
      <color indexed="10"/>
      <name val="Arial Mäori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62"/>
      <name val="Arial"/>
      <family val="2"/>
    </font>
    <font>
      <sz val="8"/>
      <name val="Arial Mäori"/>
    </font>
    <font>
      <sz val="8"/>
      <name val="Arial"/>
      <family val="2"/>
    </font>
    <font>
      <b/>
      <sz val="8"/>
      <color indexed="12"/>
      <name val="8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rgb="FFFF0000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 Mäori"/>
      <family val="2"/>
    </font>
    <font>
      <sz val="8"/>
      <color theme="0"/>
      <name val="Arial"/>
      <family val="2"/>
    </font>
    <font>
      <sz val="10"/>
      <color indexed="20"/>
      <name val="Arial Mäori"/>
      <family val="2"/>
    </font>
    <font>
      <sz val="8"/>
      <color rgb="FF9C0006"/>
      <name val="Arial"/>
      <family val="2"/>
    </font>
    <font>
      <sz val="9"/>
      <name val="Century Gothic"/>
      <family val="2"/>
    </font>
    <font>
      <b/>
      <sz val="10"/>
      <color indexed="52"/>
      <name val="Arial Mäori"/>
      <family val="2"/>
    </font>
    <font>
      <b/>
      <sz val="11"/>
      <color indexed="52"/>
      <name val="Calibri"/>
      <family val="2"/>
      <scheme val="minor"/>
    </font>
    <font>
      <b/>
      <sz val="8"/>
      <color rgb="FFFA7D00"/>
      <name val="Arial"/>
      <family val="2"/>
    </font>
    <font>
      <b/>
      <sz val="10"/>
      <color indexed="9"/>
      <name val="Arial Mäori"/>
      <family val="2"/>
    </font>
    <font>
      <b/>
      <sz val="8"/>
      <color theme="0"/>
      <name val="Arial"/>
      <family val="2"/>
    </font>
    <font>
      <sz val="10"/>
      <color theme="1"/>
      <name val="Cambria"/>
      <family val="1"/>
      <scheme val="major"/>
    </font>
    <font>
      <sz val="8"/>
      <color indexed="8"/>
      <name val="Arial"/>
      <family val="2"/>
    </font>
    <font>
      <sz val="12"/>
      <color indexed="24"/>
      <name val="Arial"/>
      <family val="2"/>
    </font>
    <font>
      <sz val="10"/>
      <color theme="1"/>
      <name val="Calibri"/>
      <family val="4"/>
      <scheme val="minor"/>
    </font>
    <font>
      <sz val="10"/>
      <color theme="8"/>
      <name val="Calibri"/>
      <family val="4"/>
      <scheme val="minor"/>
    </font>
    <font>
      <b/>
      <sz val="13"/>
      <color theme="4"/>
      <name val="Calibri"/>
      <family val="4"/>
      <scheme val="minor"/>
    </font>
    <font>
      <b/>
      <sz val="13"/>
      <color indexed="12"/>
      <name val="Arial"/>
      <family val="2"/>
    </font>
    <font>
      <i/>
      <sz val="10"/>
      <color indexed="23"/>
      <name val="Arial Mäori"/>
      <family val="2"/>
    </font>
    <font>
      <i/>
      <sz val="8"/>
      <color theme="1"/>
      <name val="Calibri"/>
      <family val="4"/>
      <scheme val="minor"/>
    </font>
    <font>
      <i/>
      <sz val="8"/>
      <color rgb="FF7F7F7F"/>
      <name val="Arial"/>
      <family val="2"/>
    </font>
    <font>
      <i/>
      <sz val="8"/>
      <name val="Arial"/>
      <family val="2"/>
    </font>
    <font>
      <u/>
      <sz val="10"/>
      <color theme="11"/>
      <name val="Cambria"/>
      <family val="1"/>
      <scheme val="major"/>
    </font>
    <font>
      <sz val="10"/>
      <color indexed="17"/>
      <name val="Arial Mäori"/>
      <family val="2"/>
    </font>
    <font>
      <sz val="8"/>
      <color rgb="FF0061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Cambria"/>
      <family val="1"/>
      <scheme val="major"/>
    </font>
    <font>
      <sz val="18"/>
      <color indexed="24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8"/>
      <color indexed="24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8"/>
      <color indexed="12"/>
      <name val="Arial"/>
      <family val="2"/>
    </font>
    <font>
      <u/>
      <sz val="10"/>
      <color theme="4"/>
      <name val="Cambria"/>
      <family val="1"/>
      <scheme val="major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sz val="10"/>
      <color indexed="62"/>
      <name val="Arial Mäori"/>
      <family val="2"/>
    </font>
    <font>
      <sz val="8"/>
      <color rgb="FF3F3F76"/>
      <name val="Arial"/>
      <family val="2"/>
    </font>
    <font>
      <b/>
      <sz val="13"/>
      <color theme="1"/>
      <name val="Cambria"/>
      <family val="1"/>
      <scheme val="major"/>
    </font>
    <font>
      <b/>
      <sz val="13"/>
      <name val="Arial"/>
      <family val="2"/>
    </font>
    <font>
      <b/>
      <sz val="10"/>
      <color theme="1"/>
      <name val="Calibri"/>
      <family val="4"/>
      <scheme val="minor"/>
    </font>
    <font>
      <sz val="10"/>
      <color indexed="52"/>
      <name val="Arial Mäori"/>
      <family val="2"/>
    </font>
    <font>
      <sz val="8"/>
      <color rgb="FFFA7D00"/>
      <name val="Arial"/>
      <family val="2"/>
    </font>
    <font>
      <sz val="10"/>
      <color indexed="60"/>
      <name val="Arial Mäori"/>
      <family val="2"/>
    </font>
    <font>
      <sz val="11"/>
      <color indexed="60"/>
      <name val="Calibri"/>
      <family val="2"/>
      <scheme val="minor"/>
    </font>
    <font>
      <sz val="8"/>
      <color rgb="FF9C6500"/>
      <name val="Arial"/>
      <family val="2"/>
    </font>
    <font>
      <sz val="12"/>
      <name val="Arial"/>
      <family val="2"/>
    </font>
    <font>
      <b/>
      <sz val="10"/>
      <color indexed="63"/>
      <name val="Arial Mäori"/>
      <family val="2"/>
    </font>
    <font>
      <b/>
      <sz val="8"/>
      <color rgb="FF3F3F3F"/>
      <name val="Arial"/>
      <family val="2"/>
    </font>
    <font>
      <sz val="8"/>
      <color theme="1"/>
      <name val="Cambria"/>
      <family val="1"/>
      <scheme val="major"/>
    </font>
    <font>
      <sz val="10"/>
      <color indexed="30"/>
      <name val="Arial"/>
      <family val="2"/>
    </font>
    <font>
      <sz val="16"/>
      <color theme="4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indexed="8"/>
      <name val="Arial Mäori"/>
      <family val="2"/>
    </font>
    <font>
      <b/>
      <sz val="8"/>
      <color theme="1"/>
      <name val="Arial"/>
      <family val="2"/>
    </font>
    <font>
      <sz val="10"/>
      <color indexed="10"/>
      <name val="Arial Mäori"/>
      <family val="2"/>
    </font>
    <font>
      <sz val="8"/>
      <color rgb="FFFF0000"/>
      <name val="Arial"/>
      <family val="2"/>
    </font>
    <font>
      <sz val="11"/>
      <color rgb="FF00B0F0"/>
      <name val="Calibri"/>
      <family val="2"/>
      <scheme val="minor"/>
    </font>
    <font>
      <b/>
      <sz val="13.6"/>
      <color theme="1"/>
      <name val="Calibri"/>
      <family val="2"/>
    </font>
    <font>
      <b/>
      <sz val="16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0"/>
      <color theme="0"/>
      <name val="Arial"/>
      <family val="2"/>
    </font>
    <font>
      <sz val="10"/>
      <name val="Palatino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theme="1"/>
      <name val="Cambria"/>
      <family val="1"/>
      <scheme val="major"/>
    </font>
    <font>
      <u/>
      <sz val="9"/>
      <color indexed="12"/>
      <name val="Palatino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2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9" tint="-0.24994659260841701"/>
        <bgColor indexed="64"/>
      </patternFill>
    </fill>
  </fills>
  <borders count="49">
    <border>
      <left/>
      <right/>
      <top/>
      <bottom/>
      <diagonal/>
    </border>
    <border>
      <left/>
      <right style="thick">
        <color theme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/>
      <top style="double">
        <color indexed="64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 style="thick">
        <color theme="3" tint="0.39994506668294322"/>
      </right>
      <top/>
      <bottom/>
      <diagonal/>
    </border>
    <border>
      <left/>
      <right/>
      <top/>
      <bottom style="medium">
        <color auto="1"/>
      </bottom>
      <diagonal/>
    </border>
  </borders>
  <cellStyleXfs count="5521">
    <xf numFmtId="0" fontId="0" fillId="0" borderId="0"/>
    <xf numFmtId="0" fontId="7" fillId="3" borderId="0" applyNumberFormat="0" applyAlignment="0" applyProtection="0"/>
    <xf numFmtId="0" fontId="6" fillId="2" borderId="0" applyNumberFormat="0" applyAlignment="0" applyProtection="0"/>
    <xf numFmtId="0" fontId="5" fillId="5" borderId="0" applyNumberFormat="0" applyAlignment="0" applyProtection="0"/>
    <xf numFmtId="0" fontId="4" fillId="0" borderId="0" applyNumberFormat="0" applyAlignment="0" applyProtection="0"/>
    <xf numFmtId="0" fontId="2" fillId="4" borderId="0" applyNumberFormat="0" applyFont="0" applyAlignment="0" applyProtection="0"/>
    <xf numFmtId="3" fontId="1" fillId="0" borderId="0" applyFont="0" applyFill="0" applyAlignment="0" applyProtection="0"/>
    <xf numFmtId="3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0" applyFon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6" borderId="0" applyNumberFormat="0" applyAlignment="0" applyProtection="0"/>
    <xf numFmtId="0" fontId="2" fillId="4" borderId="2" applyNumberFormat="0" applyAlignment="0" applyProtection="0"/>
    <xf numFmtId="0" fontId="12" fillId="6" borderId="0" applyNumberFormat="0" applyAlignment="0"/>
    <xf numFmtId="0" fontId="19" fillId="0" borderId="0"/>
    <xf numFmtId="0" fontId="20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8" borderId="0" applyNumberFormat="0" applyBorder="0" applyAlignment="0" applyProtection="0"/>
    <xf numFmtId="0" fontId="24" fillId="25" borderId="7" applyNumberFormat="0" applyAlignment="0" applyProtection="0"/>
    <xf numFmtId="0" fontId="25" fillId="26" borderId="8" applyNumberFormat="0" applyAlignment="0" applyProtection="0"/>
    <xf numFmtId="166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7" borderId="0" applyNumberFormat="0" applyBorder="0" applyAlignment="0" applyProtection="0"/>
    <xf numFmtId="0" fontId="19" fillId="0" borderId="0"/>
    <xf numFmtId="0" fontId="20" fillId="0" borderId="0"/>
    <xf numFmtId="0" fontId="31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28" borderId="11" applyNumberFormat="0" applyFont="0" applyAlignment="0" applyProtection="0"/>
    <xf numFmtId="0" fontId="32" fillId="25" borderId="12" applyNumberForma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78" fontId="20" fillId="0" borderId="0"/>
    <xf numFmtId="0" fontId="20" fillId="0" borderId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3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63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63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63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63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3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3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63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63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3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63" fillId="16" borderId="0" applyNumberFormat="0" applyBorder="0" applyAlignment="0" applyProtection="0"/>
    <xf numFmtId="0" fontId="37" fillId="16" borderId="0" applyNumberFormat="0" applyBorder="0" applyAlignment="0" applyProtection="0"/>
    <xf numFmtId="0" fontId="48" fillId="17" borderId="0" applyNumberFormat="0" applyBorder="0" applyAlignment="0" applyProtection="0"/>
    <xf numFmtId="0" fontId="64" fillId="17" borderId="0" applyNumberFormat="0" applyBorder="0" applyAlignment="0" applyProtection="0"/>
    <xf numFmtId="0" fontId="48" fillId="14" borderId="0" applyNumberFormat="0" applyBorder="0" applyAlignment="0" applyProtection="0"/>
    <xf numFmtId="0" fontId="64" fillId="14" borderId="0" applyNumberFormat="0" applyBorder="0" applyAlignment="0" applyProtection="0"/>
    <xf numFmtId="0" fontId="48" fillId="15" borderId="0" applyNumberFormat="0" applyBorder="0" applyAlignment="0" applyProtection="0"/>
    <xf numFmtId="0" fontId="64" fillId="15" borderId="0" applyNumberFormat="0" applyBorder="0" applyAlignment="0" applyProtection="0"/>
    <xf numFmtId="0" fontId="48" fillId="18" borderId="0" applyNumberFormat="0" applyBorder="0" applyAlignment="0" applyProtection="0"/>
    <xf numFmtId="0" fontId="64" fillId="18" borderId="0" applyNumberFormat="0" applyBorder="0" applyAlignment="0" applyProtection="0"/>
    <xf numFmtId="0" fontId="48" fillId="19" borderId="0" applyNumberFormat="0" applyBorder="0" applyAlignment="0" applyProtection="0"/>
    <xf numFmtId="0" fontId="64" fillId="19" borderId="0" applyNumberFormat="0" applyBorder="0" applyAlignment="0" applyProtection="0"/>
    <xf numFmtId="0" fontId="48" fillId="20" borderId="0" applyNumberFormat="0" applyBorder="0" applyAlignment="0" applyProtection="0"/>
    <xf numFmtId="0" fontId="64" fillId="20" borderId="0" applyNumberFormat="0" applyBorder="0" applyAlignment="0" applyProtection="0"/>
    <xf numFmtId="0" fontId="48" fillId="21" borderId="0" applyNumberFormat="0" applyBorder="0" applyAlignment="0" applyProtection="0"/>
    <xf numFmtId="0" fontId="64" fillId="21" borderId="0" applyNumberFormat="0" applyBorder="0" applyAlignment="0" applyProtection="0"/>
    <xf numFmtId="0" fontId="48" fillId="22" borderId="0" applyNumberFormat="0" applyBorder="0" applyAlignment="0" applyProtection="0"/>
    <xf numFmtId="0" fontId="64" fillId="22" borderId="0" applyNumberFormat="0" applyBorder="0" applyAlignment="0" applyProtection="0"/>
    <xf numFmtId="0" fontId="48" fillId="23" borderId="0" applyNumberFormat="0" applyBorder="0" applyAlignment="0" applyProtection="0"/>
    <xf numFmtId="0" fontId="64" fillId="23" borderId="0" applyNumberFormat="0" applyBorder="0" applyAlignment="0" applyProtection="0"/>
    <xf numFmtId="0" fontId="48" fillId="18" borderId="0" applyNumberFormat="0" applyBorder="0" applyAlignment="0" applyProtection="0"/>
    <xf numFmtId="0" fontId="64" fillId="18" borderId="0" applyNumberFormat="0" applyBorder="0" applyAlignment="0" applyProtection="0"/>
    <xf numFmtId="0" fontId="48" fillId="19" borderId="0" applyNumberFormat="0" applyBorder="0" applyAlignment="0" applyProtection="0"/>
    <xf numFmtId="0" fontId="64" fillId="19" borderId="0" applyNumberFormat="0" applyBorder="0" applyAlignment="0" applyProtection="0"/>
    <xf numFmtId="0" fontId="48" fillId="24" borderId="0" applyNumberFormat="0" applyBorder="0" applyAlignment="0" applyProtection="0"/>
    <xf numFmtId="0" fontId="64" fillId="24" borderId="0" applyNumberFormat="0" applyBorder="0" applyAlignment="0" applyProtection="0"/>
    <xf numFmtId="0" fontId="40" fillId="0" borderId="4">
      <alignment horizontal="center" vertical="center"/>
    </xf>
    <xf numFmtId="0" fontId="49" fillId="8" borderId="0" applyNumberFormat="0" applyBorder="0" applyAlignment="0" applyProtection="0"/>
    <xf numFmtId="0" fontId="65" fillId="8" borderId="0" applyNumberFormat="0" applyBorder="0" applyAlignment="0" applyProtection="0"/>
    <xf numFmtId="175" fontId="41" fillId="0" borderId="0"/>
    <xf numFmtId="0" fontId="50" fillId="25" borderId="7" applyNumberFormat="0" applyAlignment="0" applyProtection="0"/>
    <xf numFmtId="0" fontId="66" fillId="25" borderId="7" applyNumberFormat="0" applyAlignment="0" applyProtection="0"/>
    <xf numFmtId="0" fontId="51" fillId="26" borderId="8" applyNumberFormat="0" applyAlignment="0" applyProtection="0"/>
    <xf numFmtId="0" fontId="67" fillId="26" borderId="8" applyNumberFormat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6" fontId="42" fillId="0" borderId="0">
      <alignment horizontal="left"/>
    </xf>
    <xf numFmtId="168" fontId="40" fillId="0" borderId="0" applyBorder="0"/>
    <xf numFmtId="168" fontId="40" fillId="0" borderId="14"/>
    <xf numFmtId="0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9" fillId="9" borderId="0" applyNumberFormat="0" applyBorder="0" applyAlignment="0" applyProtection="0"/>
    <xf numFmtId="0" fontId="54" fillId="0" borderId="15" applyNumberFormat="0" applyFill="0" applyAlignment="0" applyProtection="0"/>
    <xf numFmtId="0" fontId="70" fillId="0" borderId="15" applyNumberFormat="0" applyFill="0" applyAlignment="0" applyProtection="0"/>
    <xf numFmtId="0" fontId="55" fillId="0" borderId="16" applyNumberFormat="0" applyFill="0" applyAlignment="0" applyProtection="0"/>
    <xf numFmtId="0" fontId="71" fillId="0" borderId="16" applyNumberFormat="0" applyFill="0" applyAlignment="0" applyProtection="0"/>
    <xf numFmtId="0" fontId="56" fillId="0" borderId="9" applyNumberFormat="0" applyFill="0" applyAlignment="0" applyProtection="0"/>
    <xf numFmtId="0" fontId="72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4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7" fillId="12" borderId="7" applyNumberFormat="0" applyAlignment="0" applyProtection="0"/>
    <xf numFmtId="0" fontId="73" fillId="12" borderId="7" applyNumberFormat="0" applyAlignment="0" applyProtection="0"/>
    <xf numFmtId="0" fontId="58" fillId="0" borderId="10" applyNumberFormat="0" applyFill="0" applyAlignment="0" applyProtection="0"/>
    <xf numFmtId="0" fontId="74" fillId="0" borderId="10" applyNumberFormat="0" applyFill="0" applyAlignment="0" applyProtection="0"/>
    <xf numFmtId="177" fontId="39" fillId="0" borderId="0"/>
    <xf numFmtId="0" fontId="59" fillId="27" borderId="0" applyNumberFormat="0" applyBorder="0" applyAlignment="0" applyProtection="0"/>
    <xf numFmtId="0" fontId="75" fillId="27" borderId="0" applyNumberFormat="0" applyBorder="0" applyAlignment="0" applyProtection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20" fillId="0" borderId="0" applyBorder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19" fillId="0" borderId="0"/>
    <xf numFmtId="178" fontId="37" fillId="0" borderId="0"/>
    <xf numFmtId="178" fontId="37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178" fontId="21" fillId="0" borderId="0"/>
    <xf numFmtId="0" fontId="21" fillId="0" borderId="0"/>
    <xf numFmtId="0" fontId="62" fillId="0" borderId="0"/>
    <xf numFmtId="0" fontId="1" fillId="0" borderId="0"/>
    <xf numFmtId="174" fontId="37" fillId="0" borderId="0"/>
    <xf numFmtId="174" fontId="37" fillId="0" borderId="0"/>
    <xf numFmtId="0" fontId="79" fillId="0" borderId="0"/>
    <xf numFmtId="174" fontId="37" fillId="0" borderId="0"/>
    <xf numFmtId="174" fontId="37" fillId="0" borderId="0"/>
    <xf numFmtId="178" fontId="20" fillId="0" borderId="0" applyBorder="0"/>
    <xf numFmtId="0" fontId="20" fillId="0" borderId="0" applyBorder="0"/>
    <xf numFmtId="178" fontId="20" fillId="0" borderId="0"/>
    <xf numFmtId="0" fontId="39" fillId="0" borderId="0"/>
    <xf numFmtId="0" fontId="39" fillId="0" borderId="0"/>
    <xf numFmtId="0" fontId="20" fillId="0" borderId="0"/>
    <xf numFmtId="0" fontId="21" fillId="0" borderId="0"/>
    <xf numFmtId="0" fontId="20" fillId="0" borderId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63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43" fillId="0" borderId="0">
      <alignment horizontal="left"/>
    </xf>
    <xf numFmtId="0" fontId="60" fillId="25" borderId="12" applyNumberFormat="0" applyAlignment="0" applyProtection="0"/>
    <xf numFmtId="0" fontId="76" fillId="25" borderId="12" applyNumberFormat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0" fillId="0" borderId="5">
      <alignment horizontal="center" vertical="center"/>
    </xf>
    <xf numFmtId="0" fontId="20" fillId="0" borderId="0" applyNumberFormat="0" applyFill="0" applyBorder="0" applyAlignment="0" applyProtection="0"/>
    <xf numFmtId="166" fontId="21" fillId="0" borderId="17" applyFont="0" applyAlignment="0">
      <alignment vertical="top" wrapText="1"/>
    </xf>
    <xf numFmtId="0" fontId="44" fillId="0" borderId="0"/>
    <xf numFmtId="0" fontId="45" fillId="0" borderId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77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0" fillId="0" borderId="0"/>
    <xf numFmtId="166" fontId="20" fillId="0" borderId="0" applyFont="0" applyFill="0" applyBorder="0" applyAlignment="0" applyProtection="0"/>
    <xf numFmtId="0" fontId="83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12" borderId="7" applyNumberFormat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78" fontId="20" fillId="0" borderId="0"/>
    <xf numFmtId="184" fontId="20" fillId="0" borderId="0"/>
    <xf numFmtId="0" fontId="20" fillId="0" borderId="0"/>
    <xf numFmtId="184" fontId="20" fillId="0" borderId="0"/>
    <xf numFmtId="0" fontId="37" fillId="7" borderId="0" applyNumberFormat="0" applyBorder="0" applyAlignment="0" applyProtection="0"/>
    <xf numFmtId="184" fontId="3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84" fontId="21" fillId="7" borderId="0" applyNumberFormat="0" applyBorder="0" applyAlignment="0" applyProtection="0"/>
    <xf numFmtId="0" fontId="37" fillId="7" borderId="0" applyNumberFormat="0" applyBorder="0" applyAlignment="0" applyProtection="0"/>
    <xf numFmtId="184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184" fontId="37" fillId="7" borderId="0" applyNumberFormat="0" applyBorder="0" applyAlignment="0" applyProtection="0"/>
    <xf numFmtId="0" fontId="63" fillId="7" borderId="0" applyNumberFormat="0" applyBorder="0" applyAlignment="0" applyProtection="0"/>
    <xf numFmtId="184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184" fontId="62" fillId="7" borderId="0" applyNumberFormat="0" applyBorder="0" applyAlignment="0" applyProtection="0"/>
    <xf numFmtId="0" fontId="37" fillId="7" borderId="0" applyNumberFormat="0" applyBorder="0" applyAlignment="0" applyProtection="0"/>
    <xf numFmtId="184" fontId="37" fillId="7" borderId="0" applyNumberFormat="0" applyBorder="0" applyAlignment="0" applyProtection="0"/>
    <xf numFmtId="0" fontId="1" fillId="7" borderId="0" applyNumberFormat="0" applyBorder="0" applyAlignment="0" applyProtection="0"/>
    <xf numFmtId="184" fontId="1" fillId="7" borderId="0" applyNumberFormat="0" applyBorder="0" applyAlignment="0" applyProtection="0"/>
    <xf numFmtId="0" fontId="37" fillId="7" borderId="0" applyNumberFormat="0" applyBorder="0" applyAlignment="0" applyProtection="0"/>
    <xf numFmtId="184" fontId="37" fillId="7" borderId="0" applyNumberFormat="0" applyBorder="0" applyAlignment="0" applyProtection="0"/>
    <xf numFmtId="0" fontId="82" fillId="40" borderId="0" applyNumberFormat="0" applyBorder="0" applyAlignment="0" applyProtection="0"/>
    <xf numFmtId="0" fontId="82" fillId="40" borderId="0" applyNumberFormat="0" applyBorder="0" applyAlignment="0" applyProtection="0"/>
    <xf numFmtId="184" fontId="82" fillId="40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184" fontId="37" fillId="7" borderId="0" applyNumberFormat="0" applyBorder="0" applyAlignment="0" applyProtection="0"/>
    <xf numFmtId="0" fontId="1" fillId="40" borderId="0" applyNumberFormat="0" applyBorder="0" applyAlignment="0" applyProtection="0"/>
    <xf numFmtId="184" fontId="1" fillId="40" borderId="0" applyNumberFormat="0" applyBorder="0" applyAlignment="0" applyProtection="0"/>
    <xf numFmtId="0" fontId="37" fillId="8" borderId="0" applyNumberFormat="0" applyBorder="0" applyAlignment="0" applyProtection="0"/>
    <xf numFmtId="184" fontId="3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84" fontId="21" fillId="8" borderId="0" applyNumberFormat="0" applyBorder="0" applyAlignment="0" applyProtection="0"/>
    <xf numFmtId="0" fontId="37" fillId="8" borderId="0" applyNumberFormat="0" applyBorder="0" applyAlignment="0" applyProtection="0"/>
    <xf numFmtId="184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84" fontId="37" fillId="8" borderId="0" applyNumberFormat="0" applyBorder="0" applyAlignment="0" applyProtection="0"/>
    <xf numFmtId="0" fontId="63" fillId="8" borderId="0" applyNumberFormat="0" applyBorder="0" applyAlignment="0" applyProtection="0"/>
    <xf numFmtId="184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184" fontId="62" fillId="8" borderId="0" applyNumberFormat="0" applyBorder="0" applyAlignment="0" applyProtection="0"/>
    <xf numFmtId="0" fontId="37" fillId="8" borderId="0" applyNumberFormat="0" applyBorder="0" applyAlignment="0" applyProtection="0"/>
    <xf numFmtId="184" fontId="37" fillId="8" borderId="0" applyNumberFormat="0" applyBorder="0" applyAlignment="0" applyProtection="0"/>
    <xf numFmtId="0" fontId="1" fillId="8" borderId="0" applyNumberFormat="0" applyBorder="0" applyAlignment="0" applyProtection="0"/>
    <xf numFmtId="184" fontId="1" fillId="8" borderId="0" applyNumberFormat="0" applyBorder="0" applyAlignment="0" applyProtection="0"/>
    <xf numFmtId="0" fontId="37" fillId="8" borderId="0" applyNumberFormat="0" applyBorder="0" applyAlignment="0" applyProtection="0"/>
    <xf numFmtId="184" fontId="37" fillId="8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184" fontId="82" fillId="44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84" fontId="37" fillId="8" borderId="0" applyNumberFormat="0" applyBorder="0" applyAlignment="0" applyProtection="0"/>
    <xf numFmtId="0" fontId="1" fillId="44" borderId="0" applyNumberFormat="0" applyBorder="0" applyAlignment="0" applyProtection="0"/>
    <xf numFmtId="184" fontId="1" fillId="44" borderId="0" applyNumberFormat="0" applyBorder="0" applyAlignment="0" applyProtection="0"/>
    <xf numFmtId="0" fontId="37" fillId="9" borderId="0" applyNumberFormat="0" applyBorder="0" applyAlignment="0" applyProtection="0"/>
    <xf numFmtId="184" fontId="3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184" fontId="21" fillId="9" borderId="0" applyNumberFormat="0" applyBorder="0" applyAlignment="0" applyProtection="0"/>
    <xf numFmtId="0" fontId="37" fillId="9" borderId="0" applyNumberFormat="0" applyBorder="0" applyAlignment="0" applyProtection="0"/>
    <xf numFmtId="184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184" fontId="37" fillId="9" borderId="0" applyNumberFormat="0" applyBorder="0" applyAlignment="0" applyProtection="0"/>
    <xf numFmtId="0" fontId="63" fillId="9" borderId="0" applyNumberFormat="0" applyBorder="0" applyAlignment="0" applyProtection="0"/>
    <xf numFmtId="184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184" fontId="62" fillId="9" borderId="0" applyNumberFormat="0" applyBorder="0" applyAlignment="0" applyProtection="0"/>
    <xf numFmtId="0" fontId="37" fillId="9" borderId="0" applyNumberFormat="0" applyBorder="0" applyAlignment="0" applyProtection="0"/>
    <xf numFmtId="184" fontId="37" fillId="9" borderId="0" applyNumberFormat="0" applyBorder="0" applyAlignment="0" applyProtection="0"/>
    <xf numFmtId="0" fontId="1" fillId="9" borderId="0" applyNumberFormat="0" applyBorder="0" applyAlignment="0" applyProtection="0"/>
    <xf numFmtId="184" fontId="1" fillId="9" borderId="0" applyNumberFormat="0" applyBorder="0" applyAlignment="0" applyProtection="0"/>
    <xf numFmtId="0" fontId="37" fillId="9" borderId="0" applyNumberFormat="0" applyBorder="0" applyAlignment="0" applyProtection="0"/>
    <xf numFmtId="184" fontId="37" fillId="9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184" fontId="82" fillId="4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184" fontId="37" fillId="9" borderId="0" applyNumberFormat="0" applyBorder="0" applyAlignment="0" applyProtection="0"/>
    <xf numFmtId="0" fontId="1" fillId="48" borderId="0" applyNumberFormat="0" applyBorder="0" applyAlignment="0" applyProtection="0"/>
    <xf numFmtId="184" fontId="1" fillId="48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84" fontId="21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63" fillId="10" borderId="0" applyNumberFormat="0" applyBorder="0" applyAlignment="0" applyProtection="0"/>
    <xf numFmtId="184" fontId="6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184" fontId="62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1" fillId="10" borderId="0" applyNumberFormat="0" applyBorder="0" applyAlignment="0" applyProtection="0"/>
    <xf numFmtId="184" fontId="1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184" fontId="82" fillId="52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1" fillId="52" borderId="0" applyNumberFormat="0" applyBorder="0" applyAlignment="0" applyProtection="0"/>
    <xf numFmtId="184" fontId="1" fillId="52" borderId="0" applyNumberFormat="0" applyBorder="0" applyAlignment="0" applyProtection="0"/>
    <xf numFmtId="0" fontId="37" fillId="11" borderId="0" applyNumberFormat="0" applyBorder="0" applyAlignment="0" applyProtection="0"/>
    <xf numFmtId="184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84" fontId="21" fillId="11" borderId="0" applyNumberFormat="0" applyBorder="0" applyAlignment="0" applyProtection="0"/>
    <xf numFmtId="0" fontId="37" fillId="11" borderId="0" applyNumberFormat="0" applyBorder="0" applyAlignment="0" applyProtection="0"/>
    <xf numFmtId="184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84" fontId="37" fillId="11" borderId="0" applyNumberFormat="0" applyBorder="0" applyAlignment="0" applyProtection="0"/>
    <xf numFmtId="0" fontId="63" fillId="11" borderId="0" applyNumberFormat="0" applyBorder="0" applyAlignment="0" applyProtection="0"/>
    <xf numFmtId="184" fontId="63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184" fontId="62" fillId="11" borderId="0" applyNumberFormat="0" applyBorder="0" applyAlignment="0" applyProtection="0"/>
    <xf numFmtId="0" fontId="37" fillId="11" borderId="0" applyNumberFormat="0" applyBorder="0" applyAlignment="0" applyProtection="0"/>
    <xf numFmtId="184" fontId="37" fillId="11" borderId="0" applyNumberFormat="0" applyBorder="0" applyAlignment="0" applyProtection="0"/>
    <xf numFmtId="0" fontId="82" fillId="56" borderId="0" applyNumberFormat="0" applyBorder="0" applyAlignment="0" applyProtection="0"/>
    <xf numFmtId="184" fontId="82" fillId="56" borderId="0" applyNumberFormat="0" applyBorder="0" applyAlignment="0" applyProtection="0"/>
    <xf numFmtId="0" fontId="37" fillId="11" borderId="0" applyNumberFormat="0" applyBorder="0" applyAlignment="0" applyProtection="0"/>
    <xf numFmtId="184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84" fontId="37" fillId="11" borderId="0" applyNumberFormat="0" applyBorder="0" applyAlignment="0" applyProtection="0"/>
    <xf numFmtId="0" fontId="1" fillId="56" borderId="0" applyNumberFormat="0" applyBorder="0" applyAlignment="0" applyProtection="0"/>
    <xf numFmtId="184" fontId="1" fillId="56" borderId="0" applyNumberFormat="0" applyBorder="0" applyAlignment="0" applyProtection="0"/>
    <xf numFmtId="0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84" fontId="21" fillId="12" borderId="0" applyNumberFormat="0" applyBorder="0" applyAlignment="0" applyProtection="0"/>
    <xf numFmtId="0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63" fillId="12" borderId="0" applyNumberFormat="0" applyBorder="0" applyAlignment="0" applyProtection="0"/>
    <xf numFmtId="184" fontId="63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184" fontId="62" fillId="12" borderId="0" applyNumberFormat="0" applyBorder="0" applyAlignment="0" applyProtection="0"/>
    <xf numFmtId="0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1" fillId="25" borderId="0" applyNumberFormat="0" applyBorder="0" applyAlignment="0" applyProtection="0"/>
    <xf numFmtId="184" fontId="1" fillId="25" borderId="0" applyNumberFormat="0" applyBorder="0" applyAlignment="0" applyProtection="0"/>
    <xf numFmtId="0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184" fontId="82" fillId="6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1" fillId="60" borderId="0" applyNumberFormat="0" applyBorder="0" applyAlignment="0" applyProtection="0"/>
    <xf numFmtId="184" fontId="1" fillId="60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84" fontId="21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63" fillId="13" borderId="0" applyNumberFormat="0" applyBorder="0" applyAlignment="0" applyProtection="0"/>
    <xf numFmtId="184" fontId="6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184" fontId="62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1" fillId="13" borderId="0" applyNumberFormat="0" applyBorder="0" applyAlignment="0" applyProtection="0"/>
    <xf numFmtId="184" fontId="1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184" fontId="82" fillId="4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1" fillId="41" borderId="0" applyNumberFormat="0" applyBorder="0" applyAlignment="0" applyProtection="0"/>
    <xf numFmtId="184" fontId="1" fillId="41" borderId="0" applyNumberFormat="0" applyBorder="0" applyAlignment="0" applyProtection="0"/>
    <xf numFmtId="0" fontId="37" fillId="14" borderId="0" applyNumberFormat="0" applyBorder="0" applyAlignment="0" applyProtection="0"/>
    <xf numFmtId="184" fontId="37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84" fontId="21" fillId="14" borderId="0" applyNumberFormat="0" applyBorder="0" applyAlignment="0" applyProtection="0"/>
    <xf numFmtId="0" fontId="37" fillId="14" borderId="0" applyNumberFormat="0" applyBorder="0" applyAlignment="0" applyProtection="0"/>
    <xf numFmtId="184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184" fontId="37" fillId="14" borderId="0" applyNumberFormat="0" applyBorder="0" applyAlignment="0" applyProtection="0"/>
    <xf numFmtId="0" fontId="63" fillId="14" borderId="0" applyNumberFormat="0" applyBorder="0" applyAlignment="0" applyProtection="0"/>
    <xf numFmtId="184" fontId="63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184" fontId="62" fillId="14" borderId="0" applyNumberFormat="0" applyBorder="0" applyAlignment="0" applyProtection="0"/>
    <xf numFmtId="0" fontId="37" fillId="14" borderId="0" applyNumberFormat="0" applyBorder="0" applyAlignment="0" applyProtection="0"/>
    <xf numFmtId="184" fontId="37" fillId="14" borderId="0" applyNumberFormat="0" applyBorder="0" applyAlignment="0" applyProtection="0"/>
    <xf numFmtId="0" fontId="82" fillId="45" borderId="0" applyNumberFormat="0" applyBorder="0" applyAlignment="0" applyProtection="0"/>
    <xf numFmtId="184" fontId="82" fillId="45" borderId="0" applyNumberFormat="0" applyBorder="0" applyAlignment="0" applyProtection="0"/>
    <xf numFmtId="0" fontId="37" fillId="14" borderId="0" applyNumberFormat="0" applyBorder="0" applyAlignment="0" applyProtection="0"/>
    <xf numFmtId="184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184" fontId="37" fillId="14" borderId="0" applyNumberFormat="0" applyBorder="0" applyAlignment="0" applyProtection="0"/>
    <xf numFmtId="0" fontId="1" fillId="45" borderId="0" applyNumberFormat="0" applyBorder="0" applyAlignment="0" applyProtection="0"/>
    <xf numFmtId="184" fontId="1" fillId="45" borderId="0" applyNumberFormat="0" applyBorder="0" applyAlignment="0" applyProtection="0"/>
    <xf numFmtId="0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84" fontId="21" fillId="15" borderId="0" applyNumberFormat="0" applyBorder="0" applyAlignment="0" applyProtection="0"/>
    <xf numFmtId="0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63" fillId="15" borderId="0" applyNumberFormat="0" applyBorder="0" applyAlignment="0" applyProtection="0"/>
    <xf numFmtId="184" fontId="63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184" fontId="62" fillId="15" borderId="0" applyNumberFormat="0" applyBorder="0" applyAlignment="0" applyProtection="0"/>
    <xf numFmtId="0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1" fillId="15" borderId="0" applyNumberFormat="0" applyBorder="0" applyAlignment="0" applyProtection="0"/>
    <xf numFmtId="184" fontId="1" fillId="15" borderId="0" applyNumberFormat="0" applyBorder="0" applyAlignment="0" applyProtection="0"/>
    <xf numFmtId="0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184" fontId="82" fillId="4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1" fillId="49" borderId="0" applyNumberFormat="0" applyBorder="0" applyAlignment="0" applyProtection="0"/>
    <xf numFmtId="184" fontId="1" fillId="49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84" fontId="21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63" fillId="10" borderId="0" applyNumberFormat="0" applyBorder="0" applyAlignment="0" applyProtection="0"/>
    <xf numFmtId="184" fontId="63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184" fontId="62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1" fillId="10" borderId="0" applyNumberFormat="0" applyBorder="0" applyAlignment="0" applyProtection="0"/>
    <xf numFmtId="184" fontId="1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184" fontId="82" fillId="5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184" fontId="37" fillId="10" borderId="0" applyNumberFormat="0" applyBorder="0" applyAlignment="0" applyProtection="0"/>
    <xf numFmtId="0" fontId="1" fillId="53" borderId="0" applyNumberFormat="0" applyBorder="0" applyAlignment="0" applyProtection="0"/>
    <xf numFmtId="184" fontId="1" fillId="5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84" fontId="21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63" fillId="13" borderId="0" applyNumberFormat="0" applyBorder="0" applyAlignment="0" applyProtection="0"/>
    <xf numFmtId="184" fontId="63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184" fontId="62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1" fillId="13" borderId="0" applyNumberFormat="0" applyBorder="0" applyAlignment="0" applyProtection="0"/>
    <xf numFmtId="184" fontId="1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82" fillId="57" borderId="0" applyNumberFormat="0" applyBorder="0" applyAlignment="0" applyProtection="0"/>
    <xf numFmtId="0" fontId="82" fillId="57" borderId="0" applyNumberFormat="0" applyBorder="0" applyAlignment="0" applyProtection="0"/>
    <xf numFmtId="184" fontId="82" fillId="57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1" fillId="57" borderId="0" applyNumberFormat="0" applyBorder="0" applyAlignment="0" applyProtection="0"/>
    <xf numFmtId="184" fontId="1" fillId="57" borderId="0" applyNumberFormat="0" applyBorder="0" applyAlignment="0" applyProtection="0"/>
    <xf numFmtId="0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84" fontId="21" fillId="16" borderId="0" applyNumberFormat="0" applyBorder="0" applyAlignment="0" applyProtection="0"/>
    <xf numFmtId="0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63" fillId="16" borderId="0" applyNumberFormat="0" applyBorder="0" applyAlignment="0" applyProtection="0"/>
    <xf numFmtId="184" fontId="63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184" fontId="62" fillId="16" borderId="0" applyNumberFormat="0" applyBorder="0" applyAlignment="0" applyProtection="0"/>
    <xf numFmtId="0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1" fillId="16" borderId="0" applyNumberFormat="0" applyBorder="0" applyAlignment="0" applyProtection="0"/>
    <xf numFmtId="184" fontId="1" fillId="16" borderId="0" applyNumberFormat="0" applyBorder="0" applyAlignment="0" applyProtection="0"/>
    <xf numFmtId="0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82" fillId="61" borderId="0" applyNumberFormat="0" applyBorder="0" applyAlignment="0" applyProtection="0"/>
    <xf numFmtId="0" fontId="82" fillId="61" borderId="0" applyNumberFormat="0" applyBorder="0" applyAlignment="0" applyProtection="0"/>
    <xf numFmtId="184" fontId="82" fillId="6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1" fillId="61" borderId="0" applyNumberFormat="0" applyBorder="0" applyAlignment="0" applyProtection="0"/>
    <xf numFmtId="184" fontId="1" fillId="6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84" fontId="22" fillId="17" borderId="0" applyNumberFormat="0" applyBorder="0" applyAlignment="0" applyProtection="0"/>
    <xf numFmtId="0" fontId="64" fillId="17" borderId="0" applyNumberFormat="0" applyBorder="0" applyAlignment="0" applyProtection="0"/>
    <xf numFmtId="184" fontId="64" fillId="17" borderId="0" applyNumberFormat="0" applyBorder="0" applyAlignment="0" applyProtection="0"/>
    <xf numFmtId="0" fontId="48" fillId="17" borderId="0" applyNumberFormat="0" applyBorder="0" applyAlignment="0" applyProtection="0"/>
    <xf numFmtId="184" fontId="48" fillId="17" borderId="0" applyNumberFormat="0" applyBorder="0" applyAlignment="0" applyProtection="0"/>
    <xf numFmtId="0" fontId="108" fillId="17" borderId="0" applyNumberFormat="0" applyBorder="0" applyAlignment="0" applyProtection="0"/>
    <xf numFmtId="0" fontId="108" fillId="17" borderId="0" applyNumberFormat="0" applyBorder="0" applyAlignment="0" applyProtection="0"/>
    <xf numFmtId="184" fontId="108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184" fontId="107" fillId="17" borderId="0" applyNumberFormat="0" applyBorder="0" applyAlignment="0" applyProtection="0"/>
    <xf numFmtId="0" fontId="48" fillId="17" borderId="0" applyNumberFormat="0" applyBorder="0" applyAlignment="0" applyProtection="0"/>
    <xf numFmtId="184" fontId="48" fillId="17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184" fontId="109" fillId="4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184" fontId="48" fillId="17" borderId="0" applyNumberFormat="0" applyBorder="0" applyAlignment="0" applyProtection="0"/>
    <xf numFmtId="0" fontId="107" fillId="42" borderId="0" applyNumberFormat="0" applyBorder="0" applyAlignment="0" applyProtection="0"/>
    <xf numFmtId="184" fontId="107" fillId="4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84" fontId="22" fillId="14" borderId="0" applyNumberFormat="0" applyBorder="0" applyAlignment="0" applyProtection="0"/>
    <xf numFmtId="0" fontId="64" fillId="14" borderId="0" applyNumberFormat="0" applyBorder="0" applyAlignment="0" applyProtection="0"/>
    <xf numFmtId="184" fontId="64" fillId="14" borderId="0" applyNumberFormat="0" applyBorder="0" applyAlignment="0" applyProtection="0"/>
    <xf numFmtId="0" fontId="48" fillId="14" borderId="0" applyNumberFormat="0" applyBorder="0" applyAlignment="0" applyProtection="0"/>
    <xf numFmtId="184" fontId="48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184" fontId="108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184" fontId="107" fillId="14" borderId="0" applyNumberFormat="0" applyBorder="0" applyAlignment="0" applyProtection="0"/>
    <xf numFmtId="0" fontId="48" fillId="14" borderId="0" applyNumberFormat="0" applyBorder="0" applyAlignment="0" applyProtection="0"/>
    <xf numFmtId="184" fontId="48" fillId="14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184" fontId="109" fillId="46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184" fontId="48" fillId="14" borderId="0" applyNumberFormat="0" applyBorder="0" applyAlignment="0" applyProtection="0"/>
    <xf numFmtId="0" fontId="107" fillId="46" borderId="0" applyNumberFormat="0" applyBorder="0" applyAlignment="0" applyProtection="0"/>
    <xf numFmtId="184" fontId="107" fillId="4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184" fontId="22" fillId="15" borderId="0" applyNumberFormat="0" applyBorder="0" applyAlignment="0" applyProtection="0"/>
    <xf numFmtId="0" fontId="64" fillId="15" borderId="0" applyNumberFormat="0" applyBorder="0" applyAlignment="0" applyProtection="0"/>
    <xf numFmtId="184" fontId="64" fillId="15" borderId="0" applyNumberFormat="0" applyBorder="0" applyAlignment="0" applyProtection="0"/>
    <xf numFmtId="0" fontId="48" fillId="15" borderId="0" applyNumberFormat="0" applyBorder="0" applyAlignment="0" applyProtection="0"/>
    <xf numFmtId="184" fontId="4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184" fontId="108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184" fontId="107" fillId="15" borderId="0" applyNumberFormat="0" applyBorder="0" applyAlignment="0" applyProtection="0"/>
    <xf numFmtId="0" fontId="48" fillId="15" borderId="0" applyNumberFormat="0" applyBorder="0" applyAlignment="0" applyProtection="0"/>
    <xf numFmtId="184" fontId="48" fillId="15" borderId="0" applyNumberFormat="0" applyBorder="0" applyAlignment="0" applyProtection="0"/>
    <xf numFmtId="0" fontId="109" fillId="50" borderId="0" applyNumberFormat="0" applyBorder="0" applyAlignment="0" applyProtection="0"/>
    <xf numFmtId="0" fontId="109" fillId="50" borderId="0" applyNumberFormat="0" applyBorder="0" applyAlignment="0" applyProtection="0"/>
    <xf numFmtId="184" fontId="109" fillId="50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184" fontId="48" fillId="15" borderId="0" applyNumberFormat="0" applyBorder="0" applyAlignment="0" applyProtection="0"/>
    <xf numFmtId="0" fontId="107" fillId="50" borderId="0" applyNumberFormat="0" applyBorder="0" applyAlignment="0" applyProtection="0"/>
    <xf numFmtId="184" fontId="107" fillId="5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84" fontId="22" fillId="18" borderId="0" applyNumberFormat="0" applyBorder="0" applyAlignment="0" applyProtection="0"/>
    <xf numFmtId="0" fontId="64" fillId="18" borderId="0" applyNumberFormat="0" applyBorder="0" applyAlignment="0" applyProtection="0"/>
    <xf numFmtId="184" fontId="64" fillId="18" borderId="0" applyNumberFormat="0" applyBorder="0" applyAlignment="0" applyProtection="0"/>
    <xf numFmtId="0" fontId="48" fillId="18" borderId="0" applyNumberFormat="0" applyBorder="0" applyAlignment="0" applyProtection="0"/>
    <xf numFmtId="184" fontId="4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184" fontId="108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184" fontId="107" fillId="18" borderId="0" applyNumberFormat="0" applyBorder="0" applyAlignment="0" applyProtection="0"/>
    <xf numFmtId="0" fontId="48" fillId="18" borderId="0" applyNumberFormat="0" applyBorder="0" applyAlignment="0" applyProtection="0"/>
    <xf numFmtId="184" fontId="48" fillId="18" borderId="0" applyNumberFormat="0" applyBorder="0" applyAlignment="0" applyProtection="0"/>
    <xf numFmtId="0" fontId="109" fillId="54" borderId="0" applyNumberFormat="0" applyBorder="0" applyAlignment="0" applyProtection="0"/>
    <xf numFmtId="0" fontId="109" fillId="54" borderId="0" applyNumberFormat="0" applyBorder="0" applyAlignment="0" applyProtection="0"/>
    <xf numFmtId="184" fontId="109" fillId="5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184" fontId="48" fillId="18" borderId="0" applyNumberFormat="0" applyBorder="0" applyAlignment="0" applyProtection="0"/>
    <xf numFmtId="0" fontId="107" fillId="54" borderId="0" applyNumberFormat="0" applyBorder="0" applyAlignment="0" applyProtection="0"/>
    <xf numFmtId="184" fontId="107" fillId="5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84" fontId="22" fillId="19" borderId="0" applyNumberFormat="0" applyBorder="0" applyAlignment="0" applyProtection="0"/>
    <xf numFmtId="0" fontId="64" fillId="19" borderId="0" applyNumberFormat="0" applyBorder="0" applyAlignment="0" applyProtection="0"/>
    <xf numFmtId="184" fontId="64" fillId="19" borderId="0" applyNumberFormat="0" applyBorder="0" applyAlignment="0" applyProtection="0"/>
    <xf numFmtId="0" fontId="48" fillId="19" borderId="0" applyNumberFormat="0" applyBorder="0" applyAlignment="0" applyProtection="0"/>
    <xf numFmtId="184" fontId="4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184" fontId="108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184" fontId="107" fillId="19" borderId="0" applyNumberFormat="0" applyBorder="0" applyAlignment="0" applyProtection="0"/>
    <xf numFmtId="0" fontId="48" fillId="19" borderId="0" applyNumberFormat="0" applyBorder="0" applyAlignment="0" applyProtection="0"/>
    <xf numFmtId="184" fontId="48" fillId="19" borderId="0" applyNumberFormat="0" applyBorder="0" applyAlignment="0" applyProtection="0"/>
    <xf numFmtId="0" fontId="109" fillId="58" borderId="0" applyNumberFormat="0" applyBorder="0" applyAlignment="0" applyProtection="0"/>
    <xf numFmtId="0" fontId="109" fillId="58" borderId="0" applyNumberFormat="0" applyBorder="0" applyAlignment="0" applyProtection="0"/>
    <xf numFmtId="184" fontId="109" fillId="5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184" fontId="48" fillId="19" borderId="0" applyNumberFormat="0" applyBorder="0" applyAlignment="0" applyProtection="0"/>
    <xf numFmtId="0" fontId="107" fillId="58" borderId="0" applyNumberFormat="0" applyBorder="0" applyAlignment="0" applyProtection="0"/>
    <xf numFmtId="184" fontId="107" fillId="5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84" fontId="22" fillId="20" borderId="0" applyNumberFormat="0" applyBorder="0" applyAlignment="0" applyProtection="0"/>
    <xf numFmtId="0" fontId="64" fillId="20" borderId="0" applyNumberFormat="0" applyBorder="0" applyAlignment="0" applyProtection="0"/>
    <xf numFmtId="184" fontId="64" fillId="20" borderId="0" applyNumberFormat="0" applyBorder="0" applyAlignment="0" applyProtection="0"/>
    <xf numFmtId="0" fontId="48" fillId="20" borderId="0" applyNumberFormat="0" applyBorder="0" applyAlignment="0" applyProtection="0"/>
    <xf numFmtId="184" fontId="4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184" fontId="108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184" fontId="107" fillId="20" borderId="0" applyNumberFormat="0" applyBorder="0" applyAlignment="0" applyProtection="0"/>
    <xf numFmtId="0" fontId="48" fillId="20" borderId="0" applyNumberFormat="0" applyBorder="0" applyAlignment="0" applyProtection="0"/>
    <xf numFmtId="184" fontId="48" fillId="20" borderId="0" applyNumberFormat="0" applyBorder="0" applyAlignment="0" applyProtection="0"/>
    <xf numFmtId="0" fontId="109" fillId="62" borderId="0" applyNumberFormat="0" applyBorder="0" applyAlignment="0" applyProtection="0"/>
    <xf numFmtId="0" fontId="109" fillId="62" borderId="0" applyNumberFormat="0" applyBorder="0" applyAlignment="0" applyProtection="0"/>
    <xf numFmtId="184" fontId="109" fillId="62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84" fontId="48" fillId="20" borderId="0" applyNumberFormat="0" applyBorder="0" applyAlignment="0" applyProtection="0"/>
    <xf numFmtId="0" fontId="107" fillId="62" borderId="0" applyNumberFormat="0" applyBorder="0" applyAlignment="0" applyProtection="0"/>
    <xf numFmtId="184" fontId="107" fillId="6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84" fontId="22" fillId="21" borderId="0" applyNumberFormat="0" applyBorder="0" applyAlignment="0" applyProtection="0"/>
    <xf numFmtId="0" fontId="64" fillId="21" borderId="0" applyNumberFormat="0" applyBorder="0" applyAlignment="0" applyProtection="0"/>
    <xf numFmtId="184" fontId="64" fillId="21" borderId="0" applyNumberFormat="0" applyBorder="0" applyAlignment="0" applyProtection="0"/>
    <xf numFmtId="0" fontId="48" fillId="21" borderId="0" applyNumberFormat="0" applyBorder="0" applyAlignment="0" applyProtection="0"/>
    <xf numFmtId="184" fontId="4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184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184" fontId="107" fillId="21" borderId="0" applyNumberFormat="0" applyBorder="0" applyAlignment="0" applyProtection="0"/>
    <xf numFmtId="0" fontId="48" fillId="21" borderId="0" applyNumberFormat="0" applyBorder="0" applyAlignment="0" applyProtection="0"/>
    <xf numFmtId="184" fontId="48" fillId="21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184" fontId="109" fillId="39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184" fontId="48" fillId="21" borderId="0" applyNumberFormat="0" applyBorder="0" applyAlignment="0" applyProtection="0"/>
    <xf numFmtId="0" fontId="107" fillId="39" borderId="0" applyNumberFormat="0" applyBorder="0" applyAlignment="0" applyProtection="0"/>
    <xf numFmtId="184" fontId="107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84" fontId="22" fillId="22" borderId="0" applyNumberFormat="0" applyBorder="0" applyAlignment="0" applyProtection="0"/>
    <xf numFmtId="0" fontId="64" fillId="22" borderId="0" applyNumberFormat="0" applyBorder="0" applyAlignment="0" applyProtection="0"/>
    <xf numFmtId="184" fontId="64" fillId="22" borderId="0" applyNumberFormat="0" applyBorder="0" applyAlignment="0" applyProtection="0"/>
    <xf numFmtId="0" fontId="48" fillId="22" borderId="0" applyNumberFormat="0" applyBorder="0" applyAlignment="0" applyProtection="0"/>
    <xf numFmtId="184" fontId="4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4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184" fontId="107" fillId="22" borderId="0" applyNumberFormat="0" applyBorder="0" applyAlignment="0" applyProtection="0"/>
    <xf numFmtId="0" fontId="48" fillId="22" borderId="0" applyNumberFormat="0" applyBorder="0" applyAlignment="0" applyProtection="0"/>
    <xf numFmtId="184" fontId="48" fillId="22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184" fontId="109" fillId="4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184" fontId="48" fillId="22" borderId="0" applyNumberFormat="0" applyBorder="0" applyAlignment="0" applyProtection="0"/>
    <xf numFmtId="0" fontId="107" fillId="43" borderId="0" applyNumberFormat="0" applyBorder="0" applyAlignment="0" applyProtection="0"/>
    <xf numFmtId="184" fontId="107" fillId="4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84" fontId="22" fillId="23" borderId="0" applyNumberFormat="0" applyBorder="0" applyAlignment="0" applyProtection="0"/>
    <xf numFmtId="0" fontId="64" fillId="23" borderId="0" applyNumberFormat="0" applyBorder="0" applyAlignment="0" applyProtection="0"/>
    <xf numFmtId="184" fontId="64" fillId="23" borderId="0" applyNumberFormat="0" applyBorder="0" applyAlignment="0" applyProtection="0"/>
    <xf numFmtId="0" fontId="48" fillId="23" borderId="0" applyNumberFormat="0" applyBorder="0" applyAlignment="0" applyProtection="0"/>
    <xf numFmtId="184" fontId="4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184" fontId="108" fillId="23" borderId="0" applyNumberFormat="0" applyBorder="0" applyAlignment="0" applyProtection="0"/>
    <xf numFmtId="0" fontId="107" fillId="23" borderId="0" applyNumberFormat="0" applyBorder="0" applyAlignment="0" applyProtection="0"/>
    <xf numFmtId="0" fontId="107" fillId="23" borderId="0" applyNumberFormat="0" applyBorder="0" applyAlignment="0" applyProtection="0"/>
    <xf numFmtId="184" fontId="107" fillId="23" borderId="0" applyNumberFormat="0" applyBorder="0" applyAlignment="0" applyProtection="0"/>
    <xf numFmtId="0" fontId="48" fillId="23" borderId="0" applyNumberFormat="0" applyBorder="0" applyAlignment="0" applyProtection="0"/>
    <xf numFmtId="184" fontId="48" fillId="23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184" fontId="109" fillId="47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184" fontId="48" fillId="23" borderId="0" applyNumberFormat="0" applyBorder="0" applyAlignment="0" applyProtection="0"/>
    <xf numFmtId="0" fontId="107" fillId="47" borderId="0" applyNumberFormat="0" applyBorder="0" applyAlignment="0" applyProtection="0"/>
    <xf numFmtId="184" fontId="107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84" fontId="22" fillId="18" borderId="0" applyNumberFormat="0" applyBorder="0" applyAlignment="0" applyProtection="0"/>
    <xf numFmtId="0" fontId="64" fillId="18" borderId="0" applyNumberFormat="0" applyBorder="0" applyAlignment="0" applyProtection="0"/>
    <xf numFmtId="184" fontId="64" fillId="18" borderId="0" applyNumberFormat="0" applyBorder="0" applyAlignment="0" applyProtection="0"/>
    <xf numFmtId="0" fontId="48" fillId="18" borderId="0" applyNumberFormat="0" applyBorder="0" applyAlignment="0" applyProtection="0"/>
    <xf numFmtId="184" fontId="4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184" fontId="108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184" fontId="107" fillId="18" borderId="0" applyNumberFormat="0" applyBorder="0" applyAlignment="0" applyProtection="0"/>
    <xf numFmtId="0" fontId="48" fillId="18" borderId="0" applyNumberFormat="0" applyBorder="0" applyAlignment="0" applyProtection="0"/>
    <xf numFmtId="184" fontId="48" fillId="18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184" fontId="109" fillId="5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184" fontId="48" fillId="18" borderId="0" applyNumberFormat="0" applyBorder="0" applyAlignment="0" applyProtection="0"/>
    <xf numFmtId="0" fontId="107" fillId="51" borderId="0" applyNumberFormat="0" applyBorder="0" applyAlignment="0" applyProtection="0"/>
    <xf numFmtId="184" fontId="107" fillId="5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84" fontId="22" fillId="19" borderId="0" applyNumberFormat="0" applyBorder="0" applyAlignment="0" applyProtection="0"/>
    <xf numFmtId="0" fontId="64" fillId="19" borderId="0" applyNumberFormat="0" applyBorder="0" applyAlignment="0" applyProtection="0"/>
    <xf numFmtId="184" fontId="64" fillId="19" borderId="0" applyNumberFormat="0" applyBorder="0" applyAlignment="0" applyProtection="0"/>
    <xf numFmtId="0" fontId="48" fillId="19" borderId="0" applyNumberFormat="0" applyBorder="0" applyAlignment="0" applyProtection="0"/>
    <xf numFmtId="184" fontId="4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184" fontId="108" fillId="19" borderId="0" applyNumberFormat="0" applyBorder="0" applyAlignment="0" applyProtection="0"/>
    <xf numFmtId="0" fontId="109" fillId="55" borderId="0" applyNumberFormat="0" applyBorder="0" applyAlignment="0" applyProtection="0"/>
    <xf numFmtId="0" fontId="109" fillId="55" borderId="0" applyNumberFormat="0" applyBorder="0" applyAlignment="0" applyProtection="0"/>
    <xf numFmtId="184" fontId="109" fillId="55" borderId="0" applyNumberFormat="0" applyBorder="0" applyAlignment="0" applyProtection="0"/>
    <xf numFmtId="0" fontId="48" fillId="19" borderId="0" applyNumberFormat="0" applyBorder="0" applyAlignment="0" applyProtection="0"/>
    <xf numFmtId="184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184" fontId="48" fillId="19" borderId="0" applyNumberFormat="0" applyBorder="0" applyAlignment="0" applyProtection="0"/>
    <xf numFmtId="0" fontId="107" fillId="55" borderId="0" applyNumberFormat="0" applyBorder="0" applyAlignment="0" applyProtection="0"/>
    <xf numFmtId="184" fontId="107" fillId="5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84" fontId="22" fillId="24" borderId="0" applyNumberFormat="0" applyBorder="0" applyAlignment="0" applyProtection="0"/>
    <xf numFmtId="0" fontId="64" fillId="24" borderId="0" applyNumberFormat="0" applyBorder="0" applyAlignment="0" applyProtection="0"/>
    <xf numFmtId="184" fontId="64" fillId="24" borderId="0" applyNumberFormat="0" applyBorder="0" applyAlignment="0" applyProtection="0"/>
    <xf numFmtId="0" fontId="48" fillId="24" borderId="0" applyNumberFormat="0" applyBorder="0" applyAlignment="0" applyProtection="0"/>
    <xf numFmtId="184" fontId="4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184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184" fontId="107" fillId="24" borderId="0" applyNumberFormat="0" applyBorder="0" applyAlignment="0" applyProtection="0"/>
    <xf numFmtId="0" fontId="48" fillId="24" borderId="0" applyNumberFormat="0" applyBorder="0" applyAlignment="0" applyProtection="0"/>
    <xf numFmtId="184" fontId="48" fillId="24" borderId="0" applyNumberFormat="0" applyBorder="0" applyAlignment="0" applyProtection="0"/>
    <xf numFmtId="0" fontId="109" fillId="59" borderId="0" applyNumberFormat="0" applyBorder="0" applyAlignment="0" applyProtection="0"/>
    <xf numFmtId="0" fontId="109" fillId="59" borderId="0" applyNumberFormat="0" applyBorder="0" applyAlignment="0" applyProtection="0"/>
    <xf numFmtId="184" fontId="109" fillId="59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184" fontId="48" fillId="24" borderId="0" applyNumberFormat="0" applyBorder="0" applyAlignment="0" applyProtection="0"/>
    <xf numFmtId="0" fontId="107" fillId="59" borderId="0" applyNumberFormat="0" applyBorder="0" applyAlignment="0" applyProtection="0"/>
    <xf numFmtId="184" fontId="107" fillId="59" borderId="0" applyNumberFormat="0" applyBorder="0" applyAlignment="0" applyProtection="0"/>
    <xf numFmtId="0" fontId="20" fillId="0" borderId="0">
      <alignment horizontal="center" wrapText="1"/>
    </xf>
    <xf numFmtId="0" fontId="40" fillId="0" borderId="4">
      <alignment horizontal="center" vertical="center"/>
    </xf>
    <xf numFmtId="0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0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23" fillId="8" borderId="0" applyNumberFormat="0" applyBorder="0" applyAlignment="0" applyProtection="0"/>
    <xf numFmtId="0" fontId="65" fillId="8" borderId="0" applyNumberFormat="0" applyBorder="0" applyAlignment="0" applyProtection="0"/>
    <xf numFmtId="184" fontId="65" fillId="8" borderId="0" applyNumberFormat="0" applyBorder="0" applyAlignment="0" applyProtection="0"/>
    <xf numFmtId="0" fontId="49" fillId="8" borderId="0" applyNumberFormat="0" applyBorder="0" applyAlignment="0" applyProtection="0"/>
    <xf numFmtId="184" fontId="49" fillId="8" borderId="0" applyNumberFormat="0" applyBorder="0" applyAlignment="0" applyProtection="0"/>
    <xf numFmtId="0" fontId="110" fillId="8" borderId="0" applyNumberFormat="0" applyBorder="0" applyAlignment="0" applyProtection="0"/>
    <xf numFmtId="0" fontId="110" fillId="8" borderId="0" applyNumberFormat="0" applyBorder="0" applyAlignment="0" applyProtection="0"/>
    <xf numFmtId="184" fontId="11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84" fontId="100" fillId="8" borderId="0" applyNumberFormat="0" applyBorder="0" applyAlignment="0" applyProtection="0"/>
    <xf numFmtId="0" fontId="49" fillId="8" borderId="0" applyNumberFormat="0" applyBorder="0" applyAlignment="0" applyProtection="0"/>
    <xf numFmtId="184" fontId="49" fillId="8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184" fontId="111" fillId="34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184" fontId="49" fillId="8" borderId="0" applyNumberFormat="0" applyBorder="0" applyAlignment="0" applyProtection="0"/>
    <xf numFmtId="0" fontId="100" fillId="34" borderId="0" applyNumberFormat="0" applyBorder="0" applyAlignment="0" applyProtection="0"/>
    <xf numFmtId="184" fontId="100" fillId="34" borderId="0" applyNumberFormat="0" applyBorder="0" applyAlignment="0" applyProtection="0"/>
    <xf numFmtId="0" fontId="112" fillId="0" borderId="0" applyNumberFormat="0" applyFont="0" applyProtection="0">
      <alignment horizontal="right" vertical="center"/>
    </xf>
    <xf numFmtId="0" fontId="24" fillId="25" borderId="7" applyNumberFormat="0" applyAlignment="0" applyProtection="0"/>
    <xf numFmtId="0" fontId="24" fillId="25" borderId="7" applyNumberFormat="0" applyAlignment="0" applyProtection="0"/>
    <xf numFmtId="0" fontId="24" fillId="25" borderId="7" applyNumberFormat="0" applyAlignment="0" applyProtection="0"/>
    <xf numFmtId="184" fontId="24" fillId="25" borderId="7" applyNumberFormat="0" applyAlignment="0" applyProtection="0"/>
    <xf numFmtId="0" fontId="24" fillId="25" borderId="7" applyNumberFormat="0" applyAlignment="0" applyProtection="0"/>
    <xf numFmtId="0" fontId="24" fillId="25" borderId="7" applyNumberFormat="0" applyAlignment="0" applyProtection="0"/>
    <xf numFmtId="184" fontId="24" fillId="25" borderId="7" applyNumberFormat="0" applyAlignment="0" applyProtection="0"/>
    <xf numFmtId="0" fontId="24" fillId="25" borderId="7" applyNumberFormat="0" applyAlignment="0" applyProtection="0"/>
    <xf numFmtId="184" fontId="24" fillId="25" borderId="7" applyNumberFormat="0" applyAlignment="0" applyProtection="0"/>
    <xf numFmtId="0" fontId="24" fillId="25" borderId="7" applyNumberFormat="0" applyAlignment="0" applyProtection="0"/>
    <xf numFmtId="0" fontId="24" fillId="25" borderId="7" applyNumberFormat="0" applyAlignment="0" applyProtection="0"/>
    <xf numFmtId="184" fontId="24" fillId="25" borderId="7" applyNumberFormat="0" applyAlignment="0" applyProtection="0"/>
    <xf numFmtId="0" fontId="24" fillId="25" borderId="7" applyNumberFormat="0" applyAlignment="0" applyProtection="0"/>
    <xf numFmtId="0" fontId="24" fillId="25" borderId="7" applyNumberFormat="0" applyAlignment="0" applyProtection="0"/>
    <xf numFmtId="184" fontId="24" fillId="25" borderId="7" applyNumberFormat="0" applyAlignment="0" applyProtection="0"/>
    <xf numFmtId="0" fontId="24" fillId="25" borderId="7" applyNumberFormat="0" applyAlignment="0" applyProtection="0"/>
    <xf numFmtId="0" fontId="24" fillId="25" borderId="7" applyNumberFormat="0" applyAlignment="0" applyProtection="0"/>
    <xf numFmtId="184" fontId="24" fillId="25" borderId="7" applyNumberFormat="0" applyAlignment="0" applyProtection="0"/>
    <xf numFmtId="0" fontId="66" fillId="25" borderId="7" applyNumberFormat="0" applyAlignment="0" applyProtection="0"/>
    <xf numFmtId="184" fontId="66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113" fillId="25" borderId="7" applyNumberFormat="0" applyAlignment="0" applyProtection="0"/>
    <xf numFmtId="0" fontId="113" fillId="25" borderId="7" applyNumberFormat="0" applyAlignment="0" applyProtection="0"/>
    <xf numFmtId="0" fontId="113" fillId="25" borderId="7" applyNumberFormat="0" applyAlignment="0" applyProtection="0"/>
    <xf numFmtId="184" fontId="113" fillId="25" borderId="7" applyNumberFormat="0" applyAlignment="0" applyProtection="0"/>
    <xf numFmtId="0" fontId="113" fillId="25" borderId="7" applyNumberFormat="0" applyAlignment="0" applyProtection="0"/>
    <xf numFmtId="0" fontId="113" fillId="25" borderId="7" applyNumberFormat="0" applyAlignment="0" applyProtection="0"/>
    <xf numFmtId="184" fontId="113" fillId="25" borderId="7" applyNumberFormat="0" applyAlignment="0" applyProtection="0"/>
    <xf numFmtId="0" fontId="113" fillId="25" borderId="7" applyNumberFormat="0" applyAlignment="0" applyProtection="0"/>
    <xf numFmtId="184" fontId="113" fillId="25" borderId="7" applyNumberFormat="0" applyAlignment="0" applyProtection="0"/>
    <xf numFmtId="0" fontId="114" fillId="25" borderId="2" applyNumberFormat="0" applyAlignment="0" applyProtection="0"/>
    <xf numFmtId="0" fontId="114" fillId="25" borderId="2" applyNumberFormat="0" applyAlignment="0" applyProtection="0"/>
    <xf numFmtId="184" fontId="114" fillId="25" borderId="2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115" fillId="36" borderId="2" applyNumberFormat="0" applyAlignment="0" applyProtection="0"/>
    <xf numFmtId="0" fontId="115" fillId="36" borderId="2" applyNumberFormat="0" applyAlignment="0" applyProtection="0"/>
    <xf numFmtId="184" fontId="115" fillId="36" borderId="2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50" fillId="25" borderId="7" applyNumberFormat="0" applyAlignment="0" applyProtection="0"/>
    <xf numFmtId="184" fontId="50" fillId="25" borderId="7" applyNumberFormat="0" applyAlignment="0" applyProtection="0"/>
    <xf numFmtId="0" fontId="103" fillId="36" borderId="2" applyNumberFormat="0" applyAlignment="0" applyProtection="0"/>
    <xf numFmtId="184" fontId="103" fillId="36" borderId="2" applyNumberFormat="0" applyAlignment="0" applyProtection="0"/>
    <xf numFmtId="185" fontId="87" fillId="0" borderId="0" applyFill="0" applyBorder="0"/>
    <xf numFmtId="185" fontId="87" fillId="0" borderId="0" applyFill="0" applyBorder="0"/>
    <xf numFmtId="186" fontId="87" fillId="0" borderId="0" applyFill="0" applyBorder="0"/>
    <xf numFmtId="186" fontId="87" fillId="0" borderId="0" applyFill="0" applyBorder="0"/>
    <xf numFmtId="187" fontId="87" fillId="0" borderId="0" applyFill="0" applyBorder="0"/>
    <xf numFmtId="187" fontId="87" fillId="0" borderId="0" applyFill="0" applyBorder="0"/>
    <xf numFmtId="188" fontId="87" fillId="0" borderId="0" applyFill="0" applyBorder="0"/>
    <xf numFmtId="188" fontId="87" fillId="0" borderId="0" applyFill="0" applyBorder="0"/>
    <xf numFmtId="189" fontId="87" fillId="0" borderId="0" applyFill="0" applyBorder="0"/>
    <xf numFmtId="189" fontId="87" fillId="0" borderId="0" applyFill="0" applyBorder="0"/>
    <xf numFmtId="190" fontId="87" fillId="0" borderId="0" applyFill="0" applyBorder="0"/>
    <xf numFmtId="190" fontId="87" fillId="0" borderId="0" applyFill="0" applyBorder="0"/>
    <xf numFmtId="191" fontId="87" fillId="0" borderId="0" applyFill="0" applyBorder="0"/>
    <xf numFmtId="191" fontId="87" fillId="0" borderId="0" applyFill="0" applyBorder="0"/>
    <xf numFmtId="192" fontId="87" fillId="0" borderId="0" applyFill="0" applyBorder="0"/>
    <xf numFmtId="192" fontId="87" fillId="0" borderId="0" applyFill="0" applyBorder="0"/>
    <xf numFmtId="193" fontId="87" fillId="0" borderId="0" applyFill="0" applyBorder="0"/>
    <xf numFmtId="193" fontId="87" fillId="0" borderId="0" applyFill="0" applyBorder="0"/>
    <xf numFmtId="194" fontId="87" fillId="0" borderId="0" applyFill="0" applyBorder="0"/>
    <xf numFmtId="194" fontId="87" fillId="0" borderId="0" applyFill="0" applyBorder="0"/>
    <xf numFmtId="194" fontId="87" fillId="0" borderId="0" applyFill="0" applyBorder="0">
      <alignment horizontal="center"/>
    </xf>
    <xf numFmtId="194" fontId="87" fillId="0" borderId="0" applyFill="0" applyBorder="0">
      <alignment horizontal="center"/>
    </xf>
    <xf numFmtId="195" fontId="87" fillId="0" borderId="0" applyFill="0" applyBorder="0"/>
    <xf numFmtId="195" fontId="87" fillId="0" borderId="0" applyFill="0" applyBorder="0"/>
    <xf numFmtId="0" fontId="25" fillId="26" borderId="8" applyNumberFormat="0" applyAlignment="0" applyProtection="0"/>
    <xf numFmtId="0" fontId="25" fillId="26" borderId="8" applyNumberFormat="0" applyAlignment="0" applyProtection="0"/>
    <xf numFmtId="184" fontId="25" fillId="26" borderId="8" applyNumberFormat="0" applyAlignment="0" applyProtection="0"/>
    <xf numFmtId="0" fontId="67" fillId="26" borderId="8" applyNumberFormat="0" applyAlignment="0" applyProtection="0"/>
    <xf numFmtId="184" fontId="67" fillId="26" borderId="8" applyNumberFormat="0" applyAlignment="0" applyProtection="0"/>
    <xf numFmtId="0" fontId="51" fillId="26" borderId="8" applyNumberFormat="0" applyAlignment="0" applyProtection="0"/>
    <xf numFmtId="184" fontId="51" fillId="26" borderId="8" applyNumberFormat="0" applyAlignment="0" applyProtection="0"/>
    <xf numFmtId="0" fontId="116" fillId="26" borderId="8" applyNumberFormat="0" applyAlignment="0" applyProtection="0"/>
    <xf numFmtId="0" fontId="116" fillId="26" borderId="8" applyNumberFormat="0" applyAlignment="0" applyProtection="0"/>
    <xf numFmtId="184" fontId="116" fillId="26" borderId="8" applyNumberFormat="0" applyAlignment="0" applyProtection="0"/>
    <xf numFmtId="0" fontId="117" fillId="37" borderId="22" applyNumberFormat="0" applyAlignment="0" applyProtection="0"/>
    <xf numFmtId="0" fontId="117" fillId="37" borderId="22" applyNumberFormat="0" applyAlignment="0" applyProtection="0"/>
    <xf numFmtId="184" fontId="117" fillId="37" borderId="22" applyNumberFormat="0" applyAlignment="0" applyProtection="0"/>
    <xf numFmtId="0" fontId="51" fillId="26" borderId="8" applyNumberFormat="0" applyAlignment="0" applyProtection="0"/>
    <xf numFmtId="184" fontId="51" fillId="26" borderId="8" applyNumberFormat="0" applyAlignment="0" applyProtection="0"/>
    <xf numFmtId="0" fontId="51" fillId="26" borderId="8" applyNumberFormat="0" applyAlignment="0" applyProtection="0"/>
    <xf numFmtId="0" fontId="51" fillId="26" borderId="8" applyNumberFormat="0" applyAlignment="0" applyProtection="0"/>
    <xf numFmtId="184" fontId="51" fillId="26" borderId="8" applyNumberFormat="0" applyAlignment="0" applyProtection="0"/>
    <xf numFmtId="0" fontId="105" fillId="37" borderId="22" applyNumberFormat="0" applyAlignment="0" applyProtection="0"/>
    <xf numFmtId="184" fontId="105" fillId="37" borderId="22" applyNumberFormat="0" applyAlignment="0" applyProtection="0"/>
    <xf numFmtId="196" fontId="87" fillId="0" borderId="0" applyFill="0" applyBorder="0"/>
    <xf numFmtId="196" fontId="87" fillId="0" borderId="0" applyFill="0" applyBorder="0"/>
    <xf numFmtId="197" fontId="87" fillId="0" borderId="0" applyFill="0" applyBorder="0"/>
    <xf numFmtId="197" fontId="87" fillId="0" borderId="0" applyFill="0" applyBorder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118" fillId="0" borderId="0" applyFont="0" applyFill="0" applyBorder="0" applyAlignment="0" applyProtection="0">
      <alignment horizontal="left"/>
      <protection locked="0"/>
    </xf>
    <xf numFmtId="200" fontId="20" fillId="0" borderId="25" applyFont="0" applyFill="0" applyBorder="0" applyAlignment="0" applyProtection="0">
      <alignment horizontal="left"/>
      <protection locked="0"/>
    </xf>
    <xf numFmtId="200" fontId="20" fillId="0" borderId="25" applyFont="0" applyFill="0" applyBorder="0" applyAlignment="0" applyProtection="0">
      <alignment horizontal="left"/>
      <protection locked="0"/>
    </xf>
    <xf numFmtId="200" fontId="20" fillId="0" borderId="25" applyFont="0" applyFill="0" applyBorder="0" applyAlignment="0" applyProtection="0">
      <alignment horizontal="left"/>
      <protection locked="0"/>
    </xf>
    <xf numFmtId="200" fontId="20" fillId="0" borderId="25" applyFont="0" applyFill="0" applyBorder="0" applyAlignment="0" applyProtection="0">
      <alignment horizontal="left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1" fontId="118" fillId="0" borderId="0" applyFont="0" applyFill="0" applyBorder="0" applyAlignment="0" applyProtection="0">
      <protection locked="0"/>
    </xf>
    <xf numFmtId="202" fontId="118" fillId="0" borderId="0" applyFont="0" applyFill="0" applyBorder="0" applyAlignment="0" applyProtection="0">
      <protection locked="0"/>
    </xf>
    <xf numFmtId="203" fontId="20" fillId="63" borderId="25" applyFont="0" applyFill="0" applyBorder="0" applyAlignment="0" applyProtection="0"/>
    <xf numFmtId="203" fontId="20" fillId="63" borderId="25" applyFont="0" applyFill="0" applyBorder="0" applyAlignment="0" applyProtection="0"/>
    <xf numFmtId="203" fontId="20" fillId="63" borderId="25" applyFont="0" applyFill="0" applyBorder="0" applyAlignment="0" applyProtection="0"/>
    <xf numFmtId="203" fontId="20" fillId="63" borderId="25" applyFont="0" applyFill="0" applyBorder="0" applyAlignment="0" applyProtection="0"/>
    <xf numFmtId="204" fontId="118" fillId="0" borderId="0" applyFont="0" applyFill="0" applyBorder="0" applyAlignment="0" applyProtection="0"/>
    <xf numFmtId="4" fontId="4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205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64" borderId="26">
      <alignment vertical="top" wrapText="1"/>
      <protection locked="0"/>
    </xf>
    <xf numFmtId="0" fontId="121" fillId="64" borderId="26">
      <alignment horizontal="left" vertical="top" wrapText="1" indent="1"/>
      <protection locked="0"/>
    </xf>
    <xf numFmtId="0" fontId="121" fillId="64" borderId="26">
      <alignment horizontal="left" vertical="top" wrapText="1" indent="1"/>
      <protection locked="0"/>
    </xf>
    <xf numFmtId="184" fontId="121" fillId="64" borderId="26">
      <alignment horizontal="left" vertical="top" wrapText="1" indent="1"/>
      <protection locked="0"/>
    </xf>
    <xf numFmtId="0" fontId="121" fillId="64" borderId="26">
      <alignment vertical="top" wrapText="1"/>
      <protection locked="0"/>
    </xf>
    <xf numFmtId="184" fontId="121" fillId="64" borderId="26">
      <alignment vertical="top" wrapText="1"/>
      <protection locked="0"/>
    </xf>
    <xf numFmtId="206" fontId="87" fillId="0" borderId="0" applyFill="0" applyBorder="0"/>
    <xf numFmtId="206" fontId="87" fillId="0" borderId="0" applyFill="0" applyBorder="0"/>
    <xf numFmtId="207" fontId="119" fillId="0" borderId="0" applyFill="0" applyBorder="0"/>
    <xf numFmtId="208" fontId="87" fillId="0" borderId="0" applyFill="0" applyBorder="0"/>
    <xf numFmtId="208" fontId="87" fillId="0" borderId="0" applyFill="0" applyBorder="0"/>
    <xf numFmtId="209" fontId="87" fillId="0" borderId="0" applyFill="0" applyBorder="0"/>
    <xf numFmtId="209" fontId="87" fillId="0" borderId="0" applyFill="0" applyBorder="0"/>
    <xf numFmtId="210" fontId="87" fillId="0" borderId="0" applyFill="0" applyBorder="0"/>
    <xf numFmtId="210" fontId="87" fillId="0" borderId="0" applyFill="0" applyBorder="0"/>
    <xf numFmtId="211" fontId="87" fillId="0" borderId="0" applyFill="0" applyBorder="0"/>
    <xf numFmtId="211" fontId="87" fillId="0" borderId="0" applyFill="0" applyBorder="0"/>
    <xf numFmtId="212" fontId="87" fillId="0" borderId="0" applyFill="0" applyBorder="0"/>
    <xf numFmtId="212" fontId="87" fillId="0" borderId="0" applyFill="0" applyBorder="0"/>
    <xf numFmtId="213" fontId="87" fillId="0" borderId="0" applyFill="0" applyBorder="0"/>
    <xf numFmtId="213" fontId="87" fillId="0" borderId="0" applyFill="0" applyBorder="0"/>
    <xf numFmtId="214" fontId="87" fillId="0" borderId="0" applyFill="0" applyBorder="0"/>
    <xf numFmtId="214" fontId="87" fillId="0" borderId="0" applyFill="0" applyBorder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216" fontId="120" fillId="0" borderId="0" applyFont="0" applyFill="0" applyBorder="0" applyAlignment="0" applyProtection="0"/>
    <xf numFmtId="0" fontId="122" fillId="64" borderId="26" applyNumberFormat="0">
      <protection locked="0"/>
    </xf>
    <xf numFmtId="0" fontId="122" fillId="64" borderId="26" applyNumberFormat="0">
      <protection locked="0"/>
    </xf>
    <xf numFmtId="184" fontId="122" fillId="64" borderId="26" applyNumberFormat="0">
      <protection locked="0"/>
    </xf>
    <xf numFmtId="0" fontId="121" fillId="63" borderId="0"/>
    <xf numFmtId="0" fontId="20" fillId="65" borderId="0"/>
    <xf numFmtId="0" fontId="20" fillId="65" borderId="0"/>
    <xf numFmtId="184" fontId="20" fillId="65" borderId="0"/>
    <xf numFmtId="0" fontId="121" fillId="63" borderId="0"/>
    <xf numFmtId="178" fontId="121" fillId="63" borderId="0"/>
    <xf numFmtId="184" fontId="121" fillId="63" borderId="0"/>
    <xf numFmtId="0" fontId="120" fillId="0" borderId="0" applyFont="0" applyFill="0" applyBorder="0" applyAlignment="0" applyProtection="0"/>
    <xf numFmtId="217" fontId="118" fillId="0" borderId="0" applyFont="0" applyFill="0" applyBorder="0" applyAlignment="0" applyProtection="0">
      <alignment wrapText="1"/>
    </xf>
    <xf numFmtId="217" fontId="118" fillId="0" borderId="0" applyFont="0" applyFill="0" applyBorder="0" applyAlignment="0" applyProtection="0">
      <alignment wrapText="1"/>
    </xf>
    <xf numFmtId="184" fontId="118" fillId="0" borderId="0" applyFont="0" applyFill="0" applyBorder="0" applyAlignment="0" applyProtection="0">
      <alignment wrapText="1"/>
    </xf>
    <xf numFmtId="0" fontId="120" fillId="0" borderId="0" applyFont="0" applyFill="0" applyBorder="0" applyAlignment="0" applyProtection="0"/>
    <xf numFmtId="184" fontId="120" fillId="0" borderId="0" applyFont="0" applyFill="0" applyBorder="0" applyAlignment="0" applyProtection="0"/>
    <xf numFmtId="184" fontId="120" fillId="0" borderId="0" applyFont="0" applyFill="0" applyBorder="0" applyAlignment="0" applyProtection="0"/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218" fontId="118" fillId="0" borderId="0" applyFont="0" applyFill="0" applyBorder="0" applyProtection="0">
      <protection locked="0"/>
    </xf>
    <xf numFmtId="184" fontId="118" fillId="0" borderId="0" applyFont="0" applyFill="0" applyBorder="0" applyProtection="0">
      <protection locked="0"/>
    </xf>
    <xf numFmtId="184" fontId="118" fillId="0" borderId="0" applyFont="0" applyFill="0" applyBorder="0" applyAlignment="0" applyProtection="0">
      <protection locked="0"/>
    </xf>
    <xf numFmtId="184" fontId="118" fillId="0" borderId="0" applyFont="0" applyFill="0" applyBorder="0" applyAlignment="0" applyProtection="0">
      <protection locked="0"/>
    </xf>
    <xf numFmtId="0" fontId="123" fillId="0" borderId="26" applyFill="0">
      <alignment horizontal="center"/>
    </xf>
    <xf numFmtId="0" fontId="124" fillId="66" borderId="25" applyFill="0">
      <alignment horizontal="center"/>
    </xf>
    <xf numFmtId="0" fontId="124" fillId="66" borderId="25" applyFill="0">
      <alignment horizontal="center"/>
    </xf>
    <xf numFmtId="0" fontId="124" fillId="66" borderId="25" applyFill="0">
      <alignment horizontal="center"/>
    </xf>
    <xf numFmtId="0" fontId="124" fillId="66" borderId="25" applyFill="0">
      <alignment horizontal="center"/>
    </xf>
    <xf numFmtId="184" fontId="124" fillId="66" borderId="25" applyFill="0">
      <alignment horizontal="center"/>
    </xf>
    <xf numFmtId="0" fontId="124" fillId="66" borderId="25" applyFill="0">
      <alignment horizontal="center"/>
    </xf>
    <xf numFmtId="0" fontId="123" fillId="0" borderId="26" applyFill="0">
      <alignment horizontal="center"/>
    </xf>
    <xf numFmtId="184" fontId="124" fillId="66" borderId="25" applyFill="0">
      <alignment horizontal="center"/>
    </xf>
    <xf numFmtId="0" fontId="124" fillId="66" borderId="25" applyFill="0">
      <alignment horizontal="center"/>
    </xf>
    <xf numFmtId="0" fontId="124" fillId="66" borderId="25" applyFill="0">
      <alignment horizontal="center"/>
    </xf>
    <xf numFmtId="184" fontId="124" fillId="66" borderId="25" applyFill="0">
      <alignment horizontal="center"/>
    </xf>
    <xf numFmtId="0" fontId="124" fillId="66" borderId="25" applyFill="0">
      <alignment horizontal="center"/>
    </xf>
    <xf numFmtId="184" fontId="124" fillId="66" borderId="25" applyFill="0">
      <alignment horizontal="center"/>
    </xf>
    <xf numFmtId="0" fontId="123" fillId="0" borderId="26" applyFill="0">
      <alignment horizontal="center"/>
    </xf>
    <xf numFmtId="178" fontId="123" fillId="0" borderId="26" applyFill="0">
      <alignment horizontal="center"/>
    </xf>
    <xf numFmtId="184" fontId="123" fillId="0" borderId="26" applyFill="0">
      <alignment horizontal="center"/>
    </xf>
    <xf numFmtId="218" fontId="123" fillId="0" borderId="26" applyFill="0">
      <alignment horizontal="center" vertical="center"/>
    </xf>
    <xf numFmtId="218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184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218" fontId="123" fillId="0" borderId="26" applyFill="0">
      <alignment horizontal="center" vertical="center"/>
    </xf>
    <xf numFmtId="184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184" fontId="124" fillId="66" borderId="25" applyFill="0">
      <alignment horizontal="center" vertical="center"/>
    </xf>
    <xf numFmtId="218" fontId="124" fillId="66" borderId="25" applyFill="0">
      <alignment horizontal="center" vertical="center"/>
    </xf>
    <xf numFmtId="184" fontId="124" fillId="66" borderId="25" applyFill="0">
      <alignment horizontal="center" vertical="center"/>
    </xf>
    <xf numFmtId="218" fontId="123" fillId="0" borderId="26" applyFill="0">
      <alignment horizontal="center" vertical="center"/>
    </xf>
    <xf numFmtId="184" fontId="123" fillId="0" borderId="26" applyFill="0">
      <alignment horizontal="center" vertical="center"/>
    </xf>
    <xf numFmtId="0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4" fontId="12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4" fontId="106" fillId="0" borderId="0" applyNumberFormat="0" applyFill="0" applyBorder="0" applyAlignment="0" applyProtection="0"/>
    <xf numFmtId="49" fontId="126" fillId="0" borderId="0" applyFill="0" applyProtection="0">
      <alignment horizontal="left" indent="1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4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84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4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28" fillId="65" borderId="0" applyFill="0">
      <alignment horizontal="left" inden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4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4" fontId="6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4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26" fillId="0" borderId="0" applyFill="0" applyProtection="0">
      <alignment horizontal="left" indent="1"/>
    </xf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49" fontId="126" fillId="0" borderId="0" applyFill="0" applyProtection="0">
      <alignment horizontal="left" indent="1"/>
    </xf>
    <xf numFmtId="49" fontId="126" fillId="0" borderId="0" applyFill="0" applyProtection="0">
      <alignment horizontal="left" indent="1"/>
    </xf>
    <xf numFmtId="49" fontId="126" fillId="0" borderId="0" applyFill="0" applyProtection="0">
      <alignment horizontal="left" inden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2" fontId="120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84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84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84" fontId="129" fillId="0" borderId="0" applyNumberFormat="0" applyFill="0" applyBorder="0" applyAlignment="0" applyProtection="0">
      <alignment vertical="top"/>
      <protection locked="0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184" fontId="27" fillId="9" borderId="0" applyNumberFormat="0" applyBorder="0" applyAlignment="0" applyProtection="0"/>
    <xf numFmtId="0" fontId="69" fillId="9" borderId="0" applyNumberFormat="0" applyBorder="0" applyAlignment="0" applyProtection="0"/>
    <xf numFmtId="184" fontId="69" fillId="9" borderId="0" applyNumberFormat="0" applyBorder="0" applyAlignment="0" applyProtection="0"/>
    <xf numFmtId="0" fontId="53" fillId="9" borderId="0" applyNumberFormat="0" applyBorder="0" applyAlignment="0" applyProtection="0"/>
    <xf numFmtId="184" fontId="53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184" fontId="130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184" fontId="99" fillId="9" borderId="0" applyNumberFormat="0" applyBorder="0" applyAlignment="0" applyProtection="0"/>
    <xf numFmtId="0" fontId="53" fillId="9" borderId="0" applyNumberFormat="0" applyBorder="0" applyAlignment="0" applyProtection="0"/>
    <xf numFmtId="184" fontId="53" fillId="9" borderId="0" applyNumberFormat="0" applyBorder="0" applyAlignment="0" applyProtection="0"/>
    <xf numFmtId="0" fontId="131" fillId="33" borderId="0" applyNumberFormat="0" applyBorder="0" applyAlignment="0" applyProtection="0"/>
    <xf numFmtId="0" fontId="131" fillId="33" borderId="0" applyNumberFormat="0" applyBorder="0" applyAlignment="0" applyProtection="0"/>
    <xf numFmtId="184" fontId="131" fillId="3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84" fontId="53" fillId="9" borderId="0" applyNumberFormat="0" applyBorder="0" applyAlignment="0" applyProtection="0"/>
    <xf numFmtId="0" fontId="99" fillId="33" borderId="0" applyNumberFormat="0" applyBorder="0" applyAlignment="0" applyProtection="0"/>
    <xf numFmtId="184" fontId="99" fillId="33" borderId="0" applyNumberFormat="0" applyBorder="0" applyAlignment="0" applyProtection="0"/>
    <xf numFmtId="0" fontId="132" fillId="0" borderId="0" applyFill="0" applyBorder="0"/>
    <xf numFmtId="0" fontId="132" fillId="0" borderId="0" applyFill="0" applyBorder="0"/>
    <xf numFmtId="0" fontId="132" fillId="0" borderId="0" applyFill="0" applyBorder="0"/>
    <xf numFmtId="184" fontId="132" fillId="0" borderId="0" applyFill="0" applyBorder="0"/>
    <xf numFmtId="0" fontId="132" fillId="0" borderId="0" applyFill="0" applyBorder="0"/>
    <xf numFmtId="184" fontId="132" fillId="0" borderId="0" applyFill="0" applyBorder="0"/>
    <xf numFmtId="0" fontId="133" fillId="0" borderId="0" applyFill="0" applyBorder="0"/>
    <xf numFmtId="0" fontId="133" fillId="0" borderId="0" applyFill="0" applyBorder="0"/>
    <xf numFmtId="0" fontId="133" fillId="0" borderId="0" applyFill="0" applyBorder="0"/>
    <xf numFmtId="184" fontId="133" fillId="0" borderId="0" applyFill="0" applyBorder="0"/>
    <xf numFmtId="0" fontId="133" fillId="0" borderId="0" applyFill="0" applyBorder="0"/>
    <xf numFmtId="184" fontId="133" fillId="0" borderId="0" applyFill="0" applyBorder="0"/>
    <xf numFmtId="0" fontId="134" fillId="0" borderId="0" applyFill="0" applyBorder="0"/>
    <xf numFmtId="0" fontId="134" fillId="0" borderId="0" applyFill="0" applyBorder="0"/>
    <xf numFmtId="0" fontId="134" fillId="0" borderId="0" applyFill="0" applyBorder="0"/>
    <xf numFmtId="184" fontId="134" fillId="0" borderId="0" applyFill="0" applyBorder="0"/>
    <xf numFmtId="0" fontId="134" fillId="0" borderId="0" applyFill="0" applyBorder="0"/>
    <xf numFmtId="184" fontId="134" fillId="0" borderId="0" applyFill="0" applyBorder="0"/>
    <xf numFmtId="0" fontId="135" fillId="0" borderId="0" applyFill="0" applyBorder="0"/>
    <xf numFmtId="0" fontId="135" fillId="0" borderId="0" applyFill="0" applyBorder="0"/>
    <xf numFmtId="0" fontId="135" fillId="0" borderId="0" applyFill="0" applyBorder="0"/>
    <xf numFmtId="184" fontId="135" fillId="0" borderId="0" applyFill="0" applyBorder="0"/>
    <xf numFmtId="0" fontId="135" fillId="0" borderId="0" applyFill="0" applyBorder="0"/>
    <xf numFmtId="184" fontId="135" fillId="0" borderId="0" applyFill="0" applyBorder="0"/>
    <xf numFmtId="0" fontId="133" fillId="0" borderId="0" applyNumberFormat="0" applyFill="0" applyAlignment="0"/>
    <xf numFmtId="0" fontId="133" fillId="0" borderId="0" applyNumberFormat="0" applyFill="0" applyAlignment="0"/>
    <xf numFmtId="184" fontId="133" fillId="0" borderId="0" applyNumberFormat="0" applyFill="0" applyAlignment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184" fontId="83" fillId="0" borderId="27" applyNumberFormat="0" applyFill="0" applyAlignment="0" applyProtection="0"/>
    <xf numFmtId="0" fontId="70" fillId="0" borderId="27" applyNumberFormat="0" applyFill="0" applyAlignment="0" applyProtection="0"/>
    <xf numFmtId="184" fontId="70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184" fontId="54" fillId="0" borderId="27" applyNumberFormat="0" applyFill="0" applyAlignment="0" applyProtection="0"/>
    <xf numFmtId="0" fontId="136" fillId="0" borderId="0" applyNumberFormat="0" applyFill="0" applyAlignment="0"/>
    <xf numFmtId="184" fontId="136" fillId="0" borderId="0" applyNumberFormat="0" applyFill="0" applyAlignment="0"/>
    <xf numFmtId="0" fontId="136" fillId="0" borderId="0" applyNumberFormat="0" applyFill="0" applyAlignment="0"/>
    <xf numFmtId="0" fontId="136" fillId="0" borderId="0" applyNumberFormat="0" applyFill="0" applyAlignment="0"/>
    <xf numFmtId="184" fontId="136" fillId="0" borderId="0" applyNumberFormat="0" applyFill="0" applyAlignment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184" fontId="70" fillId="0" borderId="27" applyNumberFormat="0" applyFill="0" applyAlignment="0" applyProtection="0"/>
    <xf numFmtId="0" fontId="54" fillId="0" borderId="27" applyNumberFormat="0" applyFill="0" applyAlignment="0" applyProtection="0"/>
    <xf numFmtId="184" fontId="54" fillId="0" borderId="27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28" applyNumberFormat="0" applyFill="0" applyAlignment="0" applyProtection="0"/>
    <xf numFmtId="0" fontId="138" fillId="0" borderId="28" applyNumberFormat="0" applyFill="0" applyAlignment="0" applyProtection="0"/>
    <xf numFmtId="184" fontId="138" fillId="0" borderId="28" applyNumberFormat="0" applyFill="0" applyAlignment="0" applyProtection="0"/>
    <xf numFmtId="0" fontId="137" fillId="0" borderId="0" applyNumberFormat="0" applyFill="0" applyBorder="0" applyAlignment="0" applyProtection="0"/>
    <xf numFmtId="184" fontId="137" fillId="0" borderId="0" applyNumberFormat="0" applyFill="0" applyBorder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184" fontId="54" fillId="0" borderId="27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8" fontId="136" fillId="0" borderId="0" applyNumberFormat="0" applyFill="0" applyAlignment="0"/>
    <xf numFmtId="184" fontId="137" fillId="0" borderId="0" applyNumberFormat="0" applyFill="0" applyBorder="0" applyAlignment="0" applyProtection="0"/>
    <xf numFmtId="0" fontId="139" fillId="0" borderId="28" applyNumberFormat="0" applyFill="0" applyAlignment="0" applyProtection="0"/>
    <xf numFmtId="184" fontId="139" fillId="0" borderId="28" applyNumberFormat="0" applyFill="0" applyAlignment="0" applyProtection="0"/>
    <xf numFmtId="0" fontId="136" fillId="0" borderId="0" applyNumberFormat="0" applyFill="0" applyAlignment="0" applyProtection="0"/>
    <xf numFmtId="0" fontId="133" fillId="66" borderId="0" applyNumberFormat="0" applyFill="0" applyAlignment="0"/>
    <xf numFmtId="0" fontId="133" fillId="66" borderId="0" applyNumberFormat="0" applyFill="0" applyAlignment="0"/>
    <xf numFmtId="184" fontId="133" fillId="66" borderId="0" applyNumberFormat="0" applyFill="0" applyAlignment="0"/>
    <xf numFmtId="0" fontId="136" fillId="0" borderId="0" applyNumberFormat="0" applyFill="0" applyAlignment="0" applyProtection="0"/>
    <xf numFmtId="178" fontId="136" fillId="0" borderId="0" applyNumberFormat="0" applyFill="0" applyAlignment="0" applyProtection="0"/>
    <xf numFmtId="184" fontId="136" fillId="0" borderId="0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184" fontId="55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184" fontId="84" fillId="0" borderId="29" applyNumberFormat="0" applyFill="0" applyAlignment="0" applyProtection="0"/>
    <xf numFmtId="0" fontId="71" fillId="0" borderId="29" applyNumberFormat="0" applyFill="0" applyAlignment="0" applyProtection="0"/>
    <xf numFmtId="184" fontId="71" fillId="0" borderId="29" applyNumberFormat="0" applyFill="0" applyAlignment="0" applyProtection="0"/>
    <xf numFmtId="0" fontId="140" fillId="0" borderId="0" applyNumberFormat="0" applyFill="0" applyAlignment="0"/>
    <xf numFmtId="184" fontId="140" fillId="0" borderId="0" applyNumberFormat="0" applyFill="0" applyAlignment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184" fontId="71" fillId="0" borderId="29" applyNumberFormat="0" applyFill="0" applyAlignment="0" applyProtection="0"/>
    <xf numFmtId="0" fontId="55" fillId="0" borderId="29" applyNumberFormat="0" applyFill="0" applyAlignment="0" applyProtection="0"/>
    <xf numFmtId="184" fontId="55" fillId="0" borderId="29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0" applyNumberFormat="0" applyFill="0" applyAlignment="0" applyProtection="0"/>
    <xf numFmtId="0" fontId="142" fillId="0" borderId="30" applyNumberFormat="0" applyFill="0" applyAlignment="0" applyProtection="0"/>
    <xf numFmtId="184" fontId="142" fillId="0" borderId="30" applyNumberFormat="0" applyFill="0" applyAlignment="0" applyProtection="0"/>
    <xf numFmtId="0" fontId="141" fillId="0" borderId="0" applyNumberFormat="0" applyFill="0" applyBorder="0" applyAlignment="0" applyProtection="0"/>
    <xf numFmtId="184" fontId="141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184" fontId="55" fillId="0" borderId="29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4" fontId="141" fillId="0" borderId="0" applyNumberFormat="0" applyFill="0" applyBorder="0" applyAlignment="0" applyProtection="0"/>
    <xf numFmtId="0" fontId="143" fillId="0" borderId="30" applyNumberFormat="0" applyFill="0" applyAlignment="0" applyProtection="0"/>
    <xf numFmtId="184" fontId="143" fillId="0" borderId="30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84" fontId="56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4" fontId="28" fillId="0" borderId="9" applyNumberFormat="0" applyFill="0" applyAlignment="0" applyProtection="0"/>
    <xf numFmtId="0" fontId="72" fillId="0" borderId="9" applyNumberFormat="0" applyFill="0" applyAlignment="0" applyProtection="0"/>
    <xf numFmtId="184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184" fontId="72" fillId="0" borderId="9" applyNumberFormat="0" applyFill="0" applyAlignment="0" applyProtection="0"/>
    <xf numFmtId="0" fontId="56" fillId="0" borderId="9" applyNumberFormat="0" applyFill="0" applyAlignment="0" applyProtection="0"/>
    <xf numFmtId="184" fontId="56" fillId="0" borderId="9" applyNumberFormat="0" applyFill="0" applyAlignment="0" applyProtection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184" fontId="144" fillId="0" borderId="31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84" fontId="56" fillId="0" borderId="9" applyNumberFormat="0" applyFill="0" applyAlignment="0" applyProtection="0"/>
    <xf numFmtId="0" fontId="98" fillId="0" borderId="31" applyNumberFormat="0" applyFill="0" applyAlignment="0" applyProtection="0"/>
    <xf numFmtId="184" fontId="98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4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4" fontId="72" fillId="0" borderId="0" applyNumberFormat="0" applyFill="0" applyBorder="0" applyAlignment="0" applyProtection="0"/>
    <xf numFmtId="0" fontId="118" fillId="65" borderId="0" applyFill="0" applyBorder="0"/>
    <xf numFmtId="184" fontId="118" fillId="65" borderId="0" applyFill="0" applyBorder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4" fontId="7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4" fontId="5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8" fillId="65" borderId="0" applyFill="0" applyBorder="0">
      <alignment wrapText="1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4" fontId="144" fillId="0" borderId="0" applyNumberFormat="0" applyFill="0" applyBorder="0" applyAlignment="0" applyProtection="0"/>
    <xf numFmtId="0" fontId="118" fillId="65" borderId="0" applyFill="0" applyBorder="0">
      <alignment wrapText="1"/>
    </xf>
    <xf numFmtId="184" fontId="118" fillId="65" borderId="0" applyFill="0" applyBorder="0">
      <alignment wrapText="1"/>
    </xf>
    <xf numFmtId="0" fontId="118" fillId="65" borderId="0" applyFill="0" applyBorder="0">
      <alignment wrapText="1"/>
    </xf>
    <xf numFmtId="0" fontId="118" fillId="65" borderId="0" applyFill="0" applyBorder="0">
      <alignment wrapText="1"/>
    </xf>
    <xf numFmtId="184" fontId="118" fillId="65" borderId="0" applyFill="0" applyBorder="0">
      <alignment wrapText="1"/>
    </xf>
    <xf numFmtId="0" fontId="144" fillId="0" borderId="0" applyNumberFormat="0" applyFill="0" applyBorder="0" applyAlignment="0" applyProtection="0"/>
    <xf numFmtId="184" fontId="1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4" fontId="5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4" fontId="98" fillId="0" borderId="0" applyNumberFormat="0" applyFill="0" applyBorder="0" applyAlignment="0" applyProtection="0"/>
    <xf numFmtId="0" fontId="121" fillId="63" borderId="32" applyNumberFormat="0">
      <alignment horizontal="left"/>
    </xf>
    <xf numFmtId="0" fontId="121" fillId="63" borderId="32" applyNumberFormat="0" applyFill="0">
      <alignment horizontal="left"/>
    </xf>
    <xf numFmtId="0" fontId="121" fillId="63" borderId="32" applyNumberFormat="0" applyFill="0">
      <alignment horizontal="left"/>
    </xf>
    <xf numFmtId="184" fontId="121" fillId="63" borderId="32" applyNumberFormat="0" applyFill="0">
      <alignment horizontal="left"/>
    </xf>
    <xf numFmtId="219" fontId="121" fillId="63" borderId="32" applyNumberFormat="0">
      <alignment horizontal="left"/>
    </xf>
    <xf numFmtId="0" fontId="121" fillId="63" borderId="32" applyNumberFormat="0">
      <alignment horizontal="left"/>
    </xf>
    <xf numFmtId="184" fontId="121" fillId="63" borderId="32" applyNumberFormat="0">
      <alignment horizontal="left"/>
    </xf>
    <xf numFmtId="0" fontId="145" fillId="0" borderId="0" applyFill="0" applyBorder="0">
      <alignment horizontal="left"/>
      <protection hidden="1"/>
    </xf>
    <xf numFmtId="0" fontId="145" fillId="0" borderId="0" applyFill="0" applyBorder="0">
      <alignment horizontal="left"/>
      <protection hidden="1"/>
    </xf>
    <xf numFmtId="184" fontId="145" fillId="0" borderId="0" applyFill="0" applyBorder="0">
      <alignment horizontal="left"/>
      <protection hidden="1"/>
    </xf>
    <xf numFmtId="0" fontId="145" fillId="0" borderId="0" applyFill="0" applyBorder="0">
      <alignment horizontal="left" indent="1"/>
      <protection hidden="1"/>
    </xf>
    <xf numFmtId="0" fontId="145" fillId="0" borderId="0" applyFill="0" applyBorder="0">
      <alignment horizontal="left" indent="1"/>
      <protection hidden="1"/>
    </xf>
    <xf numFmtId="184" fontId="145" fillId="0" borderId="0" applyFill="0" applyBorder="0">
      <alignment horizontal="left" indent="1"/>
      <protection hidden="1"/>
    </xf>
    <xf numFmtId="0" fontId="145" fillId="0" borderId="0" applyFill="0" applyBorder="0">
      <alignment horizontal="left" indent="2"/>
      <protection hidden="1"/>
    </xf>
    <xf numFmtId="0" fontId="145" fillId="0" borderId="0" applyFill="0" applyBorder="0">
      <alignment horizontal="left" indent="2"/>
      <protection hidden="1"/>
    </xf>
    <xf numFmtId="184" fontId="145" fillId="0" borderId="0" applyFill="0" applyBorder="0">
      <alignment horizontal="left" indent="2"/>
      <protection hidden="1"/>
    </xf>
    <xf numFmtId="0" fontId="145" fillId="0" borderId="0" applyFill="0" applyBorder="0">
      <alignment horizontal="left" indent="3"/>
      <protection hidden="1"/>
    </xf>
    <xf numFmtId="0" fontId="145" fillId="0" borderId="0" applyFill="0" applyBorder="0">
      <alignment horizontal="left" indent="3"/>
      <protection hidden="1"/>
    </xf>
    <xf numFmtId="184" fontId="145" fillId="0" borderId="0" applyFill="0" applyBorder="0">
      <alignment horizontal="left" indent="3"/>
      <protection hidden="1"/>
    </xf>
    <xf numFmtId="220" fontId="145" fillId="0" borderId="0" applyNumberFormat="0" applyFill="0" applyBorder="0" applyAlignment="0" applyProtection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220" fontId="145" fillId="0" borderId="0" applyNumberFormat="0" applyFill="0" applyBorder="0" applyAlignment="0" applyProtection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84" fontId="4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84" fontId="3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84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84" fontId="1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84" fontId="4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84" fontId="146" fillId="0" borderId="0" applyNumberFormat="0" applyFill="0" applyBorder="0" applyAlignment="0" applyProtection="0">
      <alignment vertical="top"/>
      <protection locked="0"/>
    </xf>
    <xf numFmtId="174" fontId="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84" fontId="147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84" fontId="47" fillId="0" borderId="0" applyNumberFormat="0" applyFill="0" applyBorder="0" applyAlignment="0" applyProtection="0">
      <alignment vertical="top"/>
      <protection locked="0"/>
    </xf>
    <xf numFmtId="174" fontId="4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84" fontId="4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84" fontId="14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84" fontId="36" fillId="0" borderId="0" applyNumberFormat="0" applyFill="0" applyBorder="0" applyAlignment="0" applyProtection="0">
      <alignment vertical="top"/>
      <protection locked="0"/>
    </xf>
    <xf numFmtId="174" fontId="4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85" fontId="95" fillId="0" borderId="0" applyFill="0" applyBorder="0">
      <protection locked="0"/>
    </xf>
    <xf numFmtId="186" fontId="95" fillId="0" borderId="0" applyFill="0" applyBorder="0">
      <protection locked="0"/>
    </xf>
    <xf numFmtId="187" fontId="95" fillId="0" borderId="0" applyFill="0" applyBorder="0">
      <protection locked="0"/>
    </xf>
    <xf numFmtId="188" fontId="95" fillId="0" borderId="0" applyFill="0" applyBorder="0">
      <protection locked="0"/>
    </xf>
    <xf numFmtId="189" fontId="95" fillId="0" borderId="0" applyFill="0" applyBorder="0">
      <protection locked="0"/>
    </xf>
    <xf numFmtId="221" fontId="95" fillId="0" borderId="0" applyFill="0" applyBorder="0">
      <protection locked="0"/>
    </xf>
    <xf numFmtId="222" fontId="95" fillId="0" borderId="0" applyFill="0" applyBorder="0">
      <protection locked="0"/>
    </xf>
    <xf numFmtId="192" fontId="95" fillId="0" borderId="0" applyFill="0" applyBorder="0">
      <protection locked="0"/>
    </xf>
    <xf numFmtId="193" fontId="95" fillId="0" borderId="0" applyFill="0" applyBorder="0">
      <protection locked="0"/>
    </xf>
    <xf numFmtId="194" fontId="95" fillId="0" borderId="0" applyFill="0" applyBorder="0">
      <protection locked="0"/>
    </xf>
    <xf numFmtId="195" fontId="95" fillId="0" borderId="0" applyFill="0" applyBorder="0">
      <protection locked="0"/>
    </xf>
    <xf numFmtId="195" fontId="149" fillId="0" borderId="0" applyFill="0" applyBorder="0">
      <protection locked="0"/>
    </xf>
    <xf numFmtId="195" fontId="95" fillId="0" borderId="0" applyFill="0" applyBorder="0">
      <protection locked="0"/>
    </xf>
    <xf numFmtId="49" fontId="95" fillId="0" borderId="0" applyFill="0" applyBorder="0">
      <alignment vertical="top"/>
      <protection locked="0"/>
    </xf>
    <xf numFmtId="49" fontId="149" fillId="0" borderId="0" applyFill="0" applyBorder="0">
      <alignment vertical="top"/>
      <protection locked="0"/>
    </xf>
    <xf numFmtId="0" fontId="95" fillId="0" borderId="0" applyFill="0" applyBorder="0">
      <alignment vertical="top" wrapText="1"/>
      <protection locked="0"/>
    </xf>
    <xf numFmtId="0" fontId="95" fillId="0" borderId="0" applyFill="0" applyBorder="0">
      <alignment vertical="top" wrapText="1"/>
      <protection locked="0"/>
    </xf>
    <xf numFmtId="184" fontId="95" fillId="0" borderId="0" applyFill="0" applyBorder="0">
      <alignment vertical="top" wrapText="1"/>
      <protection locked="0"/>
    </xf>
    <xf numFmtId="196" fontId="95" fillId="0" borderId="0" applyFill="0" applyBorder="0">
      <protection locked="0"/>
    </xf>
    <xf numFmtId="197" fontId="95" fillId="0" borderId="0" applyFill="0" applyBorder="0">
      <protection locked="0"/>
    </xf>
    <xf numFmtId="0" fontId="85" fillId="12" borderId="7" applyNumberFormat="0" applyAlignment="0" applyProtection="0"/>
    <xf numFmtId="0" fontId="85" fillId="12" borderId="7" applyNumberFormat="0" applyAlignment="0" applyProtection="0"/>
    <xf numFmtId="0" fontId="85" fillId="12" borderId="7" applyNumberFormat="0" applyAlignment="0" applyProtection="0"/>
    <xf numFmtId="184" fontId="85" fillId="12" borderId="7" applyNumberFormat="0" applyAlignment="0" applyProtection="0"/>
    <xf numFmtId="0" fontId="85" fillId="12" borderId="7" applyNumberFormat="0" applyAlignment="0" applyProtection="0"/>
    <xf numFmtId="0" fontId="85" fillId="12" borderId="7" applyNumberFormat="0" applyAlignment="0" applyProtection="0"/>
    <xf numFmtId="184" fontId="85" fillId="12" borderId="7" applyNumberFormat="0" applyAlignment="0" applyProtection="0"/>
    <xf numFmtId="0" fontId="85" fillId="12" borderId="7" applyNumberFormat="0" applyAlignment="0" applyProtection="0"/>
    <xf numFmtId="184" fontId="85" fillId="12" borderId="7" applyNumberFormat="0" applyAlignment="0" applyProtection="0"/>
    <xf numFmtId="0" fontId="85" fillId="12" borderId="7" applyNumberFormat="0" applyAlignment="0" applyProtection="0"/>
    <xf numFmtId="0" fontId="85" fillId="12" borderId="7" applyNumberFormat="0" applyAlignment="0" applyProtection="0"/>
    <xf numFmtId="184" fontId="85" fillId="12" borderId="7" applyNumberFormat="0" applyAlignment="0" applyProtection="0"/>
    <xf numFmtId="0" fontId="85" fillId="12" borderId="7" applyNumberFormat="0" applyAlignment="0" applyProtection="0"/>
    <xf numFmtId="0" fontId="85" fillId="12" borderId="7" applyNumberFormat="0" applyAlignment="0" applyProtection="0"/>
    <xf numFmtId="184" fontId="85" fillId="12" borderId="7" applyNumberFormat="0" applyAlignment="0" applyProtection="0"/>
    <xf numFmtId="0" fontId="85" fillId="12" borderId="7" applyNumberFormat="0" applyAlignment="0" applyProtection="0"/>
    <xf numFmtId="0" fontId="85" fillId="12" borderId="7" applyNumberFormat="0" applyAlignment="0" applyProtection="0"/>
    <xf numFmtId="184" fontId="85" fillId="12" borderId="7" applyNumberFormat="0" applyAlignment="0" applyProtection="0"/>
    <xf numFmtId="0" fontId="73" fillId="12" borderId="7" applyNumberFormat="0" applyAlignment="0" applyProtection="0"/>
    <xf numFmtId="184" fontId="73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150" fillId="12" borderId="7" applyNumberFormat="0" applyAlignment="0" applyProtection="0"/>
    <xf numFmtId="0" fontId="150" fillId="12" borderId="7" applyNumberFormat="0" applyAlignment="0" applyProtection="0"/>
    <xf numFmtId="0" fontId="150" fillId="12" borderId="7" applyNumberFormat="0" applyAlignment="0" applyProtection="0"/>
    <xf numFmtId="184" fontId="150" fillId="12" borderId="7" applyNumberFormat="0" applyAlignment="0" applyProtection="0"/>
    <xf numFmtId="0" fontId="150" fillId="12" borderId="7" applyNumberFormat="0" applyAlignment="0" applyProtection="0"/>
    <xf numFmtId="0" fontId="150" fillId="12" borderId="7" applyNumberFormat="0" applyAlignment="0" applyProtection="0"/>
    <xf numFmtId="184" fontId="150" fillId="12" borderId="7" applyNumberFormat="0" applyAlignment="0" applyProtection="0"/>
    <xf numFmtId="0" fontId="150" fillId="12" borderId="7" applyNumberFormat="0" applyAlignment="0" applyProtection="0"/>
    <xf numFmtId="184" fontId="150" fillId="12" borderId="7" applyNumberFormat="0" applyAlignment="0" applyProtection="0"/>
    <xf numFmtId="0" fontId="2" fillId="25" borderId="2" applyNumberFormat="0" applyAlignment="0" applyProtection="0"/>
    <xf numFmtId="0" fontId="2" fillId="25" borderId="2" applyNumberFormat="0" applyAlignment="0" applyProtection="0"/>
    <xf numFmtId="184" fontId="2" fillId="25" borderId="2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151" fillId="67" borderId="2" applyNumberFormat="0" applyAlignment="0" applyProtection="0"/>
    <xf numFmtId="0" fontId="151" fillId="67" borderId="2" applyNumberFormat="0" applyAlignment="0" applyProtection="0"/>
    <xf numFmtId="184" fontId="151" fillId="67" borderId="2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57" fillId="12" borderId="7" applyNumberFormat="0" applyAlignment="0" applyProtection="0"/>
    <xf numFmtId="184" fontId="57" fillId="12" borderId="7" applyNumberFormat="0" applyAlignment="0" applyProtection="0"/>
    <xf numFmtId="0" fontId="2" fillId="67" borderId="2" applyNumberFormat="0" applyAlignment="0" applyProtection="0"/>
    <xf numFmtId="184" fontId="2" fillId="67" borderId="2" applyNumberFormat="0" applyAlignment="0" applyProtection="0"/>
    <xf numFmtId="206" fontId="95" fillId="0" borderId="0" applyFill="0" applyBorder="0">
      <protection locked="0"/>
    </xf>
    <xf numFmtId="207" fontId="95" fillId="0" borderId="0" applyFill="0" applyBorder="0">
      <protection locked="0"/>
    </xf>
    <xf numFmtId="208" fontId="95" fillId="0" borderId="0" applyFill="0" applyBorder="0">
      <protection locked="0"/>
    </xf>
    <xf numFmtId="209" fontId="95" fillId="0" borderId="0" applyFill="0" applyBorder="0">
      <protection locked="0"/>
    </xf>
    <xf numFmtId="210" fontId="95" fillId="0" borderId="0" applyFill="0" applyBorder="0">
      <protection locked="0"/>
    </xf>
    <xf numFmtId="211" fontId="95" fillId="0" borderId="0" applyFill="0" applyBorder="0">
      <protection locked="0"/>
    </xf>
    <xf numFmtId="212" fontId="95" fillId="0" borderId="0" applyFill="0" applyBorder="0">
      <protection locked="0"/>
    </xf>
    <xf numFmtId="213" fontId="95" fillId="0" borderId="0" applyFill="0" applyBorder="0">
      <protection locked="0"/>
    </xf>
    <xf numFmtId="214" fontId="95" fillId="0" borderId="0" applyFill="0" applyBorder="0">
      <protection locked="0"/>
    </xf>
    <xf numFmtId="49" fontId="95" fillId="0" borderId="0" applyFill="0" applyBorder="0">
      <alignment horizontal="left" vertical="top"/>
      <protection locked="0"/>
    </xf>
    <xf numFmtId="49" fontId="95" fillId="0" borderId="0" applyFill="0" applyBorder="0">
      <alignment horizontal="left" vertical="top" indent="1"/>
      <protection locked="0"/>
    </xf>
    <xf numFmtId="49" fontId="95" fillId="0" borderId="0" applyFill="0" applyBorder="0">
      <alignment horizontal="left" vertical="top" indent="2"/>
      <protection locked="0"/>
    </xf>
    <xf numFmtId="49" fontId="95" fillId="0" borderId="0" applyFill="0" applyBorder="0">
      <alignment horizontal="left" vertical="top" indent="3"/>
      <protection locked="0"/>
    </xf>
    <xf numFmtId="49" fontId="95" fillId="0" borderId="0" applyFill="0" applyBorder="0">
      <alignment horizontal="left" vertical="top" indent="4"/>
      <protection locked="0"/>
    </xf>
    <xf numFmtId="49" fontId="95" fillId="0" borderId="0" applyFill="0" applyBorder="0">
      <alignment horizontal="center"/>
      <protection locked="0"/>
    </xf>
    <xf numFmtId="49" fontId="95" fillId="0" borderId="0" applyFill="0" applyBorder="0">
      <alignment horizontal="center" wrapText="1"/>
      <protection locked="0"/>
    </xf>
    <xf numFmtId="49" fontId="152" fillId="0" borderId="0" applyFill="0" applyBorder="0">
      <alignment horizontal="right" indent="1"/>
    </xf>
    <xf numFmtId="49" fontId="153" fillId="66" borderId="0" applyFill="0" applyBorder="0">
      <alignment horizontal="right" indent="1"/>
    </xf>
    <xf numFmtId="49" fontId="154" fillId="0" borderId="0" applyFill="0" applyBorder="0">
      <alignment horizontal="center" wrapText="1"/>
    </xf>
    <xf numFmtId="49" fontId="134" fillId="65" borderId="0" applyFill="0" applyBorder="0">
      <alignment horizontal="center" wrapText="1"/>
    </xf>
    <xf numFmtId="0" fontId="154" fillId="0" borderId="0" applyFill="0" applyBorder="0">
      <alignment horizontal="centerContinuous" wrapText="1"/>
    </xf>
    <xf numFmtId="0" fontId="134" fillId="65" borderId="0" applyFill="0" applyBorder="0">
      <alignment horizontal="centerContinuous" wrapText="1"/>
    </xf>
    <xf numFmtId="0" fontId="134" fillId="65" borderId="0" applyFill="0" applyBorder="0">
      <alignment horizontal="centerContinuous" wrapText="1"/>
    </xf>
    <xf numFmtId="184" fontId="134" fillId="65" borderId="0" applyFill="0" applyBorder="0">
      <alignment horizontal="centerContinuous" wrapText="1"/>
    </xf>
    <xf numFmtId="0" fontId="154" fillId="0" borderId="0" applyFill="0" applyBorder="0">
      <alignment horizontal="centerContinuous" wrapText="1"/>
    </xf>
    <xf numFmtId="184" fontId="154" fillId="0" borderId="0" applyFill="0" applyBorder="0">
      <alignment horizontal="centerContinuous" wrapText="1"/>
    </xf>
    <xf numFmtId="0" fontId="154" fillId="0" borderId="0" applyFill="0" applyBorder="0">
      <alignment horizontal="center" wrapText="1"/>
    </xf>
    <xf numFmtId="0" fontId="154" fillId="0" borderId="0" applyFill="0" applyBorder="0">
      <alignment horizontal="center" wrapText="1"/>
    </xf>
    <xf numFmtId="184" fontId="154" fillId="0" borderId="0" applyFill="0" applyBorder="0">
      <alignment horizontal="center" wrapText="1"/>
    </xf>
    <xf numFmtId="49" fontId="121" fillId="0" borderId="0" applyFill="0" applyBorder="0">
      <alignment horizontal="left" indent="1"/>
    </xf>
    <xf numFmtId="49" fontId="121" fillId="0" borderId="0" applyFill="0" applyBorder="0">
      <alignment horizontal="left" wrapText="1" indent="2"/>
    </xf>
    <xf numFmtId="0" fontId="121" fillId="63" borderId="26" applyNumberFormat="0">
      <alignment horizontal="left"/>
    </xf>
    <xf numFmtId="0" fontId="121" fillId="63" borderId="26" applyNumberFormat="0">
      <alignment horizontal="left"/>
    </xf>
    <xf numFmtId="0" fontId="121" fillId="63" borderId="26" applyNumberFormat="0">
      <alignment horizontal="left"/>
    </xf>
    <xf numFmtId="184" fontId="121" fillId="63" borderId="26" applyNumberFormat="0">
      <alignment horizontal="left"/>
    </xf>
    <xf numFmtId="219" fontId="121" fillId="63" borderId="26" applyNumberFormat="0">
      <alignment horizontal="left"/>
    </xf>
    <xf numFmtId="0" fontId="121" fillId="63" borderId="26" applyNumberFormat="0">
      <alignment horizontal="left"/>
    </xf>
    <xf numFmtId="184" fontId="121" fillId="63" borderId="26" applyNumberFormat="0">
      <alignment horizontal="left"/>
    </xf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184" fontId="58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184" fontId="29" fillId="0" borderId="10" applyNumberFormat="0" applyFill="0" applyAlignment="0" applyProtection="0"/>
    <xf numFmtId="0" fontId="74" fillId="0" borderId="10" applyNumberFormat="0" applyFill="0" applyAlignment="0" applyProtection="0"/>
    <xf numFmtId="184" fontId="74" fillId="0" borderId="10" applyNumberFormat="0" applyFill="0" applyAlignment="0" applyProtection="0"/>
    <xf numFmtId="0" fontId="155" fillId="0" borderId="10" applyNumberFormat="0" applyFill="0" applyAlignment="0" applyProtection="0"/>
    <xf numFmtId="184" fontId="155" fillId="0" borderId="10" applyNumberFormat="0" applyFill="0" applyAlignment="0" applyProtection="0"/>
    <xf numFmtId="0" fontId="58" fillId="0" borderId="10" applyNumberFormat="0" applyFill="0" applyAlignment="0" applyProtection="0"/>
    <xf numFmtId="184" fontId="58" fillId="0" borderId="10" applyNumberFormat="0" applyFill="0" applyAlignment="0" applyProtection="0"/>
    <xf numFmtId="0" fontId="156" fillId="0" borderId="21" applyNumberFormat="0" applyFill="0" applyAlignment="0" applyProtection="0"/>
    <xf numFmtId="0" fontId="156" fillId="0" borderId="21" applyNumberFormat="0" applyFill="0" applyAlignment="0" applyProtection="0"/>
    <xf numFmtId="184" fontId="156" fillId="0" borderId="21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184" fontId="58" fillId="0" borderId="10" applyNumberFormat="0" applyFill="0" applyAlignment="0" applyProtection="0"/>
    <xf numFmtId="0" fontId="104" fillId="0" borderId="21" applyNumberFormat="0" applyFill="0" applyAlignment="0" applyProtection="0"/>
    <xf numFmtId="184" fontId="104" fillId="0" borderId="21" applyNumberFormat="0" applyFill="0" applyAlignment="0" applyProtection="0"/>
    <xf numFmtId="49" fontId="87" fillId="0" borderId="0" applyFill="0" applyBorder="0">
      <alignment vertical="top"/>
    </xf>
    <xf numFmtId="49" fontId="87" fillId="0" borderId="0" applyFill="0" applyBorder="0">
      <alignment vertical="top"/>
    </xf>
    <xf numFmtId="0" fontId="87" fillId="0" borderId="0" applyFill="0" applyBorder="0">
      <alignment vertical="top" wrapText="1"/>
    </xf>
    <xf numFmtId="0" fontId="87" fillId="0" borderId="0" applyFill="0" applyBorder="0">
      <alignment vertical="top" wrapText="1"/>
    </xf>
    <xf numFmtId="0" fontId="87" fillId="0" borderId="0" applyFill="0" applyBorder="0">
      <alignment vertical="top" wrapText="1"/>
    </xf>
    <xf numFmtId="184" fontId="87" fillId="0" borderId="0" applyFill="0" applyBorder="0">
      <alignment vertical="top" wrapText="1"/>
    </xf>
    <xf numFmtId="0" fontId="87" fillId="0" borderId="0" applyFill="0" applyBorder="0">
      <alignment vertical="top" wrapText="1"/>
    </xf>
    <xf numFmtId="184" fontId="87" fillId="0" borderId="0" applyFill="0" applyBorder="0">
      <alignment vertical="top" wrapText="1"/>
    </xf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184" fontId="30" fillId="27" borderId="0" applyNumberFormat="0" applyBorder="0" applyAlignment="0" applyProtection="0"/>
    <xf numFmtId="0" fontId="75" fillId="27" borderId="0" applyNumberFormat="0" applyBorder="0" applyAlignment="0" applyProtection="0"/>
    <xf numFmtId="184" fontId="75" fillId="27" borderId="0" applyNumberFormat="0" applyBorder="0" applyAlignment="0" applyProtection="0"/>
    <xf numFmtId="0" fontId="59" fillId="27" borderId="0" applyNumberFormat="0" applyBorder="0" applyAlignment="0" applyProtection="0"/>
    <xf numFmtId="184" fontId="59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7" borderId="0" applyNumberFormat="0" applyBorder="0" applyAlignment="0" applyProtection="0"/>
    <xf numFmtId="184" fontId="157" fillId="27" borderId="0" applyNumberFormat="0" applyBorder="0" applyAlignment="0" applyProtection="0"/>
    <xf numFmtId="0" fontId="158" fillId="35" borderId="0" applyNumberFormat="0" applyBorder="0" applyAlignment="0" applyProtection="0"/>
    <xf numFmtId="0" fontId="158" fillId="35" borderId="0" applyNumberFormat="0" applyBorder="0" applyAlignment="0" applyProtection="0"/>
    <xf numFmtId="184" fontId="158" fillId="35" borderId="0" applyNumberFormat="0" applyBorder="0" applyAlignment="0" applyProtection="0"/>
    <xf numFmtId="0" fontId="59" fillId="27" borderId="0" applyNumberFormat="0" applyBorder="0" applyAlignment="0" applyProtection="0"/>
    <xf numFmtId="184" fontId="59" fillId="27" borderId="0" applyNumberFormat="0" applyBorder="0" applyAlignment="0" applyProtection="0"/>
    <xf numFmtId="0" fontId="159" fillId="35" borderId="0" applyNumberFormat="0" applyBorder="0" applyAlignment="0" applyProtection="0"/>
    <xf numFmtId="0" fontId="159" fillId="35" borderId="0" applyNumberFormat="0" applyBorder="0" applyAlignment="0" applyProtection="0"/>
    <xf numFmtId="184" fontId="159" fillId="35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184" fontId="59" fillId="27" borderId="0" applyNumberFormat="0" applyBorder="0" applyAlignment="0" applyProtection="0"/>
    <xf numFmtId="0" fontId="101" fillId="35" borderId="0" applyNumberFormat="0" applyBorder="0" applyAlignment="0" applyProtection="0"/>
    <xf numFmtId="184" fontId="101" fillId="35" borderId="0" applyNumberFormat="0" applyBorder="0" applyAlignment="0" applyProtection="0"/>
    <xf numFmtId="0" fontId="41" fillId="0" borderId="0"/>
    <xf numFmtId="184" fontId="41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20" fillId="0" borderId="0"/>
    <xf numFmtId="184" fontId="2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19" fillId="0" borderId="0"/>
    <xf numFmtId="0" fontId="19" fillId="0" borderId="0"/>
    <xf numFmtId="184" fontId="19" fillId="0" borderId="0"/>
    <xf numFmtId="0" fontId="40" fillId="0" borderId="0"/>
    <xf numFmtId="184" fontId="4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19" fillId="0" borderId="0"/>
    <xf numFmtId="184" fontId="19" fillId="0" borderId="0"/>
    <xf numFmtId="0" fontId="2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1" fillId="0" borderId="0"/>
    <xf numFmtId="0" fontId="20" fillId="0" borderId="0"/>
    <xf numFmtId="0" fontId="20" fillId="0" borderId="0"/>
    <xf numFmtId="184" fontId="20" fillId="0" borderId="0"/>
    <xf numFmtId="0" fontId="1" fillId="0" borderId="0"/>
    <xf numFmtId="184" fontId="1" fillId="0" borderId="0"/>
    <xf numFmtId="0" fontId="20" fillId="0" borderId="0"/>
    <xf numFmtId="0" fontId="20" fillId="0" borderId="0"/>
    <xf numFmtId="184" fontId="20" fillId="0" borderId="0"/>
    <xf numFmtId="0" fontId="1" fillId="0" borderId="0"/>
    <xf numFmtId="184" fontId="1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1" fillId="0" borderId="0"/>
    <xf numFmtId="184" fontId="20" fillId="0" borderId="0"/>
    <xf numFmtId="0" fontId="20" fillId="0" borderId="0"/>
    <xf numFmtId="0" fontId="1" fillId="0" borderId="0"/>
    <xf numFmtId="0" fontId="1" fillId="0" borderId="0"/>
    <xf numFmtId="184" fontId="1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1" fillId="0" borderId="0"/>
    <xf numFmtId="184" fontId="20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20" fillId="0" borderId="0"/>
    <xf numFmtId="0" fontId="121" fillId="0" borderId="0"/>
    <xf numFmtId="0" fontId="121" fillId="0" borderId="0"/>
    <xf numFmtId="184" fontId="121" fillId="0" borderId="0"/>
    <xf numFmtId="0" fontId="63" fillId="0" borderId="0"/>
    <xf numFmtId="0" fontId="63" fillId="0" borderId="0"/>
    <xf numFmtId="184" fontId="63" fillId="0" borderId="0"/>
    <xf numFmtId="0" fontId="20" fillId="0" borderId="0"/>
    <xf numFmtId="184" fontId="20" fillId="0" borderId="0"/>
    <xf numFmtId="0" fontId="20" fillId="0" borderId="0"/>
    <xf numFmtId="0" fontId="31" fillId="0" borderId="0"/>
    <xf numFmtId="0" fontId="31" fillId="0" borderId="0"/>
    <xf numFmtId="184" fontId="31" fillId="0" borderId="0"/>
    <xf numFmtId="0" fontId="20" fillId="0" borderId="0"/>
    <xf numFmtId="174" fontId="1" fillId="0" borderId="0"/>
    <xf numFmtId="184" fontId="20" fillId="0" borderId="0"/>
    <xf numFmtId="0" fontId="121" fillId="0" borderId="0"/>
    <xf numFmtId="0" fontId="121" fillId="0" borderId="0"/>
    <xf numFmtId="184" fontId="121" fillId="0" borderId="0"/>
    <xf numFmtId="0" fontId="20" fillId="0" borderId="0"/>
    <xf numFmtId="184" fontId="20" fillId="0" borderId="0"/>
    <xf numFmtId="0" fontId="1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74" fontId="1" fillId="0" borderId="0"/>
    <xf numFmtId="0" fontId="20" fillId="0" borderId="0"/>
    <xf numFmtId="0" fontId="20" fillId="0" borderId="0" applyBorder="0"/>
    <xf numFmtId="184" fontId="20" fillId="0" borderId="0"/>
    <xf numFmtId="0" fontId="20" fillId="0" borderId="0"/>
    <xf numFmtId="0" fontId="82" fillId="0" borderId="0"/>
    <xf numFmtId="0" fontId="82" fillId="0" borderId="0"/>
    <xf numFmtId="184" fontId="82" fillId="0" borderId="0"/>
    <xf numFmtId="0" fontId="20" fillId="0" borderId="0"/>
    <xf numFmtId="174" fontId="1" fillId="0" borderId="0"/>
    <xf numFmtId="184" fontId="20" fillId="0" borderId="0"/>
    <xf numFmtId="0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184" fontId="2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0" fontId="20" fillId="0" borderId="0"/>
    <xf numFmtId="0" fontId="20" fillId="0" borderId="0"/>
    <xf numFmtId="184" fontId="20" fillId="0" borderId="0"/>
    <xf numFmtId="0" fontId="63" fillId="0" borderId="0"/>
    <xf numFmtId="0" fontId="63" fillId="0" borderId="0"/>
    <xf numFmtId="184" fontId="63" fillId="0" borderId="0"/>
    <xf numFmtId="174" fontId="1" fillId="0" borderId="0"/>
    <xf numFmtId="0" fontId="20" fillId="0" borderId="0"/>
    <xf numFmtId="0" fontId="20" fillId="0" borderId="0"/>
    <xf numFmtId="184" fontId="20" fillId="0" borderId="0"/>
    <xf numFmtId="0" fontId="1" fillId="0" borderId="0"/>
    <xf numFmtId="0" fontId="20" fillId="0" borderId="0"/>
    <xf numFmtId="0" fontId="20" fillId="0" borderId="0" applyBorder="0"/>
    <xf numFmtId="184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174" fontId="1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63" fillId="0" borderId="0"/>
    <xf numFmtId="174" fontId="37" fillId="0" borderId="0"/>
    <xf numFmtId="184" fontId="63" fillId="0" borderId="0"/>
    <xf numFmtId="0" fontId="20" fillId="0" borderId="0"/>
    <xf numFmtId="174" fontId="1" fillId="0" borderId="0"/>
    <xf numFmtId="0" fontId="20" fillId="0" borderId="0"/>
    <xf numFmtId="184" fontId="20" fillId="0" borderId="0"/>
    <xf numFmtId="0" fontId="63" fillId="0" borderId="0"/>
    <xf numFmtId="184" fontId="63" fillId="0" borderId="0"/>
    <xf numFmtId="0" fontId="20" fillId="0" borderId="0"/>
    <xf numFmtId="174" fontId="37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63" fillId="0" borderId="0"/>
    <xf numFmtId="184" fontId="63" fillId="0" borderId="0"/>
    <xf numFmtId="0" fontId="40" fillId="0" borderId="0"/>
    <xf numFmtId="0" fontId="20" fillId="0" borderId="0"/>
    <xf numFmtId="0" fontId="20" fillId="0" borderId="0"/>
    <xf numFmtId="184" fontId="20" fillId="0" borderId="0"/>
    <xf numFmtId="0" fontId="40" fillId="0" borderId="0"/>
    <xf numFmtId="184" fontId="40" fillId="0" borderId="0"/>
    <xf numFmtId="0" fontId="4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40" fillId="0" borderId="0"/>
    <xf numFmtId="184" fontId="40" fillId="0" borderId="0"/>
    <xf numFmtId="0" fontId="41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41" fillId="0" borderId="0"/>
    <xf numFmtId="184" fontId="41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62" fillId="0" borderId="0"/>
    <xf numFmtId="0" fontId="62" fillId="0" borderId="0"/>
    <xf numFmtId="184" fontId="62" fillId="0" borderId="0"/>
    <xf numFmtId="0" fontId="37" fillId="0" borderId="0"/>
    <xf numFmtId="0" fontId="37" fillId="0" borderId="0"/>
    <xf numFmtId="184" fontId="37" fillId="0" borderId="0"/>
    <xf numFmtId="0" fontId="19" fillId="0" borderId="0"/>
    <xf numFmtId="184" fontId="19" fillId="0" borderId="0"/>
    <xf numFmtId="178" fontId="37" fillId="0" borderId="0"/>
    <xf numFmtId="184" fontId="37" fillId="0" borderId="0"/>
    <xf numFmtId="0" fontId="1" fillId="0" borderId="0"/>
    <xf numFmtId="0" fontId="1" fillId="0" borderId="0"/>
    <xf numFmtId="184" fontId="1" fillId="0" borderId="0"/>
    <xf numFmtId="178" fontId="37" fillId="0" borderId="0"/>
    <xf numFmtId="184" fontId="37" fillId="0" borderId="0"/>
    <xf numFmtId="0" fontId="20" fillId="0" borderId="0"/>
    <xf numFmtId="0" fontId="20" fillId="0" borderId="0"/>
    <xf numFmtId="184" fontId="20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0" fontId="1" fillId="0" borderId="0"/>
    <xf numFmtId="184" fontId="20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184" fontId="19" fillId="0" borderId="0"/>
    <xf numFmtId="0" fontId="40" fillId="0" borderId="0"/>
    <xf numFmtId="0" fontId="2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20" fillId="0" borderId="0"/>
    <xf numFmtId="184" fontId="20" fillId="0" borderId="0"/>
    <xf numFmtId="0" fontId="40" fillId="0" borderId="0"/>
    <xf numFmtId="0" fontId="40" fillId="0" borderId="0"/>
    <xf numFmtId="184" fontId="40" fillId="0" borderId="0"/>
    <xf numFmtId="0" fontId="40" fillId="0" borderId="0"/>
    <xf numFmtId="0" fontId="1" fillId="0" borderId="0"/>
    <xf numFmtId="184" fontId="4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1" fillId="0" borderId="0"/>
    <xf numFmtId="0" fontId="1" fillId="0" borderId="0"/>
    <xf numFmtId="184" fontId="1" fillId="0" borderId="0"/>
    <xf numFmtId="0" fontId="20" fillId="0" borderId="0"/>
    <xf numFmtId="0" fontId="37" fillId="0" borderId="0"/>
    <xf numFmtId="184" fontId="20" fillId="0" borderId="0"/>
    <xf numFmtId="0" fontId="37" fillId="0" borderId="0"/>
    <xf numFmtId="184" fontId="37" fillId="0" borderId="0"/>
    <xf numFmtId="0" fontId="20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184" fontId="20" fillId="0" borderId="0"/>
    <xf numFmtId="0" fontId="37" fillId="0" borderId="0"/>
    <xf numFmtId="184" fontId="37" fillId="0" borderId="0"/>
    <xf numFmtId="0" fontId="20" fillId="0" borderId="0"/>
    <xf numFmtId="0" fontId="62" fillId="0" borderId="0"/>
    <xf numFmtId="0" fontId="62" fillId="0" borderId="0"/>
    <xf numFmtId="184" fontId="62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184" fontId="20" fillId="0" borderId="0"/>
    <xf numFmtId="0" fontId="62" fillId="0" borderId="0"/>
    <xf numFmtId="0" fontId="62" fillId="0" borderId="0"/>
    <xf numFmtId="184" fontId="62" fillId="0" borderId="0"/>
    <xf numFmtId="0" fontId="62" fillId="0" borderId="0"/>
    <xf numFmtId="0" fontId="62" fillId="0" borderId="0"/>
    <xf numFmtId="184" fontId="62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40" fillId="0" borderId="0"/>
    <xf numFmtId="0" fontId="62" fillId="0" borderId="0"/>
    <xf numFmtId="0" fontId="62" fillId="0" borderId="0"/>
    <xf numFmtId="184" fontId="62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174" fontId="37" fillId="0" borderId="0"/>
    <xf numFmtId="0" fontId="19" fillId="0" borderId="0"/>
    <xf numFmtId="0" fontId="1" fillId="0" borderId="0"/>
    <xf numFmtId="184" fontId="19" fillId="0" borderId="0"/>
    <xf numFmtId="184" fontId="19" fillId="0" borderId="0"/>
    <xf numFmtId="0" fontId="40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19" fillId="0" borderId="0"/>
    <xf numFmtId="0" fontId="19" fillId="0" borderId="0"/>
    <xf numFmtId="184" fontId="19" fillId="0" borderId="0"/>
    <xf numFmtId="178" fontId="21" fillId="0" borderId="0"/>
    <xf numFmtId="184" fontId="21" fillId="0" borderId="0"/>
    <xf numFmtId="0" fontId="19" fillId="0" borderId="0"/>
    <xf numFmtId="174" fontId="1" fillId="0" borderId="0"/>
    <xf numFmtId="0" fontId="19" fillId="0" borderId="0"/>
    <xf numFmtId="184" fontId="19" fillId="0" borderId="0"/>
    <xf numFmtId="0" fontId="21" fillId="0" borderId="0"/>
    <xf numFmtId="184" fontId="21" fillId="0" borderId="0"/>
    <xf numFmtId="0" fontId="19" fillId="0" borderId="0"/>
    <xf numFmtId="0" fontId="20" fillId="0" borderId="0"/>
    <xf numFmtId="0" fontId="20" fillId="0" borderId="0"/>
    <xf numFmtId="184" fontId="20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40" fillId="0" borderId="0"/>
    <xf numFmtId="0" fontId="40" fillId="0" borderId="0"/>
    <xf numFmtId="184" fontId="4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84" fontId="1" fillId="0" borderId="0"/>
    <xf numFmtId="0" fontId="19" fillId="0" borderId="0"/>
    <xf numFmtId="184" fontId="19" fillId="0" borderId="0"/>
    <xf numFmtId="174" fontId="1" fillId="0" borderId="0"/>
    <xf numFmtId="0" fontId="1" fillId="0" borderId="0"/>
    <xf numFmtId="174" fontId="37" fillId="0" borderId="0"/>
    <xf numFmtId="184" fontId="1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62" fillId="0" borderId="0"/>
    <xf numFmtId="0" fontId="62" fillId="0" borderId="0"/>
    <xf numFmtId="184" fontId="62" fillId="0" borderId="0"/>
    <xf numFmtId="0" fontId="19" fillId="0" borderId="0"/>
    <xf numFmtId="184" fontId="19" fillId="0" borderId="0"/>
    <xf numFmtId="0" fontId="19" fillId="0" borderId="0"/>
    <xf numFmtId="0" fontId="62" fillId="0" borderId="0"/>
    <xf numFmtId="0" fontId="62" fillId="0" borderId="0"/>
    <xf numFmtId="184" fontId="62" fillId="0" borderId="0"/>
    <xf numFmtId="0" fontId="19" fillId="0" borderId="0"/>
    <xf numFmtId="184" fontId="19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62" fillId="0" borderId="0"/>
    <xf numFmtId="0" fontId="62" fillId="0" borderId="0"/>
    <xf numFmtId="184" fontId="62" fillId="0" borderId="0"/>
    <xf numFmtId="0" fontId="40" fillId="0" borderId="0"/>
    <xf numFmtId="184" fontId="40" fillId="0" borderId="0"/>
    <xf numFmtId="0" fontId="40" fillId="0" borderId="0"/>
    <xf numFmtId="0" fontId="62" fillId="0" borderId="0"/>
    <xf numFmtId="0" fontId="62" fillId="0" borderId="0"/>
    <xf numFmtId="184" fontId="62" fillId="0" borderId="0"/>
    <xf numFmtId="0" fontId="40" fillId="0" borderId="0"/>
    <xf numFmtId="184" fontId="40" fillId="0" borderId="0"/>
    <xf numFmtId="0" fontId="40" fillId="0" borderId="0"/>
    <xf numFmtId="0" fontId="62" fillId="0" borderId="0"/>
    <xf numFmtId="0" fontId="62" fillId="0" borderId="0"/>
    <xf numFmtId="184" fontId="62" fillId="0" borderId="0"/>
    <xf numFmtId="0" fontId="40" fillId="0" borderId="0"/>
    <xf numFmtId="184" fontId="4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41" fillId="0" borderId="0"/>
    <xf numFmtId="0" fontId="41" fillId="0" borderId="0"/>
    <xf numFmtId="184" fontId="41" fillId="0" borderId="0"/>
    <xf numFmtId="0" fontId="41" fillId="0" borderId="0"/>
    <xf numFmtId="0" fontId="41" fillId="0" borderId="0"/>
    <xf numFmtId="184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84" fontId="19" fillId="0" borderId="0"/>
    <xf numFmtId="174" fontId="1" fillId="0" borderId="0"/>
    <xf numFmtId="0" fontId="19" fillId="0" borderId="0"/>
    <xf numFmtId="184" fontId="19" fillId="0" borderId="0"/>
    <xf numFmtId="0" fontId="19" fillId="0" borderId="0"/>
    <xf numFmtId="0" fontId="79" fillId="0" borderId="0"/>
    <xf numFmtId="0" fontId="79" fillId="0" borderId="0"/>
    <xf numFmtId="184" fontId="79" fillId="0" borderId="0"/>
    <xf numFmtId="0" fontId="19" fillId="0" borderId="0"/>
    <xf numFmtId="184" fontId="19" fillId="0" borderId="0"/>
    <xf numFmtId="174" fontId="37" fillId="0" borderId="0"/>
    <xf numFmtId="0" fontId="19" fillId="0" borderId="0"/>
    <xf numFmtId="0" fontId="19" fillId="0" borderId="0"/>
    <xf numFmtId="184" fontId="19" fillId="0" borderId="0"/>
    <xf numFmtId="0" fontId="79" fillId="0" borderId="0"/>
    <xf numFmtId="174" fontId="1" fillId="0" borderId="0"/>
    <xf numFmtId="184" fontId="79" fillId="0" borderId="0"/>
    <xf numFmtId="0" fontId="19" fillId="0" borderId="0"/>
    <xf numFmtId="0" fontId="62" fillId="0" borderId="0"/>
    <xf numFmtId="0" fontId="62" fillId="0" borderId="0"/>
    <xf numFmtId="184" fontId="62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19" fillId="0" borderId="0"/>
    <xf numFmtId="184" fontId="19" fillId="0" borderId="0"/>
    <xf numFmtId="0" fontId="1" fillId="0" borderId="0"/>
    <xf numFmtId="184" fontId="1" fillId="0" borderId="0"/>
    <xf numFmtId="184" fontId="1" fillId="0" borderId="0"/>
    <xf numFmtId="0" fontId="87" fillId="0" borderId="0"/>
    <xf numFmtId="0" fontId="87" fillId="0" borderId="0"/>
    <xf numFmtId="184" fontId="87" fillId="0" borderId="0"/>
    <xf numFmtId="0" fontId="87" fillId="0" borderId="0"/>
    <xf numFmtId="0" fontId="87" fillId="0" borderId="0"/>
    <xf numFmtId="184" fontId="87" fillId="0" borderId="0"/>
    <xf numFmtId="0" fontId="19" fillId="0" borderId="0"/>
    <xf numFmtId="0" fontId="19" fillId="0" borderId="0"/>
    <xf numFmtId="184" fontId="19" fillId="0" borderId="0"/>
    <xf numFmtId="178" fontId="20" fillId="0" borderId="0" applyBorder="0"/>
    <xf numFmtId="184" fontId="20" fillId="0" borderId="0" applyBorder="0"/>
    <xf numFmtId="0" fontId="20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184" fontId="20" fillId="0" borderId="0"/>
    <xf numFmtId="0" fontId="19" fillId="0" borderId="0"/>
    <xf numFmtId="0" fontId="20" fillId="0" borderId="0" applyBorder="0"/>
    <xf numFmtId="184" fontId="19" fillId="0" borderId="0"/>
    <xf numFmtId="0" fontId="20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184" fontId="20" fillId="0" borderId="0"/>
    <xf numFmtId="0" fontId="20" fillId="0" borderId="0" applyBorder="0"/>
    <xf numFmtId="184" fontId="20" fillId="0" borderId="0" applyBorder="0"/>
    <xf numFmtId="0" fontId="20" fillId="0" borderId="0"/>
    <xf numFmtId="0" fontId="20" fillId="0" borderId="0"/>
    <xf numFmtId="0" fontId="20" fillId="0" borderId="0"/>
    <xf numFmtId="184" fontId="20" fillId="0" borderId="0"/>
    <xf numFmtId="0" fontId="19" fillId="0" borderId="0"/>
    <xf numFmtId="0" fontId="19" fillId="0" borderId="0"/>
    <xf numFmtId="184" fontId="19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19" fillId="0" borderId="0"/>
    <xf numFmtId="184" fontId="19" fillId="0" borderId="0"/>
    <xf numFmtId="0" fontId="20" fillId="0" borderId="0"/>
    <xf numFmtId="0" fontId="20" fillId="0" borderId="0"/>
    <xf numFmtId="184" fontId="20" fillId="0" borderId="0"/>
    <xf numFmtId="178" fontId="20" fillId="0" borderId="0"/>
    <xf numFmtId="184" fontId="20" fillId="0" borderId="0"/>
    <xf numFmtId="0" fontId="40" fillId="0" borderId="0"/>
    <xf numFmtId="0" fontId="19" fillId="0" borderId="0"/>
    <xf numFmtId="0" fontId="19" fillId="0" borderId="0"/>
    <xf numFmtId="184" fontId="19" fillId="0" borderId="0"/>
    <xf numFmtId="0" fontId="40" fillId="0" borderId="0"/>
    <xf numFmtId="184" fontId="40" fillId="0" borderId="0"/>
    <xf numFmtId="0" fontId="19" fillId="0" borderId="0"/>
    <xf numFmtId="184" fontId="19" fillId="0" borderId="0"/>
    <xf numFmtId="0" fontId="19" fillId="0" borderId="0"/>
    <xf numFmtId="0" fontId="19" fillId="0" borderId="0"/>
    <xf numFmtId="184" fontId="19" fillId="0" borderId="0"/>
    <xf numFmtId="0" fontId="39" fillId="0" borderId="0"/>
    <xf numFmtId="184" fontId="39" fillId="0" borderId="0"/>
    <xf numFmtId="0" fontId="40" fillId="0" borderId="0"/>
    <xf numFmtId="0" fontId="19" fillId="0" borderId="0"/>
    <xf numFmtId="0" fontId="19" fillId="0" borderId="0"/>
    <xf numFmtId="184" fontId="19" fillId="0" borderId="0"/>
    <xf numFmtId="0" fontId="40" fillId="0" borderId="0"/>
    <xf numFmtId="184" fontId="40" fillId="0" borderId="0"/>
    <xf numFmtId="0" fontId="19" fillId="0" borderId="0"/>
    <xf numFmtId="184" fontId="19" fillId="0" borderId="0"/>
    <xf numFmtId="0" fontId="40" fillId="0" borderId="0"/>
    <xf numFmtId="0" fontId="40" fillId="0" borderId="0"/>
    <xf numFmtId="184" fontId="40" fillId="0" borderId="0"/>
    <xf numFmtId="0" fontId="39" fillId="0" borderId="0"/>
    <xf numFmtId="184" fontId="39" fillId="0" borderId="0"/>
    <xf numFmtId="0" fontId="40" fillId="0" borderId="0"/>
    <xf numFmtId="0" fontId="20" fillId="0" borderId="0" applyBorder="0"/>
    <xf numFmtId="0" fontId="20" fillId="0" borderId="0" applyBorder="0"/>
    <xf numFmtId="184" fontId="20" fillId="0" borderId="0" applyBorder="0"/>
    <xf numFmtId="0" fontId="40" fillId="0" borderId="0"/>
    <xf numFmtId="184" fontId="40" fillId="0" borderId="0"/>
    <xf numFmtId="0" fontId="20" fillId="0" borderId="0"/>
    <xf numFmtId="184" fontId="20" fillId="0" borderId="0"/>
    <xf numFmtId="0" fontId="40" fillId="0" borderId="0"/>
    <xf numFmtId="0" fontId="19" fillId="0" borderId="0"/>
    <xf numFmtId="0" fontId="19" fillId="0" borderId="0"/>
    <xf numFmtId="184" fontId="19" fillId="0" borderId="0"/>
    <xf numFmtId="0" fontId="40" fillId="0" borderId="0"/>
    <xf numFmtId="0" fontId="20" fillId="0" borderId="0" applyBorder="0"/>
    <xf numFmtId="184" fontId="40" fillId="0" borderId="0"/>
    <xf numFmtId="0" fontId="40" fillId="0" borderId="0"/>
    <xf numFmtId="0" fontId="40" fillId="0" borderId="0"/>
    <xf numFmtId="184" fontId="40" fillId="0" borderId="0"/>
    <xf numFmtId="0" fontId="19" fillId="0" borderId="0"/>
    <xf numFmtId="184" fontId="19" fillId="0" borderId="0"/>
    <xf numFmtId="0" fontId="40" fillId="0" borderId="0"/>
    <xf numFmtId="0" fontId="1" fillId="0" borderId="0"/>
    <xf numFmtId="0" fontId="1" fillId="0" borderId="0"/>
    <xf numFmtId="184" fontId="1" fillId="0" borderId="0"/>
    <xf numFmtId="0" fontId="40" fillId="0" borderId="0"/>
    <xf numFmtId="184" fontId="40" fillId="0" borderId="0"/>
    <xf numFmtId="0" fontId="21" fillId="0" borderId="0"/>
    <xf numFmtId="184" fontId="21" fillId="0" borderId="0"/>
    <xf numFmtId="0" fontId="40" fillId="0" borderId="0"/>
    <xf numFmtId="0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19" fillId="0" borderId="0"/>
    <xf numFmtId="0" fontId="19" fillId="0" borderId="0"/>
    <xf numFmtId="184" fontId="19" fillId="0" borderId="0"/>
    <xf numFmtId="0" fontId="40" fillId="0" borderId="0"/>
    <xf numFmtId="184" fontId="40" fillId="0" borderId="0"/>
    <xf numFmtId="0" fontId="40" fillId="0" borderId="0"/>
    <xf numFmtId="0" fontId="21" fillId="0" borderId="0"/>
    <xf numFmtId="0" fontId="21" fillId="0" borderId="0"/>
    <xf numFmtId="184" fontId="21" fillId="0" borderId="0"/>
    <xf numFmtId="0" fontId="19" fillId="0" borderId="0"/>
    <xf numFmtId="0" fontId="19" fillId="0" borderId="0"/>
    <xf numFmtId="184" fontId="19" fillId="0" borderId="0"/>
    <xf numFmtId="0" fontId="40" fillId="0" borderId="0"/>
    <xf numFmtId="184" fontId="40" fillId="0" borderId="0"/>
    <xf numFmtId="0" fontId="40" fillId="0" borderId="0"/>
    <xf numFmtId="0" fontId="20" fillId="0" borderId="0"/>
    <xf numFmtId="0" fontId="20" fillId="0" borderId="0"/>
    <xf numFmtId="184" fontId="20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19" fillId="0" borderId="0"/>
    <xf numFmtId="184" fontId="19" fillId="0" borderId="0"/>
    <xf numFmtId="184" fontId="20" fillId="0" borderId="0"/>
    <xf numFmtId="0" fontId="40" fillId="0" borderId="0"/>
    <xf numFmtId="0" fontId="160" fillId="0" borderId="0"/>
    <xf numFmtId="184" fontId="40" fillId="0" borderId="0"/>
    <xf numFmtId="0" fontId="1" fillId="0" borderId="0"/>
    <xf numFmtId="0" fontId="20" fillId="0" borderId="0"/>
    <xf numFmtId="184" fontId="40" fillId="0" borderId="0"/>
    <xf numFmtId="0" fontId="40" fillId="0" borderId="0"/>
    <xf numFmtId="184" fontId="40" fillId="0" borderId="0"/>
    <xf numFmtId="0" fontId="1" fillId="0" borderId="0"/>
    <xf numFmtId="184" fontId="40" fillId="0" borderId="0"/>
    <xf numFmtId="0" fontId="1" fillId="0" borderId="0"/>
    <xf numFmtId="0" fontId="40" fillId="0" borderId="0"/>
    <xf numFmtId="184" fontId="40" fillId="0" borderId="0"/>
    <xf numFmtId="0" fontId="40" fillId="0" borderId="0"/>
    <xf numFmtId="0" fontId="40" fillId="0" borderId="0"/>
    <xf numFmtId="184" fontId="40" fillId="0" borderId="0"/>
    <xf numFmtId="0" fontId="20" fillId="0" borderId="0"/>
    <xf numFmtId="178" fontId="121" fillId="0" borderId="0"/>
    <xf numFmtId="0" fontId="21" fillId="28" borderId="11" applyNumberFormat="0" applyFont="0" applyAlignment="0" applyProtection="0"/>
    <xf numFmtId="0" fontId="21" fillId="28" borderId="11" applyNumberFormat="0" applyFont="0" applyAlignment="0" applyProtection="0"/>
    <xf numFmtId="184" fontId="21" fillId="28" borderId="11" applyNumberFormat="0" applyFont="0" applyAlignment="0" applyProtection="0"/>
    <xf numFmtId="0" fontId="21" fillId="28" borderId="11" applyNumberFormat="0" applyFont="0" applyAlignment="0" applyProtection="0"/>
    <xf numFmtId="0" fontId="21" fillId="28" borderId="11" applyNumberFormat="0" applyFont="0" applyAlignment="0" applyProtection="0"/>
    <xf numFmtId="184" fontId="21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1" fillId="28" borderId="11" applyNumberFormat="0" applyFont="0" applyAlignment="0" applyProtection="0"/>
    <xf numFmtId="0" fontId="21" fillId="28" borderId="11" applyNumberFormat="0" applyFont="0" applyAlignment="0" applyProtection="0"/>
    <xf numFmtId="184" fontId="21" fillId="28" borderId="11" applyNumberFormat="0" applyFont="0" applyAlignment="0" applyProtection="0"/>
    <xf numFmtId="0" fontId="21" fillId="28" borderId="11" applyNumberFormat="0" applyFont="0" applyAlignment="0" applyProtection="0"/>
    <xf numFmtId="0" fontId="21" fillId="28" borderId="11" applyNumberFormat="0" applyFont="0" applyAlignment="0" applyProtection="0"/>
    <xf numFmtId="184" fontId="21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63" fillId="28" borderId="11" applyNumberFormat="0" applyFont="0" applyAlignment="0" applyProtection="0"/>
    <xf numFmtId="184" fontId="63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37" fillId="38" borderId="23" applyNumberFormat="0" applyFont="0" applyAlignment="0" applyProtection="0"/>
    <xf numFmtId="0" fontId="37" fillId="38" borderId="23" applyNumberFormat="0" applyFont="0" applyAlignment="0" applyProtection="0"/>
    <xf numFmtId="184" fontId="37" fillId="38" borderId="23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119" fillId="38" borderId="23" applyNumberFormat="0" applyFont="0" applyAlignment="0" applyProtection="0"/>
    <xf numFmtId="0" fontId="119" fillId="38" borderId="23" applyNumberFormat="0" applyFont="0" applyAlignment="0" applyProtection="0"/>
    <xf numFmtId="184" fontId="119" fillId="38" borderId="23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119" fillId="38" borderId="23" applyNumberFormat="0" applyFont="0" applyAlignment="0" applyProtection="0"/>
    <xf numFmtId="0" fontId="119" fillId="38" borderId="23" applyNumberFormat="0" applyFont="0" applyAlignment="0" applyProtection="0"/>
    <xf numFmtId="184" fontId="119" fillId="38" borderId="23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20" fillId="28" borderId="11" applyNumberFormat="0" applyFont="0" applyAlignment="0" applyProtection="0"/>
    <xf numFmtId="184" fontId="20" fillId="28" borderId="11" applyNumberFormat="0" applyFont="0" applyAlignment="0" applyProtection="0"/>
    <xf numFmtId="0" fontId="1" fillId="38" borderId="23" applyNumberFormat="0" applyFont="0" applyAlignment="0" applyProtection="0"/>
    <xf numFmtId="184" fontId="1" fillId="38" borderId="23" applyNumberFormat="0" applyFont="0" applyAlignment="0" applyProtection="0"/>
    <xf numFmtId="0" fontId="43" fillId="0" borderId="0">
      <alignment horizontal="left"/>
    </xf>
    <xf numFmtId="184" fontId="43" fillId="0" borderId="0">
      <alignment horizontal="left"/>
    </xf>
    <xf numFmtId="0" fontId="32" fillId="25" borderId="12" applyNumberFormat="0" applyAlignment="0" applyProtection="0"/>
    <xf numFmtId="0" fontId="32" fillId="25" borderId="12" applyNumberFormat="0" applyAlignment="0" applyProtection="0"/>
    <xf numFmtId="0" fontId="32" fillId="25" borderId="12" applyNumberFormat="0" applyAlignment="0" applyProtection="0"/>
    <xf numFmtId="184" fontId="32" fillId="25" borderId="12" applyNumberFormat="0" applyAlignment="0" applyProtection="0"/>
    <xf numFmtId="0" fontId="32" fillId="25" borderId="12" applyNumberFormat="0" applyAlignment="0" applyProtection="0"/>
    <xf numFmtId="184" fontId="32" fillId="25" borderId="12" applyNumberFormat="0" applyAlignment="0" applyProtection="0"/>
    <xf numFmtId="0" fontId="32" fillId="25" borderId="12" applyNumberFormat="0" applyAlignment="0" applyProtection="0"/>
    <xf numFmtId="0" fontId="32" fillId="25" borderId="12" applyNumberFormat="0" applyAlignment="0" applyProtection="0"/>
    <xf numFmtId="184" fontId="32" fillId="25" borderId="12" applyNumberFormat="0" applyAlignment="0" applyProtection="0"/>
    <xf numFmtId="0" fontId="32" fillId="25" borderId="12" applyNumberFormat="0" applyAlignment="0" applyProtection="0"/>
    <xf numFmtId="0" fontId="32" fillId="25" borderId="12" applyNumberFormat="0" applyAlignment="0" applyProtection="0"/>
    <xf numFmtId="184" fontId="32" fillId="25" borderId="12" applyNumberFormat="0" applyAlignment="0" applyProtection="0"/>
    <xf numFmtId="0" fontId="32" fillId="25" borderId="12" applyNumberFormat="0" applyAlignment="0" applyProtection="0"/>
    <xf numFmtId="0" fontId="32" fillId="25" borderId="12" applyNumberFormat="0" applyAlignment="0" applyProtection="0"/>
    <xf numFmtId="184" fontId="32" fillId="25" borderId="12" applyNumberFormat="0" applyAlignment="0" applyProtection="0"/>
    <xf numFmtId="0" fontId="76" fillId="25" borderId="12" applyNumberFormat="0" applyAlignment="0" applyProtection="0"/>
    <xf numFmtId="184" fontId="76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161" fillId="25" borderId="12" applyNumberFormat="0" applyAlignment="0" applyProtection="0"/>
    <xf numFmtId="0" fontId="161" fillId="25" borderId="12" applyNumberFormat="0" applyAlignment="0" applyProtection="0"/>
    <xf numFmtId="0" fontId="161" fillId="25" borderId="12" applyNumberFormat="0" applyAlignment="0" applyProtection="0"/>
    <xf numFmtId="184" fontId="161" fillId="25" borderId="12" applyNumberFormat="0" applyAlignment="0" applyProtection="0"/>
    <xf numFmtId="0" fontId="161" fillId="25" borderId="12" applyNumberFormat="0" applyAlignment="0" applyProtection="0"/>
    <xf numFmtId="184" fontId="161" fillId="25" borderId="12" applyNumberFormat="0" applyAlignment="0" applyProtection="0"/>
    <xf numFmtId="0" fontId="102" fillId="25" borderId="20" applyNumberFormat="0" applyAlignment="0" applyProtection="0"/>
    <xf numFmtId="0" fontId="102" fillId="25" borderId="20" applyNumberFormat="0" applyAlignment="0" applyProtection="0"/>
    <xf numFmtId="184" fontId="102" fillId="25" borderId="20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162" fillId="36" borderId="20" applyNumberFormat="0" applyAlignment="0" applyProtection="0"/>
    <xf numFmtId="0" fontId="162" fillId="36" borderId="20" applyNumberFormat="0" applyAlignment="0" applyProtection="0"/>
    <xf numFmtId="184" fontId="162" fillId="36" borderId="20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60" fillId="25" borderId="12" applyNumberFormat="0" applyAlignment="0" applyProtection="0"/>
    <xf numFmtId="184" fontId="60" fillId="25" borderId="12" applyNumberFormat="0" applyAlignment="0" applyProtection="0"/>
    <xf numFmtId="0" fontId="102" fillId="36" borderId="20" applyNumberFormat="0" applyAlignment="0" applyProtection="0"/>
    <xf numFmtId="184" fontId="102" fillId="36" borderId="20" applyNumberFormat="0" applyAlignment="0" applyProtection="0"/>
    <xf numFmtId="49" fontId="163" fillId="63" borderId="33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163" fillId="63" borderId="33" applyFill="0">
      <alignment horizontal="right" indent="2"/>
    </xf>
    <xf numFmtId="223" fontId="118" fillId="0" borderId="0" applyFont="0" applyFill="0" applyBorder="0" applyAlignment="0" applyProtection="0">
      <protection locked="0"/>
    </xf>
    <xf numFmtId="224" fontId="118" fillId="0" borderId="0" applyFont="0" applyFill="0" applyBorder="0" applyAlignment="0" applyProtection="0">
      <protection locked="0"/>
    </xf>
    <xf numFmtId="225" fontId="118" fillId="0" borderId="0" applyFont="0" applyFill="0" applyBorder="0" applyAlignment="0" applyProtection="0">
      <protection locked="0"/>
    </xf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0" fontId="135" fillId="0" borderId="0" applyFill="0" applyBorder="0">
      <alignment vertical="top"/>
    </xf>
    <xf numFmtId="0" fontId="135" fillId="0" borderId="0" applyFill="0" applyBorder="0">
      <alignment vertical="top"/>
    </xf>
    <xf numFmtId="0" fontId="135" fillId="0" borderId="0" applyFill="0" applyBorder="0">
      <alignment vertical="top"/>
    </xf>
    <xf numFmtId="184" fontId="135" fillId="0" borderId="0" applyFill="0" applyBorder="0">
      <alignment vertical="top"/>
    </xf>
    <xf numFmtId="0" fontId="135" fillId="0" borderId="0" applyFill="0" applyBorder="0">
      <alignment vertical="top"/>
    </xf>
    <xf numFmtId="184" fontId="135" fillId="0" borderId="0" applyFill="0" applyBorder="0">
      <alignment vertical="top"/>
    </xf>
    <xf numFmtId="0" fontId="135" fillId="0" borderId="0" applyFill="0" applyBorder="0">
      <alignment horizontal="left" vertical="top" indent="1"/>
    </xf>
    <xf numFmtId="0" fontId="135" fillId="0" borderId="0" applyFill="0" applyBorder="0">
      <alignment horizontal="left" vertical="top" indent="1"/>
    </xf>
    <xf numFmtId="0" fontId="135" fillId="0" borderId="0" applyFill="0" applyBorder="0">
      <alignment horizontal="left" vertical="top" indent="1"/>
    </xf>
    <xf numFmtId="184" fontId="135" fillId="0" borderId="0" applyFill="0" applyBorder="0">
      <alignment horizontal="left" vertical="top" indent="1"/>
    </xf>
    <xf numFmtId="0" fontId="135" fillId="0" borderId="0" applyFill="0" applyBorder="0">
      <alignment horizontal="left" vertical="top" indent="1"/>
    </xf>
    <xf numFmtId="184" fontId="135" fillId="0" borderId="0" applyFill="0" applyBorder="0">
      <alignment horizontal="left" vertical="top" indent="1"/>
    </xf>
    <xf numFmtId="0" fontId="135" fillId="0" borderId="0" applyFill="0" applyBorder="0">
      <alignment horizontal="left" vertical="top" indent="2"/>
    </xf>
    <xf numFmtId="0" fontId="135" fillId="0" borderId="0" applyFill="0" applyBorder="0">
      <alignment horizontal="left" vertical="top" indent="2"/>
    </xf>
    <xf numFmtId="0" fontId="135" fillId="0" borderId="0" applyFill="0" applyBorder="0">
      <alignment horizontal="left" vertical="top" indent="2"/>
    </xf>
    <xf numFmtId="184" fontId="135" fillId="0" borderId="0" applyFill="0" applyBorder="0">
      <alignment horizontal="left" vertical="top" indent="2"/>
    </xf>
    <xf numFmtId="0" fontId="135" fillId="0" borderId="0" applyFill="0" applyBorder="0">
      <alignment horizontal="left" vertical="top" indent="2"/>
    </xf>
    <xf numFmtId="184" fontId="135" fillId="0" borderId="0" applyFill="0" applyBorder="0">
      <alignment horizontal="left" vertical="top" indent="2"/>
    </xf>
    <xf numFmtId="0" fontId="135" fillId="0" borderId="0" applyFill="0" applyBorder="0">
      <alignment horizontal="left" vertical="top" indent="3"/>
    </xf>
    <xf numFmtId="0" fontId="135" fillId="0" borderId="0" applyFill="0" applyBorder="0">
      <alignment horizontal="left" vertical="top" indent="3"/>
    </xf>
    <xf numFmtId="0" fontId="135" fillId="0" borderId="0" applyFill="0" applyBorder="0">
      <alignment horizontal="left" vertical="top" indent="3"/>
    </xf>
    <xf numFmtId="184" fontId="135" fillId="0" borderId="0" applyFill="0" applyBorder="0">
      <alignment horizontal="left" vertical="top" indent="3"/>
    </xf>
    <xf numFmtId="0" fontId="135" fillId="0" borderId="0" applyFill="0" applyBorder="0">
      <alignment horizontal="left" vertical="top" indent="3"/>
    </xf>
    <xf numFmtId="184" fontId="135" fillId="0" borderId="0" applyFill="0" applyBorder="0">
      <alignment horizontal="left" vertical="top" indent="3"/>
    </xf>
    <xf numFmtId="0" fontId="87" fillId="0" borderId="0" applyFill="0" applyBorder="0">
      <alignment vertical="top"/>
    </xf>
    <xf numFmtId="0" fontId="87" fillId="0" borderId="0" applyFill="0" applyBorder="0">
      <alignment vertical="top"/>
    </xf>
    <xf numFmtId="0" fontId="87" fillId="0" borderId="0" applyFill="0" applyBorder="0">
      <alignment vertical="top"/>
    </xf>
    <xf numFmtId="184" fontId="87" fillId="0" borderId="0" applyFill="0" applyBorder="0">
      <alignment vertical="top"/>
    </xf>
    <xf numFmtId="0" fontId="87" fillId="0" borderId="0" applyFill="0" applyBorder="0">
      <alignment vertical="top"/>
    </xf>
    <xf numFmtId="184" fontId="87" fillId="0" borderId="0" applyFill="0" applyBorder="0">
      <alignment vertical="top"/>
    </xf>
    <xf numFmtId="0" fontId="87" fillId="0" borderId="0" applyFill="0" applyBorder="0">
      <alignment horizontal="left" vertical="top" indent="1"/>
    </xf>
    <xf numFmtId="0" fontId="87" fillId="0" borderId="0" applyFill="0" applyBorder="0">
      <alignment horizontal="left" vertical="top" indent="1"/>
    </xf>
    <xf numFmtId="0" fontId="87" fillId="0" borderId="0" applyFill="0" applyBorder="0">
      <alignment horizontal="left" vertical="top" indent="1"/>
    </xf>
    <xf numFmtId="184" fontId="87" fillId="0" borderId="0" applyFill="0" applyBorder="0">
      <alignment horizontal="left" vertical="top" indent="1"/>
    </xf>
    <xf numFmtId="0" fontId="87" fillId="0" borderId="0" applyFill="0" applyBorder="0">
      <alignment horizontal="left" vertical="top" indent="1"/>
    </xf>
    <xf numFmtId="184" fontId="87" fillId="0" borderId="0" applyFill="0" applyBorder="0">
      <alignment horizontal="left" vertical="top" indent="1"/>
    </xf>
    <xf numFmtId="0" fontId="87" fillId="0" borderId="0" applyFill="0" applyBorder="0">
      <alignment horizontal="left" vertical="top" indent="2"/>
    </xf>
    <xf numFmtId="0" fontId="87" fillId="0" borderId="0" applyFill="0" applyBorder="0">
      <alignment horizontal="left" vertical="top" indent="2"/>
    </xf>
    <xf numFmtId="0" fontId="87" fillId="0" borderId="0" applyFill="0" applyBorder="0">
      <alignment horizontal="left" vertical="top" indent="2"/>
    </xf>
    <xf numFmtId="184" fontId="87" fillId="0" borderId="0" applyFill="0" applyBorder="0">
      <alignment horizontal="left" vertical="top" indent="2"/>
    </xf>
    <xf numFmtId="0" fontId="87" fillId="0" borderId="0" applyFill="0" applyBorder="0">
      <alignment horizontal="left" vertical="top" indent="2"/>
    </xf>
    <xf numFmtId="184" fontId="87" fillId="0" borderId="0" applyFill="0" applyBorder="0">
      <alignment horizontal="left" vertical="top" indent="2"/>
    </xf>
    <xf numFmtId="0" fontId="87" fillId="0" borderId="0" applyFill="0" applyBorder="0">
      <alignment horizontal="left" vertical="top" indent="3"/>
    </xf>
    <xf numFmtId="0" fontId="87" fillId="0" borderId="0" applyFill="0" applyBorder="0">
      <alignment horizontal="left" vertical="top" indent="3"/>
    </xf>
    <xf numFmtId="0" fontId="87" fillId="0" borderId="0" applyFill="0" applyBorder="0">
      <alignment horizontal="left" vertical="top" indent="3"/>
    </xf>
    <xf numFmtId="184" fontId="87" fillId="0" borderId="0" applyFill="0" applyBorder="0">
      <alignment horizontal="left" vertical="top" indent="3"/>
    </xf>
    <xf numFmtId="0" fontId="87" fillId="0" borderId="0" applyFill="0" applyBorder="0">
      <alignment horizontal="left" vertical="top" indent="3"/>
    </xf>
    <xf numFmtId="184" fontId="87" fillId="0" borderId="0" applyFill="0" applyBorder="0">
      <alignment horizontal="left" vertical="top" indent="3"/>
    </xf>
    <xf numFmtId="0" fontId="87" fillId="0" borderId="0" applyFill="0" applyBorder="0">
      <alignment horizontal="left" vertical="top" indent="4"/>
    </xf>
    <xf numFmtId="0" fontId="87" fillId="0" borderId="0" applyFill="0" applyBorder="0">
      <alignment horizontal="left" vertical="top" indent="4"/>
    </xf>
    <xf numFmtId="0" fontId="87" fillId="0" borderId="0" applyFill="0" applyBorder="0">
      <alignment horizontal="left" vertical="top" indent="4"/>
    </xf>
    <xf numFmtId="184" fontId="87" fillId="0" borderId="0" applyFill="0" applyBorder="0">
      <alignment horizontal="left" vertical="top" indent="4"/>
    </xf>
    <xf numFmtId="0" fontId="87" fillId="0" borderId="0" applyFill="0" applyBorder="0">
      <alignment horizontal="left" vertical="top" indent="4"/>
    </xf>
    <xf numFmtId="184" fontId="87" fillId="0" borderId="0" applyFill="0" applyBorder="0">
      <alignment horizontal="left" vertical="top" indent="4"/>
    </xf>
    <xf numFmtId="166" fontId="21" fillId="0" borderId="17" applyFont="0" applyAlignment="0">
      <alignment vertical="top" wrapText="1"/>
    </xf>
    <xf numFmtId="166" fontId="21" fillId="0" borderId="17" applyFont="0" applyAlignment="0">
      <alignment vertical="top" wrapText="1"/>
    </xf>
    <xf numFmtId="0" fontId="20" fillId="0" borderId="0" applyNumberFormat="0" applyFill="0" applyBorder="0" applyAlignment="0" applyProtection="0"/>
    <xf numFmtId="184" fontId="20" fillId="0" borderId="0" applyNumberFormat="0" applyFill="0" applyBorder="0" applyAlignment="0" applyProtection="0"/>
    <xf numFmtId="0" fontId="21" fillId="0" borderId="0">
      <alignment vertical="top"/>
    </xf>
    <xf numFmtId="166" fontId="21" fillId="0" borderId="17" applyFont="0" applyAlignment="0">
      <alignment vertical="top" wrapText="1"/>
    </xf>
    <xf numFmtId="0" fontId="21" fillId="0" borderId="0">
      <alignment vertical="top"/>
    </xf>
    <xf numFmtId="0" fontId="21" fillId="0" borderId="0">
      <alignment vertical="top"/>
    </xf>
    <xf numFmtId="184" fontId="21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4" fontId="20" fillId="0" borderId="0" applyNumberFormat="0" applyFill="0" applyBorder="0" applyAlignment="0" applyProtection="0"/>
    <xf numFmtId="0" fontId="21" fillId="0" borderId="0">
      <alignment vertical="top"/>
    </xf>
    <xf numFmtId="184" fontId="21" fillId="0" borderId="0">
      <alignment vertical="top"/>
    </xf>
    <xf numFmtId="166" fontId="21" fillId="0" borderId="17" applyFont="0" applyAlignment="0">
      <alignment vertical="top" wrapText="1"/>
    </xf>
    <xf numFmtId="0" fontId="20" fillId="0" borderId="0" applyNumberFormat="0" applyFill="0" applyBorder="0" applyAlignment="0" applyProtection="0"/>
    <xf numFmtId="166" fontId="21" fillId="0" borderId="17" applyFont="0" applyAlignment="0">
      <alignment vertical="top" wrapText="1"/>
    </xf>
    <xf numFmtId="0" fontId="20" fillId="0" borderId="0" applyNumberFormat="0" applyFill="0" applyBorder="0" applyAlignment="0" applyProtection="0"/>
    <xf numFmtId="184" fontId="20" fillId="0" borderId="0" applyNumberFormat="0" applyFill="0" applyBorder="0" applyAlignment="0" applyProtection="0"/>
    <xf numFmtId="166" fontId="21" fillId="0" borderId="17" applyFont="0" applyAlignment="0">
      <alignment vertical="top" wrapText="1"/>
    </xf>
    <xf numFmtId="166" fontId="21" fillId="0" borderId="17" applyFont="0" applyAlignment="0">
      <alignment vertical="top" wrapText="1"/>
    </xf>
    <xf numFmtId="166" fontId="21" fillId="0" borderId="17" applyFont="0" applyAlignment="0">
      <alignment vertical="top" wrapText="1"/>
    </xf>
    <xf numFmtId="166" fontId="21" fillId="0" borderId="17" applyFont="0" applyAlignment="0">
      <alignment vertical="top" wrapText="1"/>
    </xf>
    <xf numFmtId="0" fontId="121" fillId="63" borderId="34" applyNumberFormat="0">
      <alignment horizontal="left"/>
    </xf>
    <xf numFmtId="0" fontId="121" fillId="63" borderId="34" applyNumberFormat="0" applyFill="0">
      <alignment horizontal="left"/>
    </xf>
    <xf numFmtId="0" fontId="121" fillId="63" borderId="34" applyNumberFormat="0" applyFill="0">
      <alignment horizontal="left"/>
    </xf>
    <xf numFmtId="184" fontId="121" fillId="63" borderId="34" applyNumberFormat="0" applyFill="0">
      <alignment horizontal="left"/>
    </xf>
    <xf numFmtId="0" fontId="121" fillId="63" borderId="34" applyNumberFormat="0">
      <alignment horizontal="left"/>
    </xf>
    <xf numFmtId="184" fontId="121" fillId="63" borderId="34" applyNumberFormat="0">
      <alignment horizontal="left"/>
    </xf>
    <xf numFmtId="0" fontId="44" fillId="0" borderId="0"/>
    <xf numFmtId="184" fontId="44" fillId="0" borderId="0"/>
    <xf numFmtId="226" fontId="118" fillId="0" borderId="0" applyFont="0" applyFill="0" applyBorder="0" applyAlignment="0" applyProtection="0">
      <alignment horizontal="left"/>
      <protection locked="0"/>
    </xf>
    <xf numFmtId="226" fontId="164" fillId="0" borderId="25" applyFont="0" applyFill="0" applyBorder="0" applyAlignment="0" applyProtection="0">
      <alignment horizontal="left"/>
      <protection locked="0"/>
    </xf>
    <xf numFmtId="226" fontId="164" fillId="0" borderId="25" applyFont="0" applyFill="0" applyBorder="0" applyAlignment="0" applyProtection="0">
      <alignment horizontal="left"/>
      <protection locked="0"/>
    </xf>
    <xf numFmtId="226" fontId="164" fillId="0" borderId="25" applyFont="0" applyFill="0" applyBorder="0" applyAlignment="0" applyProtection="0">
      <alignment horizontal="left"/>
      <protection locked="0"/>
    </xf>
    <xf numFmtId="226" fontId="164" fillId="0" borderId="25" applyFont="0" applyFill="0" applyBorder="0" applyAlignment="0" applyProtection="0">
      <alignment horizontal="left"/>
      <protection locked="0"/>
    </xf>
    <xf numFmtId="227" fontId="118" fillId="0" borderId="0" applyFont="0" applyFill="0" applyBorder="0">
      <alignment horizontal="left"/>
      <protection locked="0"/>
    </xf>
    <xf numFmtId="227" fontId="164" fillId="0" borderId="25">
      <alignment horizontal="left"/>
      <protection locked="0"/>
    </xf>
    <xf numFmtId="227" fontId="164" fillId="0" borderId="25">
      <alignment horizontal="left"/>
      <protection locked="0"/>
    </xf>
    <xf numFmtId="227" fontId="164" fillId="0" borderId="25">
      <alignment horizontal="left"/>
      <protection locked="0"/>
    </xf>
    <xf numFmtId="227" fontId="164" fillId="0" borderId="25">
      <alignment horizontal="left"/>
      <protection locked="0"/>
    </xf>
    <xf numFmtId="40" fontId="20" fillId="0" borderId="25">
      <alignment vertical="top" wrapText="1"/>
    </xf>
    <xf numFmtId="228" fontId="118" fillId="0" borderId="0" applyFont="0" applyFill="0" applyBorder="0" applyAlignment="0" applyProtection="0">
      <alignment horizontal="left"/>
      <protection locked="0"/>
    </xf>
    <xf numFmtId="228" fontId="118" fillId="0" borderId="0" applyFont="0" applyFill="0" applyBorder="0" applyAlignment="0" applyProtection="0">
      <alignment horizontal="left"/>
      <protection locked="0"/>
    </xf>
    <xf numFmtId="228" fontId="118" fillId="0" borderId="0" applyFont="0" applyFill="0" applyBorder="0" applyAlignment="0" applyProtection="0">
      <alignment horizontal="left"/>
      <protection locked="0"/>
    </xf>
    <xf numFmtId="184" fontId="118" fillId="0" borderId="0" applyFont="0" applyFill="0" applyBorder="0" applyAlignment="0" applyProtection="0">
      <alignment horizontal="left"/>
      <protection locked="0"/>
    </xf>
    <xf numFmtId="228" fontId="118" fillId="0" borderId="0" applyFont="0" applyFill="0" applyBorder="0" applyAlignment="0" applyProtection="0">
      <alignment horizontal="left"/>
      <protection locked="0"/>
    </xf>
    <xf numFmtId="184" fontId="118" fillId="0" borderId="0" applyFont="0" applyFill="0" applyBorder="0" applyAlignment="0" applyProtection="0">
      <alignment horizontal="left"/>
      <protection locked="0"/>
    </xf>
    <xf numFmtId="0" fontId="1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4" fontId="3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84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84" fontId="1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4" fontId="33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84" fontId="1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4" fontId="33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84" fontId="166" fillId="0" borderId="0" applyNumberFormat="0" applyFill="0" applyBorder="0" applyAlignment="0" applyProtection="0"/>
    <xf numFmtId="0" fontId="45" fillId="0" borderId="0"/>
    <xf numFmtId="184" fontId="45" fillId="0" borderId="0"/>
    <xf numFmtId="0" fontId="118" fillId="68" borderId="0"/>
    <xf numFmtId="0" fontId="20" fillId="66" borderId="0"/>
    <xf numFmtId="0" fontId="20" fillId="66" borderId="0"/>
    <xf numFmtId="184" fontId="20" fillId="66" borderId="0"/>
    <xf numFmtId="0" fontId="118" fillId="68" borderId="0"/>
    <xf numFmtId="178" fontId="118" fillId="68" borderId="0"/>
    <xf numFmtId="184" fontId="118" fillId="68" borderId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184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184" fontId="34" fillId="0" borderId="13" applyNumberFormat="0" applyFill="0" applyAlignment="0" applyProtection="0"/>
    <xf numFmtId="0" fontId="34" fillId="0" borderId="13" applyNumberFormat="0" applyFill="0" applyAlignment="0" applyProtection="0"/>
    <xf numFmtId="184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184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184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184" fontId="34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77" fillId="0" borderId="13" applyNumberFormat="0" applyFill="0" applyAlignment="0" applyProtection="0"/>
    <xf numFmtId="184" fontId="7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184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184" fontId="3" fillId="0" borderId="13" applyNumberFormat="0" applyFill="0" applyAlignment="0" applyProtection="0"/>
    <xf numFmtId="0" fontId="3" fillId="0" borderId="13" applyNumberFormat="0" applyFill="0" applyAlignment="0" applyProtection="0"/>
    <xf numFmtId="184" fontId="3" fillId="0" borderId="13" applyNumberFormat="0" applyFill="0" applyAlignment="0" applyProtection="0"/>
    <xf numFmtId="0" fontId="167" fillId="0" borderId="13" applyNumberFormat="0" applyFill="0" applyAlignment="0" applyProtection="0"/>
    <xf numFmtId="0" fontId="167" fillId="0" borderId="13" applyNumberFormat="0" applyFill="0" applyAlignment="0" applyProtection="0"/>
    <xf numFmtId="0" fontId="167" fillId="0" borderId="13" applyNumberFormat="0" applyFill="0" applyAlignment="0" applyProtection="0"/>
    <xf numFmtId="184" fontId="167" fillId="0" borderId="13" applyNumberFormat="0" applyFill="0" applyAlignment="0" applyProtection="0"/>
    <xf numFmtId="0" fontId="167" fillId="0" borderId="13" applyNumberFormat="0" applyFill="0" applyAlignment="0" applyProtection="0"/>
    <xf numFmtId="0" fontId="167" fillId="0" borderId="13" applyNumberFormat="0" applyFill="0" applyAlignment="0" applyProtection="0"/>
    <xf numFmtId="184" fontId="167" fillId="0" borderId="13" applyNumberFormat="0" applyFill="0" applyAlignment="0" applyProtection="0"/>
    <xf numFmtId="0" fontId="167" fillId="0" borderId="13" applyNumberFormat="0" applyFill="0" applyAlignment="0" applyProtection="0"/>
    <xf numFmtId="184" fontId="167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184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184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184" fontId="3" fillId="0" borderId="13" applyNumberFormat="0" applyFill="0" applyAlignment="0" applyProtection="0"/>
    <xf numFmtId="0" fontId="120" fillId="0" borderId="35" applyNumberFormat="0" applyFont="0" applyFill="0" applyAlignment="0" applyProtection="0"/>
    <xf numFmtId="0" fontId="168" fillId="0" borderId="24" applyNumberFormat="0" applyFill="0" applyAlignment="0" applyProtection="0"/>
    <xf numFmtId="0" fontId="168" fillId="0" borderId="24" applyNumberFormat="0" applyFill="0" applyAlignment="0" applyProtection="0"/>
    <xf numFmtId="184" fontId="168" fillId="0" borderId="24" applyNumberFormat="0" applyFill="0" applyAlignment="0" applyProtection="0"/>
    <xf numFmtId="0" fontId="120" fillId="0" borderId="35" applyNumberFormat="0" applyFont="0" applyFill="0" applyAlignment="0" applyProtection="0"/>
    <xf numFmtId="184" fontId="120" fillId="0" borderId="35" applyNumberFormat="0" applyFon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38" fillId="0" borderId="13" applyNumberFormat="0" applyFill="0" applyAlignment="0" applyProtection="0"/>
    <xf numFmtId="184" fontId="38" fillId="0" borderId="13" applyNumberFormat="0" applyFill="0" applyAlignment="0" applyProtection="0"/>
    <xf numFmtId="0" fontId="120" fillId="0" borderId="35" applyNumberFormat="0" applyFont="0" applyFill="0" applyAlignment="0" applyProtection="0"/>
    <xf numFmtId="0" fontId="120" fillId="0" borderId="35" applyNumberFormat="0" applyFont="0" applyFill="0" applyAlignment="0" applyProtection="0"/>
    <xf numFmtId="184" fontId="120" fillId="0" borderId="35" applyNumberFormat="0" applyFont="0" applyFill="0" applyAlignment="0" applyProtection="0"/>
    <xf numFmtId="0" fontId="3" fillId="0" borderId="24" applyNumberFormat="0" applyFill="0" applyAlignment="0" applyProtection="0"/>
    <xf numFmtId="184" fontId="3" fillId="0" borderId="24" applyNumberFormat="0" applyFill="0" applyAlignment="0" applyProtection="0"/>
    <xf numFmtId="0" fontId="87" fillId="0" borderId="0" applyFill="0" applyBorder="0">
      <alignment horizontal="center"/>
    </xf>
    <xf numFmtId="0" fontId="87" fillId="0" borderId="0" applyFill="0" applyBorder="0">
      <alignment horizontal="center"/>
    </xf>
    <xf numFmtId="0" fontId="87" fillId="0" borderId="0" applyFill="0" applyBorder="0">
      <alignment horizontal="center"/>
    </xf>
    <xf numFmtId="184" fontId="87" fillId="0" borderId="0" applyFill="0" applyBorder="0">
      <alignment horizontal="center"/>
    </xf>
    <xf numFmtId="0" fontId="87" fillId="0" borderId="0" applyFill="0" applyBorder="0">
      <alignment horizontal="center"/>
    </xf>
    <xf numFmtId="184" fontId="87" fillId="0" borderId="0" applyFill="0" applyBorder="0">
      <alignment horizontal="center"/>
    </xf>
    <xf numFmtId="0" fontId="87" fillId="0" borderId="0" applyFill="0" applyBorder="0">
      <alignment horizontal="center" wrapText="1"/>
    </xf>
    <xf numFmtId="0" fontId="87" fillId="0" borderId="0" applyFill="0" applyBorder="0">
      <alignment horizontal="center" wrapText="1"/>
    </xf>
    <xf numFmtId="0" fontId="87" fillId="0" borderId="0" applyFill="0" applyBorder="0">
      <alignment horizontal="center" wrapText="1"/>
    </xf>
    <xf numFmtId="184" fontId="87" fillId="0" borderId="0" applyFill="0" applyBorder="0">
      <alignment horizontal="center" wrapText="1"/>
    </xf>
    <xf numFmtId="0" fontId="87" fillId="0" borderId="0" applyFill="0" applyBorder="0">
      <alignment horizontal="center" wrapText="1"/>
    </xf>
    <xf numFmtId="184" fontId="87" fillId="0" borderId="0" applyFill="0" applyBorder="0">
      <alignment horizontal="center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4" fontId="7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4" fontId="61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84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84" fontId="17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4" fontId="6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4" fontId="96" fillId="0" borderId="0" applyNumberFormat="0" applyFill="0" applyBorder="0" applyAlignment="0" applyProtection="0"/>
    <xf numFmtId="229" fontId="118" fillId="0" borderId="0" applyFont="0" applyFill="0" applyBorder="0" applyAlignment="0" applyProtection="0">
      <alignment horizontal="left"/>
      <protection locked="0"/>
    </xf>
    <xf numFmtId="184" fontId="21" fillId="7" borderId="0" applyNumberFormat="0" applyBorder="0" applyAlignment="0" applyProtection="0"/>
    <xf numFmtId="0" fontId="37" fillId="7" borderId="0" applyNumberFormat="0" applyBorder="0" applyAlignment="0" applyProtection="0"/>
    <xf numFmtId="184" fontId="21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78" fillId="40" borderId="0" applyNumberFormat="0" applyBorder="0" applyAlignment="0" applyProtection="0"/>
    <xf numFmtId="0" fontId="178" fillId="40" borderId="0" applyNumberFormat="0" applyBorder="0" applyAlignment="0" applyProtection="0"/>
    <xf numFmtId="184" fontId="37" fillId="7" borderId="0" applyNumberFormat="0" applyBorder="0" applyAlignment="0" applyProtection="0"/>
    <xf numFmtId="0" fontId="63" fillId="7" borderId="0" applyNumberFormat="0" applyBorder="0" applyAlignment="0" applyProtection="0"/>
    <xf numFmtId="184" fontId="37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184" fontId="62" fillId="7" borderId="0" applyNumberFormat="0" applyBorder="0" applyAlignment="0" applyProtection="0"/>
    <xf numFmtId="0" fontId="37" fillId="7" borderId="0" applyNumberFormat="0" applyBorder="0" applyAlignment="0" applyProtection="0"/>
    <xf numFmtId="184" fontId="62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82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4" fontId="82" fillId="40" borderId="0" applyNumberFormat="0" applyBorder="0" applyAlignment="0" applyProtection="0"/>
    <xf numFmtId="0" fontId="1" fillId="40" borderId="0" applyNumberFormat="0" applyBorder="0" applyAlignment="0" applyProtection="0"/>
    <xf numFmtId="184" fontId="82" fillId="40" borderId="0" applyNumberFormat="0" applyBorder="0" applyAlignment="0" applyProtection="0"/>
    <xf numFmtId="0" fontId="37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4" fontId="37" fillId="7" borderId="0" applyNumberFormat="0" applyBorder="0" applyAlignment="0" applyProtection="0"/>
    <xf numFmtId="0" fontId="1" fillId="40" borderId="0" applyNumberFormat="0" applyBorder="0" applyAlignment="0" applyProtection="0"/>
    <xf numFmtId="184" fontId="37" fillId="7" borderId="0" applyNumberFormat="0" applyBorder="0" applyAlignment="0" applyProtection="0"/>
    <xf numFmtId="184" fontId="21" fillId="8" borderId="0" applyNumberFormat="0" applyBorder="0" applyAlignment="0" applyProtection="0"/>
    <xf numFmtId="0" fontId="37" fillId="8" borderId="0" applyNumberFormat="0" applyBorder="0" applyAlignment="0" applyProtection="0"/>
    <xf numFmtId="184" fontId="2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78" fillId="44" borderId="0" applyNumberFormat="0" applyBorder="0" applyAlignment="0" applyProtection="0"/>
    <xf numFmtId="0" fontId="178" fillId="44" borderId="0" applyNumberFormat="0" applyBorder="0" applyAlignment="0" applyProtection="0"/>
    <xf numFmtId="184" fontId="37" fillId="8" borderId="0" applyNumberFormat="0" applyBorder="0" applyAlignment="0" applyProtection="0"/>
    <xf numFmtId="0" fontId="63" fillId="8" borderId="0" applyNumberFormat="0" applyBorder="0" applyAlignment="0" applyProtection="0"/>
    <xf numFmtId="184" fontId="37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184" fontId="62" fillId="8" borderId="0" applyNumberFormat="0" applyBorder="0" applyAlignment="0" applyProtection="0"/>
    <xf numFmtId="0" fontId="37" fillId="8" borderId="0" applyNumberFormat="0" applyBorder="0" applyAlignment="0" applyProtection="0"/>
    <xf numFmtId="184" fontId="62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84" fontId="82" fillId="44" borderId="0" applyNumberFormat="0" applyBorder="0" applyAlignment="0" applyProtection="0"/>
    <xf numFmtId="0" fontId="1" fillId="44" borderId="0" applyNumberFormat="0" applyBorder="0" applyAlignment="0" applyProtection="0"/>
    <xf numFmtId="184" fontId="82" fillId="44" borderId="0" applyNumberFormat="0" applyBorder="0" applyAlignment="0" applyProtection="0"/>
    <xf numFmtId="0" fontId="37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84" fontId="37" fillId="8" borderId="0" applyNumberFormat="0" applyBorder="0" applyAlignment="0" applyProtection="0"/>
    <xf numFmtId="0" fontId="1" fillId="44" borderId="0" applyNumberFormat="0" applyBorder="0" applyAlignment="0" applyProtection="0"/>
    <xf numFmtId="184" fontId="37" fillId="8" borderId="0" applyNumberFormat="0" applyBorder="0" applyAlignment="0" applyProtection="0"/>
    <xf numFmtId="184" fontId="21" fillId="9" borderId="0" applyNumberFormat="0" applyBorder="0" applyAlignment="0" applyProtection="0"/>
    <xf numFmtId="0" fontId="37" fillId="9" borderId="0" applyNumberFormat="0" applyBorder="0" applyAlignment="0" applyProtection="0"/>
    <xf numFmtId="184" fontId="21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178" fillId="48" borderId="0" applyNumberFormat="0" applyBorder="0" applyAlignment="0" applyProtection="0"/>
    <xf numFmtId="0" fontId="178" fillId="48" borderId="0" applyNumberFormat="0" applyBorder="0" applyAlignment="0" applyProtection="0"/>
    <xf numFmtId="184" fontId="37" fillId="9" borderId="0" applyNumberFormat="0" applyBorder="0" applyAlignment="0" applyProtection="0"/>
    <xf numFmtId="0" fontId="63" fillId="9" borderId="0" applyNumberFormat="0" applyBorder="0" applyAlignment="0" applyProtection="0"/>
    <xf numFmtId="184" fontId="37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184" fontId="62" fillId="9" borderId="0" applyNumberFormat="0" applyBorder="0" applyAlignment="0" applyProtection="0"/>
    <xf numFmtId="0" fontId="37" fillId="9" borderId="0" applyNumberFormat="0" applyBorder="0" applyAlignment="0" applyProtection="0"/>
    <xf numFmtId="184" fontId="62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84" fontId="82" fillId="48" borderId="0" applyNumberFormat="0" applyBorder="0" applyAlignment="0" applyProtection="0"/>
    <xf numFmtId="0" fontId="1" fillId="48" borderId="0" applyNumberFormat="0" applyBorder="0" applyAlignment="0" applyProtection="0"/>
    <xf numFmtId="184" fontId="82" fillId="48" borderId="0" applyNumberFormat="0" applyBorder="0" applyAlignment="0" applyProtection="0"/>
    <xf numFmtId="0" fontId="37" fillId="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84" fontId="37" fillId="9" borderId="0" applyNumberFormat="0" applyBorder="0" applyAlignment="0" applyProtection="0"/>
    <xf numFmtId="0" fontId="1" fillId="48" borderId="0" applyNumberFormat="0" applyBorder="0" applyAlignment="0" applyProtection="0"/>
    <xf numFmtId="184" fontId="37" fillId="9" borderId="0" applyNumberFormat="0" applyBorder="0" applyAlignment="0" applyProtection="0"/>
    <xf numFmtId="184" fontId="21" fillId="10" borderId="0" applyNumberFormat="0" applyBorder="0" applyAlignment="0" applyProtection="0"/>
    <xf numFmtId="0" fontId="37" fillId="10" borderId="0" applyNumberFormat="0" applyBorder="0" applyAlignment="0" applyProtection="0"/>
    <xf numFmtId="184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78" fillId="52" borderId="0" applyNumberFormat="0" applyBorder="0" applyAlignment="0" applyProtection="0"/>
    <xf numFmtId="0" fontId="178" fillId="52" borderId="0" applyNumberFormat="0" applyBorder="0" applyAlignment="0" applyProtection="0"/>
    <xf numFmtId="184" fontId="37" fillId="10" borderId="0" applyNumberFormat="0" applyBorder="0" applyAlignment="0" applyProtection="0"/>
    <xf numFmtId="0" fontId="63" fillId="10" borderId="0" applyNumberFormat="0" applyBorder="0" applyAlignment="0" applyProtection="0"/>
    <xf numFmtId="184" fontId="37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184" fontId="62" fillId="10" borderId="0" applyNumberFormat="0" applyBorder="0" applyAlignment="0" applyProtection="0"/>
    <xf numFmtId="0" fontId="37" fillId="10" borderId="0" applyNumberFormat="0" applyBorder="0" applyAlignment="0" applyProtection="0"/>
    <xf numFmtId="184" fontId="62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82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84" fontId="82" fillId="52" borderId="0" applyNumberFormat="0" applyBorder="0" applyAlignment="0" applyProtection="0"/>
    <xf numFmtId="0" fontId="1" fillId="52" borderId="0" applyNumberFormat="0" applyBorder="0" applyAlignment="0" applyProtection="0"/>
    <xf numFmtId="184" fontId="82" fillId="52" borderId="0" applyNumberFormat="0" applyBorder="0" applyAlignment="0" applyProtection="0"/>
    <xf numFmtId="0" fontId="37" fillId="1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84" fontId="37" fillId="10" borderId="0" applyNumberFormat="0" applyBorder="0" applyAlignment="0" applyProtection="0"/>
    <xf numFmtId="0" fontId="1" fillId="52" borderId="0" applyNumberFormat="0" applyBorder="0" applyAlignment="0" applyProtection="0"/>
    <xf numFmtId="184" fontId="37" fillId="10" borderId="0" applyNumberFormat="0" applyBorder="0" applyAlignment="0" applyProtection="0"/>
    <xf numFmtId="184" fontId="21" fillId="11" borderId="0" applyNumberFormat="0" applyBorder="0" applyAlignment="0" applyProtection="0"/>
    <xf numFmtId="0" fontId="37" fillId="11" borderId="0" applyNumberFormat="0" applyBorder="0" applyAlignment="0" applyProtection="0"/>
    <xf numFmtId="184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78" fillId="56" borderId="0" applyNumberFormat="0" applyBorder="0" applyAlignment="0" applyProtection="0"/>
    <xf numFmtId="0" fontId="178" fillId="56" borderId="0" applyNumberFormat="0" applyBorder="0" applyAlignment="0" applyProtection="0"/>
    <xf numFmtId="184" fontId="37" fillId="11" borderId="0" applyNumberFormat="0" applyBorder="0" applyAlignment="0" applyProtection="0"/>
    <xf numFmtId="0" fontId="63" fillId="11" borderId="0" applyNumberFormat="0" applyBorder="0" applyAlignment="0" applyProtection="0"/>
    <xf numFmtId="184" fontId="3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184" fontId="62" fillId="11" borderId="0" applyNumberFormat="0" applyBorder="0" applyAlignment="0" applyProtection="0"/>
    <xf numFmtId="0" fontId="37" fillId="11" borderId="0" applyNumberFormat="0" applyBorder="0" applyAlignment="0" applyProtection="0"/>
    <xf numFmtId="184" fontId="62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82" fillId="56" borderId="0" applyNumberFormat="0" applyBorder="0" applyAlignment="0" applyProtection="0"/>
    <xf numFmtId="0" fontId="37" fillId="1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184" fontId="37" fillId="11" borderId="0" applyNumberFormat="0" applyBorder="0" applyAlignment="0" applyProtection="0"/>
    <xf numFmtId="0" fontId="1" fillId="56" borderId="0" applyNumberFormat="0" applyBorder="0" applyAlignment="0" applyProtection="0"/>
    <xf numFmtId="184" fontId="37" fillId="11" borderId="0" applyNumberFormat="0" applyBorder="0" applyAlignment="0" applyProtection="0"/>
    <xf numFmtId="0" fontId="1" fillId="56" borderId="0" applyNumberFormat="0" applyBorder="0" applyAlignment="0" applyProtection="0"/>
    <xf numFmtId="184" fontId="21" fillId="12" borderId="0" applyNumberFormat="0" applyBorder="0" applyAlignment="0" applyProtection="0"/>
    <xf numFmtId="0" fontId="37" fillId="12" borderId="0" applyNumberFormat="0" applyBorder="0" applyAlignment="0" applyProtection="0"/>
    <xf numFmtId="184" fontId="21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78" fillId="60" borderId="0" applyNumberFormat="0" applyBorder="0" applyAlignment="0" applyProtection="0"/>
    <xf numFmtId="0" fontId="178" fillId="60" borderId="0" applyNumberFormat="0" applyBorder="0" applyAlignment="0" applyProtection="0"/>
    <xf numFmtId="184" fontId="37" fillId="12" borderId="0" applyNumberFormat="0" applyBorder="0" applyAlignment="0" applyProtection="0"/>
    <xf numFmtId="0" fontId="63" fillId="12" borderId="0" applyNumberFormat="0" applyBorder="0" applyAlignment="0" applyProtection="0"/>
    <xf numFmtId="184" fontId="3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184" fontId="62" fillId="12" borderId="0" applyNumberFormat="0" applyBorder="0" applyAlignment="0" applyProtection="0"/>
    <xf numFmtId="0" fontId="37" fillId="12" borderId="0" applyNumberFormat="0" applyBorder="0" applyAlignment="0" applyProtection="0"/>
    <xf numFmtId="184" fontId="6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" fillId="25" borderId="0" applyNumberFormat="0" applyBorder="0" applyAlignment="0" applyProtection="0"/>
    <xf numFmtId="0" fontId="37" fillId="1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82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84" fontId="82" fillId="60" borderId="0" applyNumberFormat="0" applyBorder="0" applyAlignment="0" applyProtection="0"/>
    <xf numFmtId="0" fontId="1" fillId="60" borderId="0" applyNumberFormat="0" applyBorder="0" applyAlignment="0" applyProtection="0"/>
    <xf numFmtId="184" fontId="82" fillId="60" borderId="0" applyNumberFormat="0" applyBorder="0" applyAlignment="0" applyProtection="0"/>
    <xf numFmtId="0" fontId="37" fillId="1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184" fontId="37" fillId="12" borderId="0" applyNumberFormat="0" applyBorder="0" applyAlignment="0" applyProtection="0"/>
    <xf numFmtId="0" fontId="1" fillId="60" borderId="0" applyNumberFormat="0" applyBorder="0" applyAlignment="0" applyProtection="0"/>
    <xf numFmtId="184" fontId="37" fillId="12" borderId="0" applyNumberFormat="0" applyBorder="0" applyAlignment="0" applyProtection="0"/>
    <xf numFmtId="184" fontId="21" fillId="13" borderId="0" applyNumberFormat="0" applyBorder="0" applyAlignment="0" applyProtection="0"/>
    <xf numFmtId="0" fontId="37" fillId="13" borderId="0" applyNumberFormat="0" applyBorder="0" applyAlignment="0" applyProtection="0"/>
    <xf numFmtId="184" fontId="21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78" fillId="41" borderId="0" applyNumberFormat="0" applyBorder="0" applyAlignment="0" applyProtection="0"/>
    <xf numFmtId="0" fontId="178" fillId="41" borderId="0" applyNumberFormat="0" applyBorder="0" applyAlignment="0" applyProtection="0"/>
    <xf numFmtId="184" fontId="37" fillId="13" borderId="0" applyNumberFormat="0" applyBorder="0" applyAlignment="0" applyProtection="0"/>
    <xf numFmtId="0" fontId="63" fillId="13" borderId="0" applyNumberFormat="0" applyBorder="0" applyAlignment="0" applyProtection="0"/>
    <xf numFmtId="184" fontId="3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184" fontId="62" fillId="13" borderId="0" applyNumberFormat="0" applyBorder="0" applyAlignment="0" applyProtection="0"/>
    <xf numFmtId="0" fontId="37" fillId="13" borderId="0" applyNumberFormat="0" applyBorder="0" applyAlignment="0" applyProtection="0"/>
    <xf numFmtId="184" fontId="62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4" fontId="82" fillId="41" borderId="0" applyNumberFormat="0" applyBorder="0" applyAlignment="0" applyProtection="0"/>
    <xf numFmtId="0" fontId="1" fillId="41" borderId="0" applyNumberFormat="0" applyBorder="0" applyAlignment="0" applyProtection="0"/>
    <xf numFmtId="184" fontId="82" fillId="41" borderId="0" applyNumberFormat="0" applyBorder="0" applyAlignment="0" applyProtection="0"/>
    <xf numFmtId="0" fontId="37" fillId="1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4" fontId="37" fillId="13" borderId="0" applyNumberFormat="0" applyBorder="0" applyAlignment="0" applyProtection="0"/>
    <xf numFmtId="0" fontId="1" fillId="41" borderId="0" applyNumberFormat="0" applyBorder="0" applyAlignment="0" applyProtection="0"/>
    <xf numFmtId="184" fontId="37" fillId="13" borderId="0" applyNumberFormat="0" applyBorder="0" applyAlignment="0" applyProtection="0"/>
    <xf numFmtId="184" fontId="21" fillId="14" borderId="0" applyNumberFormat="0" applyBorder="0" applyAlignment="0" applyProtection="0"/>
    <xf numFmtId="0" fontId="37" fillId="14" borderId="0" applyNumberFormat="0" applyBorder="0" applyAlignment="0" applyProtection="0"/>
    <xf numFmtId="184" fontId="2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78" fillId="45" borderId="0" applyNumberFormat="0" applyBorder="0" applyAlignment="0" applyProtection="0"/>
    <xf numFmtId="0" fontId="178" fillId="45" borderId="0" applyNumberFormat="0" applyBorder="0" applyAlignment="0" applyProtection="0"/>
    <xf numFmtId="184" fontId="37" fillId="14" borderId="0" applyNumberFormat="0" applyBorder="0" applyAlignment="0" applyProtection="0"/>
    <xf numFmtId="0" fontId="63" fillId="14" borderId="0" applyNumberFormat="0" applyBorder="0" applyAlignment="0" applyProtection="0"/>
    <xf numFmtId="184" fontId="37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184" fontId="62" fillId="14" borderId="0" applyNumberFormat="0" applyBorder="0" applyAlignment="0" applyProtection="0"/>
    <xf numFmtId="0" fontId="37" fillId="14" borderId="0" applyNumberFormat="0" applyBorder="0" applyAlignment="0" applyProtection="0"/>
    <xf numFmtId="184" fontId="6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82" fillId="45" borderId="0" applyNumberFormat="0" applyBorder="0" applyAlignment="0" applyProtection="0"/>
    <xf numFmtId="0" fontId="37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84" fontId="37" fillId="14" borderId="0" applyNumberFormat="0" applyBorder="0" applyAlignment="0" applyProtection="0"/>
    <xf numFmtId="0" fontId="1" fillId="45" borderId="0" applyNumberFormat="0" applyBorder="0" applyAlignment="0" applyProtection="0"/>
    <xf numFmtId="184" fontId="37" fillId="14" borderId="0" applyNumberFormat="0" applyBorder="0" applyAlignment="0" applyProtection="0"/>
    <xf numFmtId="0" fontId="1" fillId="45" borderId="0" applyNumberFormat="0" applyBorder="0" applyAlignment="0" applyProtection="0"/>
    <xf numFmtId="184" fontId="21" fillId="15" borderId="0" applyNumberFormat="0" applyBorder="0" applyAlignment="0" applyProtection="0"/>
    <xf numFmtId="0" fontId="37" fillId="15" borderId="0" applyNumberFormat="0" applyBorder="0" applyAlignment="0" applyProtection="0"/>
    <xf numFmtId="184" fontId="2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78" fillId="49" borderId="0" applyNumberFormat="0" applyBorder="0" applyAlignment="0" applyProtection="0"/>
    <xf numFmtId="0" fontId="178" fillId="49" borderId="0" applyNumberFormat="0" applyBorder="0" applyAlignment="0" applyProtection="0"/>
    <xf numFmtId="184" fontId="37" fillId="15" borderId="0" applyNumberFormat="0" applyBorder="0" applyAlignment="0" applyProtection="0"/>
    <xf numFmtId="0" fontId="63" fillId="15" borderId="0" applyNumberFormat="0" applyBorder="0" applyAlignment="0" applyProtection="0"/>
    <xf numFmtId="184" fontId="37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184" fontId="62" fillId="15" borderId="0" applyNumberFormat="0" applyBorder="0" applyAlignment="0" applyProtection="0"/>
    <xf numFmtId="0" fontId="37" fillId="15" borderId="0" applyNumberFormat="0" applyBorder="0" applyAlignment="0" applyProtection="0"/>
    <xf numFmtId="184" fontId="62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82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84" fontId="82" fillId="49" borderId="0" applyNumberFormat="0" applyBorder="0" applyAlignment="0" applyProtection="0"/>
    <xf numFmtId="0" fontId="1" fillId="49" borderId="0" applyNumberFormat="0" applyBorder="0" applyAlignment="0" applyProtection="0"/>
    <xf numFmtId="184" fontId="82" fillId="49" borderId="0" applyNumberFormat="0" applyBorder="0" applyAlignment="0" applyProtection="0"/>
    <xf numFmtId="0" fontId="37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84" fontId="37" fillId="15" borderId="0" applyNumberFormat="0" applyBorder="0" applyAlignment="0" applyProtection="0"/>
    <xf numFmtId="0" fontId="1" fillId="49" borderId="0" applyNumberFormat="0" applyBorder="0" applyAlignment="0" applyProtection="0"/>
    <xf numFmtId="184" fontId="37" fillId="15" borderId="0" applyNumberFormat="0" applyBorder="0" applyAlignment="0" applyProtection="0"/>
    <xf numFmtId="184" fontId="21" fillId="10" borderId="0" applyNumberFormat="0" applyBorder="0" applyAlignment="0" applyProtection="0"/>
    <xf numFmtId="0" fontId="37" fillId="10" borderId="0" applyNumberFormat="0" applyBorder="0" applyAlignment="0" applyProtection="0"/>
    <xf numFmtId="184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78" fillId="53" borderId="0" applyNumberFormat="0" applyBorder="0" applyAlignment="0" applyProtection="0"/>
    <xf numFmtId="0" fontId="178" fillId="53" borderId="0" applyNumberFormat="0" applyBorder="0" applyAlignment="0" applyProtection="0"/>
    <xf numFmtId="184" fontId="37" fillId="10" borderId="0" applyNumberFormat="0" applyBorder="0" applyAlignment="0" applyProtection="0"/>
    <xf numFmtId="0" fontId="63" fillId="10" borderId="0" applyNumberFormat="0" applyBorder="0" applyAlignment="0" applyProtection="0"/>
    <xf numFmtId="184" fontId="37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184" fontId="62" fillId="10" borderId="0" applyNumberFormat="0" applyBorder="0" applyAlignment="0" applyProtection="0"/>
    <xf numFmtId="0" fontId="37" fillId="10" borderId="0" applyNumberFormat="0" applyBorder="0" applyAlignment="0" applyProtection="0"/>
    <xf numFmtId="184" fontId="62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84" fontId="82" fillId="53" borderId="0" applyNumberFormat="0" applyBorder="0" applyAlignment="0" applyProtection="0"/>
    <xf numFmtId="0" fontId="1" fillId="53" borderId="0" applyNumberFormat="0" applyBorder="0" applyAlignment="0" applyProtection="0"/>
    <xf numFmtId="184" fontId="82" fillId="53" borderId="0" applyNumberFormat="0" applyBorder="0" applyAlignment="0" applyProtection="0"/>
    <xf numFmtId="0" fontId="37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84" fontId="37" fillId="10" borderId="0" applyNumberFormat="0" applyBorder="0" applyAlignment="0" applyProtection="0"/>
    <xf numFmtId="0" fontId="1" fillId="53" borderId="0" applyNumberFormat="0" applyBorder="0" applyAlignment="0" applyProtection="0"/>
    <xf numFmtId="184" fontId="37" fillId="10" borderId="0" applyNumberFormat="0" applyBorder="0" applyAlignment="0" applyProtection="0"/>
    <xf numFmtId="184" fontId="21" fillId="13" borderId="0" applyNumberFormat="0" applyBorder="0" applyAlignment="0" applyProtection="0"/>
    <xf numFmtId="0" fontId="37" fillId="13" borderId="0" applyNumberFormat="0" applyBorder="0" applyAlignment="0" applyProtection="0"/>
    <xf numFmtId="184" fontId="21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78" fillId="57" borderId="0" applyNumberFormat="0" applyBorder="0" applyAlignment="0" applyProtection="0"/>
    <xf numFmtId="0" fontId="178" fillId="57" borderId="0" applyNumberFormat="0" applyBorder="0" applyAlignment="0" applyProtection="0"/>
    <xf numFmtId="184" fontId="37" fillId="13" borderId="0" applyNumberFormat="0" applyBorder="0" applyAlignment="0" applyProtection="0"/>
    <xf numFmtId="0" fontId="63" fillId="13" borderId="0" applyNumberFormat="0" applyBorder="0" applyAlignment="0" applyProtection="0"/>
    <xf numFmtId="184" fontId="3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184" fontId="62" fillId="13" borderId="0" applyNumberFormat="0" applyBorder="0" applyAlignment="0" applyProtection="0"/>
    <xf numFmtId="0" fontId="37" fillId="13" borderId="0" applyNumberFormat="0" applyBorder="0" applyAlignment="0" applyProtection="0"/>
    <xf numFmtId="184" fontId="62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8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184" fontId="82" fillId="57" borderId="0" applyNumberFormat="0" applyBorder="0" applyAlignment="0" applyProtection="0"/>
    <xf numFmtId="0" fontId="1" fillId="57" borderId="0" applyNumberFormat="0" applyBorder="0" applyAlignment="0" applyProtection="0"/>
    <xf numFmtId="184" fontId="82" fillId="57" borderId="0" applyNumberFormat="0" applyBorder="0" applyAlignment="0" applyProtection="0"/>
    <xf numFmtId="0" fontId="37" fillId="1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184" fontId="37" fillId="13" borderId="0" applyNumberFormat="0" applyBorder="0" applyAlignment="0" applyProtection="0"/>
    <xf numFmtId="0" fontId="1" fillId="57" borderId="0" applyNumberFormat="0" applyBorder="0" applyAlignment="0" applyProtection="0"/>
    <xf numFmtId="184" fontId="37" fillId="13" borderId="0" applyNumberFormat="0" applyBorder="0" applyAlignment="0" applyProtection="0"/>
    <xf numFmtId="184" fontId="21" fillId="16" borderId="0" applyNumberFormat="0" applyBorder="0" applyAlignment="0" applyProtection="0"/>
    <xf numFmtId="0" fontId="37" fillId="16" borderId="0" applyNumberFormat="0" applyBorder="0" applyAlignment="0" applyProtection="0"/>
    <xf numFmtId="184" fontId="21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78" fillId="61" borderId="0" applyNumberFormat="0" applyBorder="0" applyAlignment="0" applyProtection="0"/>
    <xf numFmtId="0" fontId="178" fillId="61" borderId="0" applyNumberFormat="0" applyBorder="0" applyAlignment="0" applyProtection="0"/>
    <xf numFmtId="184" fontId="37" fillId="16" borderId="0" applyNumberFormat="0" applyBorder="0" applyAlignment="0" applyProtection="0"/>
    <xf numFmtId="0" fontId="63" fillId="16" borderId="0" applyNumberFormat="0" applyBorder="0" applyAlignment="0" applyProtection="0"/>
    <xf numFmtId="184" fontId="3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184" fontId="62" fillId="16" borderId="0" applyNumberFormat="0" applyBorder="0" applyAlignment="0" applyProtection="0"/>
    <xf numFmtId="0" fontId="37" fillId="16" borderId="0" applyNumberFormat="0" applyBorder="0" applyAlignment="0" applyProtection="0"/>
    <xf numFmtId="184" fontId="62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82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184" fontId="82" fillId="61" borderId="0" applyNumberFormat="0" applyBorder="0" applyAlignment="0" applyProtection="0"/>
    <xf numFmtId="0" fontId="1" fillId="61" borderId="0" applyNumberFormat="0" applyBorder="0" applyAlignment="0" applyProtection="0"/>
    <xf numFmtId="184" fontId="82" fillId="61" borderId="0" applyNumberFormat="0" applyBorder="0" applyAlignment="0" applyProtection="0"/>
    <xf numFmtId="0" fontId="37" fillId="1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184" fontId="37" fillId="16" borderId="0" applyNumberFormat="0" applyBorder="0" applyAlignment="0" applyProtection="0"/>
    <xf numFmtId="0" fontId="1" fillId="61" borderId="0" applyNumberFormat="0" applyBorder="0" applyAlignment="0" applyProtection="0"/>
    <xf numFmtId="184" fontId="37" fillId="16" borderId="0" applyNumberFormat="0" applyBorder="0" applyAlignment="0" applyProtection="0"/>
    <xf numFmtId="184" fontId="22" fillId="17" borderId="0" applyNumberFormat="0" applyBorder="0" applyAlignment="0" applyProtection="0"/>
    <xf numFmtId="0" fontId="64" fillId="17" borderId="0" applyNumberFormat="0" applyBorder="0" applyAlignment="0" applyProtection="0"/>
    <xf numFmtId="184" fontId="22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79" fillId="42" borderId="0" applyNumberFormat="0" applyBorder="0" applyAlignment="0" applyProtection="0"/>
    <xf numFmtId="0" fontId="179" fillId="42" borderId="0" applyNumberFormat="0" applyBorder="0" applyAlignment="0" applyProtection="0"/>
    <xf numFmtId="0" fontId="48" fillId="17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09" fillId="42" borderId="0" applyNumberFormat="0" applyBorder="0" applyAlignment="0" applyProtection="0"/>
    <xf numFmtId="0" fontId="107" fillId="42" borderId="0" applyNumberFormat="0" applyBorder="0" applyAlignment="0" applyProtection="0"/>
    <xf numFmtId="0" fontId="107" fillId="42" borderId="0" applyNumberFormat="0" applyBorder="0" applyAlignment="0" applyProtection="0"/>
    <xf numFmtId="184" fontId="22" fillId="14" borderId="0" applyNumberFormat="0" applyBorder="0" applyAlignment="0" applyProtection="0"/>
    <xf numFmtId="0" fontId="64" fillId="14" borderId="0" applyNumberFormat="0" applyBorder="0" applyAlignment="0" applyProtection="0"/>
    <xf numFmtId="184" fontId="2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79" fillId="46" borderId="0" applyNumberFormat="0" applyBorder="0" applyAlignment="0" applyProtection="0"/>
    <xf numFmtId="0" fontId="179" fillId="46" borderId="0" applyNumberFormat="0" applyBorder="0" applyAlignment="0" applyProtection="0"/>
    <xf numFmtId="0" fontId="48" fillId="1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09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184" fontId="22" fillId="15" borderId="0" applyNumberFormat="0" applyBorder="0" applyAlignment="0" applyProtection="0"/>
    <xf numFmtId="0" fontId="64" fillId="15" borderId="0" applyNumberFormat="0" applyBorder="0" applyAlignment="0" applyProtection="0"/>
    <xf numFmtId="184" fontId="22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179" fillId="50" borderId="0" applyNumberFormat="0" applyBorder="0" applyAlignment="0" applyProtection="0"/>
    <xf numFmtId="0" fontId="179" fillId="5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09" fillId="50" borderId="0" applyNumberFormat="0" applyBorder="0" applyAlignment="0" applyProtection="0"/>
    <xf numFmtId="0" fontId="107" fillId="50" borderId="0" applyNumberFormat="0" applyBorder="0" applyAlignment="0" applyProtection="0"/>
    <xf numFmtId="0" fontId="107" fillId="50" borderId="0" applyNumberFormat="0" applyBorder="0" applyAlignment="0" applyProtection="0"/>
    <xf numFmtId="184" fontId="22" fillId="18" borderId="0" applyNumberFormat="0" applyBorder="0" applyAlignment="0" applyProtection="0"/>
    <xf numFmtId="0" fontId="64" fillId="18" borderId="0" applyNumberFormat="0" applyBorder="0" applyAlignment="0" applyProtection="0"/>
    <xf numFmtId="184" fontId="22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179" fillId="54" borderId="0" applyNumberFormat="0" applyBorder="0" applyAlignment="0" applyProtection="0"/>
    <xf numFmtId="0" fontId="179" fillId="54" borderId="0" applyNumberFormat="0" applyBorder="0" applyAlignment="0" applyProtection="0"/>
    <xf numFmtId="0" fontId="48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09" fillId="54" borderId="0" applyNumberFormat="0" applyBorder="0" applyAlignment="0" applyProtection="0"/>
    <xf numFmtId="0" fontId="107" fillId="54" borderId="0" applyNumberFormat="0" applyBorder="0" applyAlignment="0" applyProtection="0"/>
    <xf numFmtId="0" fontId="107" fillId="54" borderId="0" applyNumberFormat="0" applyBorder="0" applyAlignment="0" applyProtection="0"/>
    <xf numFmtId="184" fontId="22" fillId="19" borderId="0" applyNumberFormat="0" applyBorder="0" applyAlignment="0" applyProtection="0"/>
    <xf numFmtId="0" fontId="64" fillId="19" borderId="0" applyNumberFormat="0" applyBorder="0" applyAlignment="0" applyProtection="0"/>
    <xf numFmtId="184" fontId="22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79" fillId="58" borderId="0" applyNumberFormat="0" applyBorder="0" applyAlignment="0" applyProtection="0"/>
    <xf numFmtId="0" fontId="179" fillId="58" borderId="0" applyNumberFormat="0" applyBorder="0" applyAlignment="0" applyProtection="0"/>
    <xf numFmtId="0" fontId="48" fillId="1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09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184" fontId="22" fillId="20" borderId="0" applyNumberFormat="0" applyBorder="0" applyAlignment="0" applyProtection="0"/>
    <xf numFmtId="0" fontId="64" fillId="20" borderId="0" applyNumberFormat="0" applyBorder="0" applyAlignment="0" applyProtection="0"/>
    <xf numFmtId="184" fontId="22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79" fillId="62" borderId="0" applyNumberFormat="0" applyBorder="0" applyAlignment="0" applyProtection="0"/>
    <xf numFmtId="0" fontId="179" fillId="62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9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184" fontId="22" fillId="21" borderId="0" applyNumberFormat="0" applyBorder="0" applyAlignment="0" applyProtection="0"/>
    <xf numFmtId="0" fontId="64" fillId="21" borderId="0" applyNumberFormat="0" applyBorder="0" applyAlignment="0" applyProtection="0"/>
    <xf numFmtId="184" fontId="22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79" fillId="39" borderId="0" applyNumberFormat="0" applyBorder="0" applyAlignment="0" applyProtection="0"/>
    <xf numFmtId="0" fontId="179" fillId="39" borderId="0" applyNumberFormat="0" applyBorder="0" applyAlignment="0" applyProtection="0"/>
    <xf numFmtId="0" fontId="48" fillId="2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09" fillId="39" borderId="0" applyNumberFormat="0" applyBorder="0" applyAlignment="0" applyProtection="0"/>
    <xf numFmtId="0" fontId="107" fillId="39" borderId="0" applyNumberFormat="0" applyBorder="0" applyAlignment="0" applyProtection="0"/>
    <xf numFmtId="0" fontId="107" fillId="39" borderId="0" applyNumberFormat="0" applyBorder="0" applyAlignment="0" applyProtection="0"/>
    <xf numFmtId="184" fontId="22" fillId="22" borderId="0" applyNumberFormat="0" applyBorder="0" applyAlignment="0" applyProtection="0"/>
    <xf numFmtId="0" fontId="64" fillId="22" borderId="0" applyNumberFormat="0" applyBorder="0" applyAlignment="0" applyProtection="0"/>
    <xf numFmtId="184" fontId="22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179" fillId="43" borderId="0" applyNumberFormat="0" applyBorder="0" applyAlignment="0" applyProtection="0"/>
    <xf numFmtId="0" fontId="179" fillId="43" borderId="0" applyNumberFormat="0" applyBorder="0" applyAlignment="0" applyProtection="0"/>
    <xf numFmtId="0" fontId="48" fillId="2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09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184" fontId="22" fillId="23" borderId="0" applyNumberFormat="0" applyBorder="0" applyAlignment="0" applyProtection="0"/>
    <xf numFmtId="0" fontId="64" fillId="23" borderId="0" applyNumberFormat="0" applyBorder="0" applyAlignment="0" applyProtection="0"/>
    <xf numFmtId="184" fontId="22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179" fillId="47" borderId="0" applyNumberFormat="0" applyBorder="0" applyAlignment="0" applyProtection="0"/>
    <xf numFmtId="0" fontId="179" fillId="47" borderId="0" applyNumberFormat="0" applyBorder="0" applyAlignment="0" applyProtection="0"/>
    <xf numFmtId="0" fontId="48" fillId="2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09" fillId="47" borderId="0" applyNumberFormat="0" applyBorder="0" applyAlignment="0" applyProtection="0"/>
    <xf numFmtId="0" fontId="107" fillId="47" borderId="0" applyNumberFormat="0" applyBorder="0" applyAlignment="0" applyProtection="0"/>
    <xf numFmtId="0" fontId="107" fillId="47" borderId="0" applyNumberFormat="0" applyBorder="0" applyAlignment="0" applyProtection="0"/>
    <xf numFmtId="184" fontId="22" fillId="18" borderId="0" applyNumberFormat="0" applyBorder="0" applyAlignment="0" applyProtection="0"/>
    <xf numFmtId="0" fontId="64" fillId="18" borderId="0" applyNumberFormat="0" applyBorder="0" applyAlignment="0" applyProtection="0"/>
    <xf numFmtId="184" fontId="22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179" fillId="51" borderId="0" applyNumberFormat="0" applyBorder="0" applyAlignment="0" applyProtection="0"/>
    <xf numFmtId="0" fontId="179" fillId="51" borderId="0" applyNumberFormat="0" applyBorder="0" applyAlignment="0" applyProtection="0"/>
    <xf numFmtId="0" fontId="48" fillId="1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109" fillId="51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184" fontId="22" fillId="19" borderId="0" applyNumberFormat="0" applyBorder="0" applyAlignment="0" applyProtection="0"/>
    <xf numFmtId="0" fontId="64" fillId="19" borderId="0" applyNumberFormat="0" applyBorder="0" applyAlignment="0" applyProtection="0"/>
    <xf numFmtId="184" fontId="22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79" fillId="55" borderId="0" applyNumberFormat="0" applyBorder="0" applyAlignment="0" applyProtection="0"/>
    <xf numFmtId="0" fontId="179" fillId="55" borderId="0" applyNumberFormat="0" applyBorder="0" applyAlignment="0" applyProtection="0"/>
    <xf numFmtId="0" fontId="48" fillId="19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184" fontId="22" fillId="24" borderId="0" applyNumberFormat="0" applyBorder="0" applyAlignment="0" applyProtection="0"/>
    <xf numFmtId="0" fontId="64" fillId="24" borderId="0" applyNumberFormat="0" applyBorder="0" applyAlignment="0" applyProtection="0"/>
    <xf numFmtId="184" fontId="22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79" fillId="59" borderId="0" applyNumberFormat="0" applyBorder="0" applyAlignment="0" applyProtection="0"/>
    <xf numFmtId="0" fontId="179" fillId="59" borderId="0" applyNumberFormat="0" applyBorder="0" applyAlignment="0" applyProtection="0"/>
    <xf numFmtId="0" fontId="48" fillId="24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09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40" fillId="0" borderId="4">
      <alignment horizontal="center" vertical="center"/>
    </xf>
    <xf numFmtId="184" fontId="40" fillId="0" borderId="4">
      <alignment horizontal="center" vertical="center"/>
    </xf>
    <xf numFmtId="184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184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184" fontId="40" fillId="0" borderId="4">
      <alignment horizontal="center" vertical="center"/>
    </xf>
    <xf numFmtId="0" fontId="40" fillId="0" borderId="4">
      <alignment horizontal="center" vertical="center"/>
    </xf>
    <xf numFmtId="184" fontId="40" fillId="0" borderId="4">
      <alignment horizontal="center" vertical="center"/>
    </xf>
    <xf numFmtId="184" fontId="40" fillId="0" borderId="4">
      <alignment horizontal="center" vertical="center"/>
    </xf>
    <xf numFmtId="184" fontId="23" fillId="8" borderId="0" applyNumberFormat="0" applyBorder="0" applyAlignment="0" applyProtection="0"/>
    <xf numFmtId="0" fontId="65" fillId="8" borderId="0" applyNumberFormat="0" applyBorder="0" applyAlignment="0" applyProtection="0"/>
    <xf numFmtId="184" fontId="23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11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4" fontId="20" fillId="76" borderId="0" applyFont="0" applyBorder="0" applyAlignment="0">
      <alignment horizontal="right"/>
    </xf>
    <xf numFmtId="4" fontId="20" fillId="76" borderId="0" applyFont="0" applyBorder="0" applyAlignment="0">
      <alignment horizontal="right"/>
    </xf>
    <xf numFmtId="4" fontId="20" fillId="76" borderId="0" applyFont="0" applyBorder="0" applyAlignment="0">
      <alignment horizontal="right"/>
    </xf>
    <xf numFmtId="4" fontId="20" fillId="76" borderId="0" applyFont="0" applyBorder="0" applyAlignment="0">
      <alignment horizontal="right"/>
    </xf>
    <xf numFmtId="4" fontId="20" fillId="76" borderId="0" applyFont="0" applyBorder="0" applyAlignment="0">
      <alignment horizontal="right"/>
    </xf>
    <xf numFmtId="0" fontId="24" fillId="25" borderId="37" applyNumberFormat="0" applyAlignment="0" applyProtection="0"/>
    <xf numFmtId="184" fontId="24" fillId="25" borderId="37" applyNumberFormat="0" applyAlignment="0" applyProtection="0"/>
    <xf numFmtId="0" fontId="66" fillId="25" borderId="37" applyNumberFormat="0" applyAlignment="0" applyProtection="0"/>
    <xf numFmtId="0" fontId="24" fillId="25" borderId="37" applyNumberFormat="0" applyAlignment="0" applyProtection="0"/>
    <xf numFmtId="184" fontId="24" fillId="25" borderId="37" applyNumberFormat="0" applyAlignment="0" applyProtection="0"/>
    <xf numFmtId="0" fontId="66" fillId="25" borderId="37" applyNumberFormat="0" applyAlignment="0" applyProtection="0"/>
    <xf numFmtId="0" fontId="66" fillId="25" borderId="37" applyNumberFormat="0" applyAlignment="0" applyProtection="0"/>
    <xf numFmtId="0" fontId="66" fillId="25" borderId="37" applyNumberFormat="0" applyAlignment="0" applyProtection="0"/>
    <xf numFmtId="0" fontId="181" fillId="36" borderId="2" applyNumberFormat="0" applyAlignment="0" applyProtection="0"/>
    <xf numFmtId="0" fontId="181" fillId="36" borderId="2" applyNumberFormat="0" applyAlignment="0" applyProtection="0"/>
    <xf numFmtId="184" fontId="66" fillId="25" borderId="37" applyNumberFormat="0" applyAlignment="0" applyProtection="0"/>
    <xf numFmtId="0" fontId="24" fillId="25" borderId="37" applyNumberFormat="0" applyAlignment="0" applyProtection="0"/>
    <xf numFmtId="0" fontId="66" fillId="25" borderId="37" applyNumberFormat="0" applyAlignment="0" applyProtection="0"/>
    <xf numFmtId="184" fontId="66" fillId="25" borderId="37" applyNumberFormat="0" applyAlignment="0" applyProtection="0"/>
    <xf numFmtId="0" fontId="182" fillId="77" borderId="37" applyNumberFormat="0" applyAlignment="0" applyProtection="0"/>
    <xf numFmtId="0" fontId="50" fillId="25" borderId="37" applyNumberFormat="0" applyAlignment="0" applyProtection="0"/>
    <xf numFmtId="0" fontId="182" fillId="77" borderId="37" applyNumberFormat="0" applyAlignment="0" applyProtection="0"/>
    <xf numFmtId="0" fontId="182" fillId="77" borderId="37" applyNumberFormat="0" applyAlignment="0" applyProtection="0"/>
    <xf numFmtId="0" fontId="115" fillId="36" borderId="2" applyNumberFormat="0" applyAlignment="0" applyProtection="0"/>
    <xf numFmtId="0" fontId="103" fillId="36" borderId="2" applyNumberFormat="0" applyAlignment="0" applyProtection="0"/>
    <xf numFmtId="0" fontId="103" fillId="36" borderId="2" applyNumberFormat="0" applyAlignment="0" applyProtection="0"/>
    <xf numFmtId="184" fontId="25" fillId="26" borderId="8" applyNumberFormat="0" applyAlignment="0" applyProtection="0"/>
    <xf numFmtId="0" fontId="67" fillId="26" borderId="8" applyNumberFormat="0" applyAlignment="0" applyProtection="0"/>
    <xf numFmtId="184" fontId="25" fillId="26" borderId="8" applyNumberFormat="0" applyAlignment="0" applyProtection="0"/>
    <xf numFmtId="0" fontId="67" fillId="26" borderId="8" applyNumberFormat="0" applyAlignment="0" applyProtection="0"/>
    <xf numFmtId="0" fontId="67" fillId="26" borderId="8" applyNumberFormat="0" applyAlignment="0" applyProtection="0"/>
    <xf numFmtId="0" fontId="67" fillId="26" borderId="8" applyNumberFormat="0" applyAlignment="0" applyProtection="0"/>
    <xf numFmtId="0" fontId="183" fillId="37" borderId="22" applyNumberFormat="0" applyAlignment="0" applyProtection="0"/>
    <xf numFmtId="0" fontId="183" fillId="37" borderId="22" applyNumberFormat="0" applyAlignment="0" applyProtection="0"/>
    <xf numFmtId="0" fontId="51" fillId="26" borderId="8" applyNumberFormat="0" applyAlignment="0" applyProtection="0"/>
    <xf numFmtId="0" fontId="105" fillId="37" borderId="22" applyNumberFormat="0" applyAlignment="0" applyProtection="0"/>
    <xf numFmtId="0" fontId="105" fillId="37" borderId="22" applyNumberFormat="0" applyAlignment="0" applyProtection="0"/>
    <xf numFmtId="0" fontId="20" fillId="78" borderId="0"/>
    <xf numFmtId="0" fontId="20" fillId="78" borderId="0"/>
    <xf numFmtId="0" fontId="20" fillId="78" borderId="0"/>
    <xf numFmtId="0" fontId="20" fillId="78" borderId="0"/>
    <xf numFmtId="0" fontId="20" fillId="78" borderId="0"/>
    <xf numFmtId="4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4" fillId="0" borderId="0" applyFont="0" applyFill="0" applyBorder="0" applyAlignment="0" applyProtection="0"/>
    <xf numFmtId="166" fontId="18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4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184" fontId="120" fillId="0" borderId="0" applyFont="0" applyFill="0" applyBorder="0" applyAlignment="0" applyProtection="0"/>
    <xf numFmtId="184" fontId="120" fillId="0" borderId="0" applyFont="0" applyFill="0" applyBorder="0" applyAlignment="0" applyProtection="0"/>
    <xf numFmtId="23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4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26" fillId="0" borderId="0" applyFill="0" applyProtection="0">
      <alignment horizontal="left" inden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184" fontId="27" fillId="9" borderId="0" applyNumberFormat="0" applyBorder="0" applyAlignment="0" applyProtection="0"/>
    <xf numFmtId="0" fontId="69" fillId="9" borderId="0" applyNumberFormat="0" applyBorder="0" applyAlignment="0" applyProtection="0"/>
    <xf numFmtId="184" fontId="27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86" fillId="33" borderId="0" applyNumberFormat="0" applyBorder="0" applyAlignment="0" applyProtection="0"/>
    <xf numFmtId="0" fontId="186" fillId="33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31" fillId="33" borderId="0" applyNumberFormat="0" applyBorder="0" applyAlignment="0" applyProtection="0"/>
    <xf numFmtId="0" fontId="99" fillId="33" borderId="0" applyNumberFormat="0" applyBorder="0" applyAlignment="0" applyProtection="0"/>
    <xf numFmtId="0" fontId="99" fillId="33" borderId="0" applyNumberFormat="0" applyBorder="0" applyAlignment="0" applyProtection="0"/>
    <xf numFmtId="4" fontId="20" fillId="78" borderId="0"/>
    <xf numFmtId="4" fontId="20" fillId="78" borderId="0"/>
    <xf numFmtId="4" fontId="20" fillId="78" borderId="0"/>
    <xf numFmtId="4" fontId="20" fillId="78" borderId="0"/>
    <xf numFmtId="4" fontId="20" fillId="78" borderId="0"/>
    <xf numFmtId="0" fontId="133" fillId="0" borderId="0" applyNumberFormat="0" applyFill="0" applyAlignment="0"/>
    <xf numFmtId="184" fontId="83" fillId="0" borderId="27" applyNumberFormat="0" applyFill="0" applyAlignment="0" applyProtection="0"/>
    <xf numFmtId="0" fontId="70" fillId="0" borderId="27" applyNumberFormat="0" applyFill="0" applyAlignment="0" applyProtection="0"/>
    <xf numFmtId="184" fontId="83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138" fillId="0" borderId="28" applyNumberFormat="0" applyFill="0" applyAlignment="0" applyProtection="0"/>
    <xf numFmtId="0" fontId="138" fillId="0" borderId="28" applyNumberFormat="0" applyFill="0" applyAlignment="0" applyProtection="0"/>
    <xf numFmtId="0" fontId="136" fillId="0" borderId="0" applyNumberFormat="0" applyFill="0" applyAlignment="0"/>
    <xf numFmtId="0" fontId="54" fillId="0" borderId="27" applyNumberFormat="0" applyFill="0" applyAlignment="0" applyProtection="0"/>
    <xf numFmtId="0" fontId="187" fillId="0" borderId="38" applyNumberFormat="0" applyFill="0" applyAlignment="0" applyProtection="0"/>
    <xf numFmtId="0" fontId="187" fillId="0" borderId="38" applyNumberFormat="0" applyFill="0" applyAlignment="0" applyProtection="0"/>
    <xf numFmtId="0" fontId="139" fillId="0" borderId="28" applyNumberFormat="0" applyFill="0" applyAlignment="0" applyProtection="0"/>
    <xf numFmtId="0" fontId="139" fillId="0" borderId="28" applyNumberFormat="0" applyFill="0" applyAlignment="0" applyProtection="0"/>
    <xf numFmtId="0" fontId="139" fillId="0" borderId="28" applyNumberFormat="0" applyFill="0" applyAlignment="0" applyProtection="0"/>
    <xf numFmtId="0" fontId="55" fillId="0" borderId="29" applyNumberFormat="0" applyFill="0" applyAlignment="0" applyProtection="0"/>
    <xf numFmtId="184" fontId="84" fillId="0" borderId="29" applyNumberFormat="0" applyFill="0" applyAlignment="0" applyProtection="0"/>
    <xf numFmtId="0" fontId="71" fillId="0" borderId="29" applyNumberFormat="0" applyFill="0" applyAlignment="0" applyProtection="0"/>
    <xf numFmtId="184" fontId="84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142" fillId="0" borderId="30" applyNumberFormat="0" applyFill="0" applyAlignment="0" applyProtection="0"/>
    <xf numFmtId="0" fontId="142" fillId="0" borderId="30" applyNumberFormat="0" applyFill="0" applyAlignment="0" applyProtection="0"/>
    <xf numFmtId="0" fontId="140" fillId="0" borderId="0" applyNumberFormat="0" applyFill="0" applyAlignment="0"/>
    <xf numFmtId="0" fontId="140" fillId="0" borderId="0" applyNumberFormat="0" applyFill="0" applyAlignment="0"/>
    <xf numFmtId="0" fontId="55" fillId="0" borderId="29" applyNumberFormat="0" applyFill="0" applyAlignment="0" applyProtection="0"/>
    <xf numFmtId="0" fontId="188" fillId="0" borderId="39" applyNumberFormat="0" applyFill="0" applyAlignment="0" applyProtection="0"/>
    <xf numFmtId="0" fontId="188" fillId="0" borderId="39" applyNumberFormat="0" applyFill="0" applyAlignment="0" applyProtection="0"/>
    <xf numFmtId="0" fontId="143" fillId="0" borderId="30" applyNumberFormat="0" applyFill="0" applyAlignment="0" applyProtection="0"/>
    <xf numFmtId="0" fontId="143" fillId="0" borderId="30" applyNumberFormat="0" applyFill="0" applyAlignment="0" applyProtection="0"/>
    <xf numFmtId="0" fontId="143" fillId="0" borderId="30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28" fillId="0" borderId="9" applyNumberFormat="0" applyFill="0" applyAlignment="0" applyProtection="0"/>
    <xf numFmtId="0" fontId="72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4" fontId="28" fillId="0" borderId="9" applyNumberFormat="0" applyFill="0" applyAlignment="0" applyProtection="0"/>
    <xf numFmtId="184" fontId="28" fillId="0" borderId="9" applyNumberFormat="0" applyFill="0" applyAlignment="0" applyProtection="0"/>
    <xf numFmtId="184" fontId="28" fillId="0" borderId="9" applyNumberFormat="0" applyFill="0" applyAlignment="0" applyProtection="0"/>
    <xf numFmtId="184" fontId="28" fillId="0" borderId="9" applyNumberFormat="0" applyFill="0" applyAlignment="0" applyProtection="0"/>
    <xf numFmtId="184" fontId="28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184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4" fontId="28" fillId="0" borderId="9" applyNumberFormat="0" applyFill="0" applyAlignment="0" applyProtection="0"/>
    <xf numFmtId="184" fontId="28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28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44" fillId="0" borderId="31" applyNumberFormat="0" applyFill="0" applyAlignment="0" applyProtection="0"/>
    <xf numFmtId="0" fontId="144" fillId="0" borderId="31" applyNumberFormat="0" applyFill="0" applyAlignment="0" applyProtection="0"/>
    <xf numFmtId="0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89" fillId="0" borderId="40" applyNumberFormat="0" applyFill="0" applyAlignment="0" applyProtection="0"/>
    <xf numFmtId="49" fontId="190" fillId="65" borderId="0" applyFill="0" applyBorder="0">
      <alignment horizontal="left"/>
    </xf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184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189" fillId="0" borderId="40" applyNumberFormat="0" applyFill="0" applyAlignment="0" applyProtection="0"/>
    <xf numFmtId="0" fontId="189" fillId="0" borderId="40" applyNumberFormat="0" applyFill="0" applyAlignment="0" applyProtection="0"/>
    <xf numFmtId="0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144" fillId="0" borderId="31" applyNumberFormat="0" applyFill="0" applyAlignment="0" applyProtection="0"/>
    <xf numFmtId="0" fontId="98" fillId="0" borderId="31" applyNumberFormat="0" applyFill="0" applyAlignment="0" applyProtection="0"/>
    <xf numFmtId="0" fontId="98" fillId="0" borderId="31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184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98" fillId="0" borderId="31" applyNumberFormat="0" applyFill="0" applyAlignment="0" applyProtection="0"/>
    <xf numFmtId="184" fontId="2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4" fontId="2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8" fillId="65" borderId="0" applyFill="0" applyBorder="0"/>
    <xf numFmtId="0" fontId="5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184" fontId="36" fillId="0" borderId="0" applyNumberFormat="0" applyFill="0" applyBorder="0" applyAlignment="0" applyProtection="0">
      <alignment vertical="top"/>
      <protection locked="0"/>
    </xf>
    <xf numFmtId="0" fontId="85" fillId="12" borderId="37" applyNumberFormat="0" applyAlignment="0" applyProtection="0"/>
    <xf numFmtId="184" fontId="85" fillId="12" borderId="37" applyNumberFormat="0" applyAlignment="0" applyProtection="0"/>
    <xf numFmtId="0" fontId="73" fillId="12" borderId="37" applyNumberFormat="0" applyAlignment="0" applyProtection="0"/>
    <xf numFmtId="0" fontId="85" fillId="12" borderId="37" applyNumberFormat="0" applyAlignment="0" applyProtection="0"/>
    <xf numFmtId="184" fontId="85" fillId="12" borderId="37" applyNumberFormat="0" applyAlignment="0" applyProtection="0"/>
    <xf numFmtId="0" fontId="73" fillId="12" borderId="37" applyNumberFormat="0" applyAlignment="0" applyProtection="0"/>
    <xf numFmtId="0" fontId="73" fillId="12" borderId="37" applyNumberFormat="0" applyAlignment="0" applyProtection="0"/>
    <xf numFmtId="0" fontId="73" fillId="12" borderId="37" applyNumberFormat="0" applyAlignment="0" applyProtection="0"/>
    <xf numFmtId="0" fontId="192" fillId="67" borderId="2" applyNumberFormat="0" applyAlignment="0" applyProtection="0"/>
    <xf numFmtId="0" fontId="192" fillId="67" borderId="2" applyNumberFormat="0" applyAlignment="0" applyProtection="0"/>
    <xf numFmtId="184" fontId="73" fillId="12" borderId="37" applyNumberFormat="0" applyAlignment="0" applyProtection="0"/>
    <xf numFmtId="0" fontId="85" fillId="12" borderId="37" applyNumberFormat="0" applyAlignment="0" applyProtection="0"/>
    <xf numFmtId="0" fontId="73" fillId="12" borderId="37" applyNumberFormat="0" applyAlignment="0" applyProtection="0"/>
    <xf numFmtId="184" fontId="73" fillId="12" borderId="37" applyNumberFormat="0" applyAlignment="0" applyProtection="0"/>
    <xf numFmtId="0" fontId="57" fillId="27" borderId="37" applyNumberFormat="0" applyAlignment="0" applyProtection="0"/>
    <xf numFmtId="0" fontId="57" fillId="12" borderId="37" applyNumberFormat="0" applyAlignment="0" applyProtection="0"/>
    <xf numFmtId="0" fontId="57" fillId="27" borderId="37" applyNumberFormat="0" applyAlignment="0" applyProtection="0"/>
    <xf numFmtId="0" fontId="57" fillId="27" borderId="37" applyNumberFormat="0" applyAlignment="0" applyProtection="0"/>
    <xf numFmtId="0" fontId="151" fillId="67" borderId="2" applyNumberFormat="0" applyAlignment="0" applyProtection="0"/>
    <xf numFmtId="0" fontId="2" fillId="67" borderId="2" applyNumberFormat="0" applyAlignment="0" applyProtection="0"/>
    <xf numFmtId="0" fontId="2" fillId="67" borderId="2" applyNumberFormat="0" applyAlignment="0" applyProtection="0"/>
    <xf numFmtId="0" fontId="2" fillId="67" borderId="2" applyNumberFormat="0" applyAlignment="0" applyProtection="0"/>
    <xf numFmtId="4" fontId="20" fillId="79" borderId="0">
      <alignment horizontal="right"/>
    </xf>
    <xf numFmtId="4" fontId="20" fillId="79" borderId="0">
      <alignment horizontal="right"/>
    </xf>
    <xf numFmtId="4" fontId="20" fillId="79" borderId="0">
      <alignment horizontal="right"/>
    </xf>
    <xf numFmtId="4" fontId="20" fillId="79" borderId="0">
      <alignment horizontal="right"/>
    </xf>
    <xf numFmtId="4" fontId="20" fillId="79" borderId="0">
      <alignment horizontal="right"/>
    </xf>
    <xf numFmtId="184" fontId="29" fillId="0" borderId="10" applyNumberFormat="0" applyFill="0" applyAlignment="0" applyProtection="0"/>
    <xf numFmtId="0" fontId="74" fillId="0" borderId="10" applyNumberFormat="0" applyFill="0" applyAlignment="0" applyProtection="0"/>
    <xf numFmtId="184" fontId="29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193" fillId="0" borderId="21" applyNumberFormat="0" applyFill="0" applyAlignment="0" applyProtection="0"/>
    <xf numFmtId="0" fontId="193" fillId="0" borderId="21" applyNumberFormat="0" applyFill="0" applyAlignment="0" applyProtection="0"/>
    <xf numFmtId="0" fontId="155" fillId="0" borderId="10" applyNumberFormat="0" applyFill="0" applyAlignment="0" applyProtection="0"/>
    <xf numFmtId="0" fontId="58" fillId="0" borderId="10" applyNumberFormat="0" applyFill="0" applyAlignment="0" applyProtection="0"/>
    <xf numFmtId="0" fontId="61" fillId="0" borderId="41" applyNumberFormat="0" applyFill="0" applyAlignment="0" applyProtection="0"/>
    <xf numFmtId="0" fontId="61" fillId="0" borderId="41" applyNumberFormat="0" applyFill="0" applyAlignment="0" applyProtection="0"/>
    <xf numFmtId="0" fontId="156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184" fontId="30" fillId="27" borderId="0" applyNumberFormat="0" applyBorder="0" applyAlignment="0" applyProtection="0"/>
    <xf numFmtId="0" fontId="75" fillId="27" borderId="0" applyNumberFormat="0" applyBorder="0" applyAlignment="0" applyProtection="0"/>
    <xf numFmtId="184" fontId="30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194" fillId="35" borderId="0" applyNumberFormat="0" applyBorder="0" applyAlignment="0" applyProtection="0"/>
    <xf numFmtId="0" fontId="194" fillId="35" borderId="0" applyNumberFormat="0" applyBorder="0" applyAlignment="0" applyProtection="0"/>
    <xf numFmtId="0" fontId="59" fillId="27" borderId="0" applyNumberFormat="0" applyBorder="0" applyAlignment="0" applyProtection="0"/>
    <xf numFmtId="0" fontId="195" fillId="27" borderId="0" applyNumberFormat="0" applyBorder="0" applyAlignment="0" applyProtection="0"/>
    <xf numFmtId="0" fontId="195" fillId="27" borderId="0" applyNumberFormat="0" applyBorder="0" applyAlignment="0" applyProtection="0"/>
    <xf numFmtId="0" fontId="159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0" fillId="0" borderId="0"/>
    <xf numFmtId="0" fontId="20" fillId="0" borderId="0" applyBorder="0"/>
    <xf numFmtId="0" fontId="20" fillId="0" borderId="0" applyBorder="0"/>
    <xf numFmtId="184" fontId="40" fillId="0" borderId="0"/>
    <xf numFmtId="0" fontId="19" fillId="0" borderId="0"/>
    <xf numFmtId="184" fontId="40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40" fillId="0" borderId="0"/>
    <xf numFmtId="0" fontId="20" fillId="0" borderId="0" applyBorder="0"/>
    <xf numFmtId="0" fontId="20" fillId="0" borderId="0" applyBorder="0"/>
    <xf numFmtId="184" fontId="40" fillId="0" borderId="0"/>
    <xf numFmtId="0" fontId="20" fillId="0" borderId="0" applyBorder="0"/>
    <xf numFmtId="184" fontId="40" fillId="0" borderId="0"/>
    <xf numFmtId="0" fontId="20" fillId="0" borderId="0"/>
    <xf numFmtId="0" fontId="1" fillId="0" borderId="0"/>
    <xf numFmtId="0" fontId="1" fillId="0" borderId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20" fillId="0" borderId="0"/>
    <xf numFmtId="0" fontId="1" fillId="0" borderId="0"/>
    <xf numFmtId="0" fontId="1" fillId="0" borderId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184" fontId="20" fillId="0" borderId="0" applyBorder="0"/>
    <xf numFmtId="0" fontId="20" fillId="0" borderId="0"/>
    <xf numFmtId="184" fontId="20" fillId="0" borderId="0" applyBorder="0"/>
    <xf numFmtId="0" fontId="20" fillId="0" borderId="0"/>
    <xf numFmtId="0" fontId="20" fillId="0" borderId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184" fontId="20" fillId="0" borderId="0" applyBorder="0"/>
    <xf numFmtId="0" fontId="20" fillId="0" borderId="0"/>
    <xf numFmtId="184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20" fillId="0" borderId="0"/>
    <xf numFmtId="174" fontId="37" fillId="0" borderId="0"/>
    <xf numFmtId="184" fontId="20" fillId="0" borderId="0"/>
    <xf numFmtId="174" fontId="37" fillId="0" borderId="0"/>
    <xf numFmtId="174" fontId="37" fillId="0" borderId="0"/>
    <xf numFmtId="184" fontId="63" fillId="0" borderId="0"/>
    <xf numFmtId="174" fontId="37" fillId="0" borderId="0"/>
    <xf numFmtId="184" fontId="63" fillId="0" borderId="0"/>
    <xf numFmtId="174" fontId="37" fillId="0" borderId="0"/>
    <xf numFmtId="174" fontId="37" fillId="0" borderId="0"/>
    <xf numFmtId="0" fontId="20" fillId="0" borderId="0"/>
    <xf numFmtId="0" fontId="178" fillId="0" borderId="0"/>
    <xf numFmtId="0" fontId="178" fillId="0" borderId="0"/>
    <xf numFmtId="174" fontId="1" fillId="0" borderId="0"/>
    <xf numFmtId="174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4" fontId="20" fillId="0" borderId="0"/>
    <xf numFmtId="0" fontId="63" fillId="0" borderId="0"/>
    <xf numFmtId="184" fontId="20" fillId="0" borderId="0"/>
    <xf numFmtId="0" fontId="63" fillId="0" borderId="0"/>
    <xf numFmtId="0" fontId="6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184" fontId="20" fillId="0" borderId="0"/>
    <xf numFmtId="184" fontId="1" fillId="0" borderId="0"/>
    <xf numFmtId="178" fontId="37" fillId="0" borderId="0"/>
    <xf numFmtId="184" fontId="1" fillId="0" borderId="0"/>
    <xf numFmtId="178" fontId="37" fillId="0" borderId="0"/>
    <xf numFmtId="178" fontId="37" fillId="0" borderId="0"/>
    <xf numFmtId="0" fontId="20" fillId="0" borderId="0"/>
    <xf numFmtId="0" fontId="19" fillId="0" borderId="0"/>
    <xf numFmtId="184" fontId="40" fillId="0" borderId="0"/>
    <xf numFmtId="0" fontId="20" fillId="0" borderId="0"/>
    <xf numFmtId="184" fontId="40" fillId="0" borderId="0"/>
    <xf numFmtId="0" fontId="20" fillId="0" borderId="0"/>
    <xf numFmtId="0" fontId="20" fillId="0" borderId="0"/>
    <xf numFmtId="0" fontId="4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84" fontId="1" fillId="0" borderId="0"/>
    <xf numFmtId="0" fontId="20" fillId="0" borderId="0"/>
    <xf numFmtId="184" fontId="1" fillId="0" borderId="0"/>
    <xf numFmtId="0" fontId="20" fillId="0" borderId="0"/>
    <xf numFmtId="0" fontId="20" fillId="0" borderId="0"/>
    <xf numFmtId="0" fontId="20" fillId="0" borderId="0"/>
    <xf numFmtId="184" fontId="20" fillId="0" borderId="0"/>
    <xf numFmtId="0" fontId="20" fillId="0" borderId="0"/>
    <xf numFmtId="0" fontId="20" fillId="0" borderId="0"/>
    <xf numFmtId="184" fontId="20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9" fillId="0" borderId="0"/>
    <xf numFmtId="174" fontId="37" fillId="0" borderId="0"/>
    <xf numFmtId="174" fontId="37" fillId="0" borderId="0"/>
    <xf numFmtId="174" fontId="37" fillId="0" borderId="0"/>
    <xf numFmtId="174" fontId="37" fillId="0" borderId="0"/>
    <xf numFmtId="0" fontId="39" fillId="0" borderId="0"/>
    <xf numFmtId="0" fontId="39" fillId="0" borderId="0"/>
    <xf numFmtId="184" fontId="1" fillId="0" borderId="0"/>
    <xf numFmtId="0" fontId="184" fillId="0" borderId="0"/>
    <xf numFmtId="184" fontId="1" fillId="0" borderId="0"/>
    <xf numFmtId="0" fontId="184" fillId="0" borderId="0"/>
    <xf numFmtId="0" fontId="1" fillId="0" borderId="0"/>
    <xf numFmtId="0" fontId="1" fillId="0" borderId="0"/>
    <xf numFmtId="184" fontId="1" fillId="0" borderId="0"/>
    <xf numFmtId="0" fontId="1" fillId="0" borderId="0"/>
    <xf numFmtId="184" fontId="1" fillId="0" borderId="0"/>
    <xf numFmtId="184" fontId="19" fillId="0" borderId="0"/>
    <xf numFmtId="178" fontId="20" fillId="0" borderId="0" applyBorder="0"/>
    <xf numFmtId="184" fontId="19" fillId="0" borderId="0"/>
    <xf numFmtId="178" fontId="20" fillId="0" borderId="0" applyBorder="0"/>
    <xf numFmtId="178" fontId="20" fillId="0" borderId="0" applyBorder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184" fontId="1" fillId="0" borderId="0"/>
    <xf numFmtId="184" fontId="20" fillId="0" borderId="0"/>
    <xf numFmtId="178" fontId="20" fillId="0" borderId="0"/>
    <xf numFmtId="184" fontId="20" fillId="0" borderId="0"/>
    <xf numFmtId="178" fontId="20" fillId="0" borderId="0"/>
    <xf numFmtId="178" fontId="20" fillId="0" borderId="0"/>
    <xf numFmtId="0" fontId="19" fillId="0" borderId="0"/>
    <xf numFmtId="0" fontId="39" fillId="0" borderId="0"/>
    <xf numFmtId="0" fontId="39" fillId="0" borderId="0"/>
    <xf numFmtId="184" fontId="19" fillId="0" borderId="0"/>
    <xf numFmtId="0" fontId="39" fillId="0" borderId="0"/>
    <xf numFmtId="184" fontId="19" fillId="0" borderId="0"/>
    <xf numFmtId="0" fontId="39" fillId="0" borderId="0"/>
    <xf numFmtId="0" fontId="39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Border="0"/>
    <xf numFmtId="184" fontId="20" fillId="0" borderId="0" applyBorder="0"/>
    <xf numFmtId="0" fontId="20" fillId="0" borderId="0" applyBorder="0"/>
    <xf numFmtId="0" fontId="20" fillId="0" borderId="0" applyBorder="0"/>
    <xf numFmtId="184" fontId="20" fillId="0" borderId="0" applyBorder="0"/>
    <xf numFmtId="0" fontId="196" fillId="0" borderId="0"/>
    <xf numFmtId="0" fontId="196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21" fillId="28" borderId="42" applyNumberFormat="0" applyFont="0" applyAlignment="0" applyProtection="0"/>
    <xf numFmtId="0" fontId="20" fillId="28" borderId="42" applyNumberFormat="0" applyFont="0" applyAlignment="0" applyProtection="0"/>
    <xf numFmtId="184" fontId="21" fillId="28" borderId="42" applyNumberFormat="0" applyFont="0" applyAlignment="0" applyProtection="0"/>
    <xf numFmtId="0" fontId="20" fillId="28" borderId="42" applyNumberFormat="0" applyFont="0" applyAlignment="0" applyProtection="0"/>
    <xf numFmtId="0" fontId="21" fillId="28" borderId="42" applyNumberFormat="0" applyFont="0" applyAlignment="0" applyProtection="0"/>
    <xf numFmtId="184" fontId="21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1" fillId="28" borderId="42" applyNumberFormat="0" applyFont="0" applyAlignment="0" applyProtection="0"/>
    <xf numFmtId="0" fontId="20" fillId="28" borderId="42" applyNumberFormat="0" applyFont="0" applyAlignment="0" applyProtection="0"/>
    <xf numFmtId="184" fontId="21" fillId="28" borderId="42" applyNumberFormat="0" applyFont="0" applyAlignment="0" applyProtection="0"/>
    <xf numFmtId="0" fontId="20" fillId="28" borderId="42" applyNumberFormat="0" applyFont="0" applyAlignment="0" applyProtection="0"/>
    <xf numFmtId="0" fontId="21" fillId="28" borderId="42" applyNumberFormat="0" applyFont="0" applyAlignment="0" applyProtection="0"/>
    <xf numFmtId="184" fontId="21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63" fillId="28" borderId="42" applyNumberFormat="0" applyFont="0" applyAlignment="0" applyProtection="0"/>
    <xf numFmtId="184" fontId="20" fillId="28" borderId="42" applyNumberFormat="0" applyFont="0" applyAlignment="0" applyProtection="0"/>
    <xf numFmtId="0" fontId="63" fillId="28" borderId="42" applyNumberFormat="0" applyFont="0" applyAlignment="0" applyProtection="0"/>
    <xf numFmtId="0" fontId="20" fillId="28" borderId="42" applyNumberFormat="0" applyFont="0" applyAlignment="0" applyProtection="0"/>
    <xf numFmtId="184" fontId="20" fillId="28" borderId="42" applyNumberFormat="0" applyFont="0" applyAlignment="0" applyProtection="0"/>
    <xf numFmtId="0" fontId="63" fillId="28" borderId="42" applyNumberFormat="0" applyFont="0" applyAlignment="0" applyProtection="0"/>
    <xf numFmtId="0" fontId="63" fillId="28" borderId="42" applyNumberFormat="0" applyFont="0" applyAlignment="0" applyProtection="0"/>
    <xf numFmtId="0" fontId="63" fillId="28" borderId="42" applyNumberFormat="0" applyFont="0" applyAlignment="0" applyProtection="0"/>
    <xf numFmtId="0" fontId="178" fillId="38" borderId="23" applyNumberFormat="0" applyFont="0" applyAlignment="0" applyProtection="0"/>
    <xf numFmtId="0" fontId="178" fillId="38" borderId="23" applyNumberFormat="0" applyFont="0" applyAlignment="0" applyProtection="0"/>
    <xf numFmtId="184" fontId="63" fillId="28" borderId="42" applyNumberFormat="0" applyFont="0" applyAlignment="0" applyProtection="0"/>
    <xf numFmtId="0" fontId="63" fillId="28" borderId="42" applyNumberFormat="0" applyFont="0" applyAlignment="0" applyProtection="0"/>
    <xf numFmtId="184" fontId="63" fillId="28" borderId="42" applyNumberFormat="0" applyFont="0" applyAlignment="0" applyProtection="0"/>
    <xf numFmtId="0" fontId="20" fillId="28" borderId="42" applyNumberFormat="0" applyFont="0" applyAlignment="0" applyProtection="0"/>
    <xf numFmtId="184" fontId="119" fillId="38" borderId="23" applyNumberFormat="0" applyFont="0" applyAlignment="0" applyProtection="0"/>
    <xf numFmtId="0" fontId="20" fillId="28" borderId="42" applyNumberFormat="0" applyFont="0" applyAlignment="0" applyProtection="0"/>
    <xf numFmtId="184" fontId="119" fillId="38" borderId="23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184" fontId="119" fillId="38" borderId="23" applyNumberFormat="0" applyFont="0" applyAlignment="0" applyProtection="0"/>
    <xf numFmtId="0" fontId="20" fillId="28" borderId="42" applyNumberFormat="0" applyFont="0" applyAlignment="0" applyProtection="0"/>
    <xf numFmtId="184" fontId="119" fillId="38" borderId="23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184" fontId="20" fillId="28" borderId="42" applyNumberFormat="0" applyFont="0" applyAlignment="0" applyProtection="0"/>
    <xf numFmtId="0" fontId="1" fillId="38" borderId="23" applyNumberFormat="0" applyFont="0" applyAlignment="0" applyProtection="0"/>
    <xf numFmtId="0" fontId="20" fillId="28" borderId="42" applyNumberFormat="0" applyFont="0" applyAlignment="0" applyProtection="0"/>
    <xf numFmtId="184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0" fontId="20" fillId="28" borderId="42" applyNumberFormat="0" applyFont="0" applyAlignment="0" applyProtection="0"/>
    <xf numFmtId="184" fontId="20" fillId="28" borderId="42" applyNumberFormat="0" applyFont="0" applyAlignment="0" applyProtection="0"/>
    <xf numFmtId="0" fontId="1" fillId="38" borderId="23" applyNumberFormat="0" applyFont="0" applyAlignment="0" applyProtection="0"/>
    <xf numFmtId="0" fontId="20" fillId="28" borderId="42" applyNumberFormat="0" applyFont="0" applyAlignment="0" applyProtection="0"/>
    <xf numFmtId="184" fontId="20" fillId="28" borderId="42" applyNumberFormat="0" applyFont="0" applyAlignment="0" applyProtection="0"/>
    <xf numFmtId="0" fontId="1" fillId="38" borderId="23" applyNumberFormat="0" applyFont="0" applyAlignment="0" applyProtection="0"/>
    <xf numFmtId="0" fontId="32" fillId="25" borderId="43" applyNumberFormat="0" applyAlignment="0" applyProtection="0"/>
    <xf numFmtId="0" fontId="32" fillId="25" borderId="43" applyNumberFormat="0" applyAlignment="0" applyProtection="0"/>
    <xf numFmtId="0" fontId="32" fillId="25" borderId="43" applyNumberFormat="0" applyAlignment="0" applyProtection="0"/>
    <xf numFmtId="0" fontId="32" fillId="25" borderId="43" applyNumberFormat="0" applyAlignment="0" applyProtection="0"/>
    <xf numFmtId="0" fontId="76" fillId="25" borderId="43" applyNumberFormat="0" applyAlignment="0" applyProtection="0"/>
    <xf numFmtId="184" fontId="32" fillId="25" borderId="43" applyNumberFormat="0" applyAlignment="0" applyProtection="0"/>
    <xf numFmtId="0" fontId="76" fillId="25" borderId="43" applyNumberFormat="0" applyAlignment="0" applyProtection="0"/>
    <xf numFmtId="0" fontId="32" fillId="25" borderId="43" applyNumberFormat="0" applyAlignment="0" applyProtection="0"/>
    <xf numFmtId="0" fontId="32" fillId="25" borderId="43" applyNumberFormat="0" applyAlignment="0" applyProtection="0"/>
    <xf numFmtId="184" fontId="32" fillId="25" borderId="43" applyNumberFormat="0" applyAlignment="0" applyProtection="0"/>
    <xf numFmtId="0" fontId="76" fillId="25" borderId="43" applyNumberFormat="0" applyAlignment="0" applyProtection="0"/>
    <xf numFmtId="0" fontId="76" fillId="25" borderId="43" applyNumberFormat="0" applyAlignment="0" applyProtection="0"/>
    <xf numFmtId="0" fontId="32" fillId="25" borderId="43" applyNumberFormat="0" applyAlignment="0" applyProtection="0"/>
    <xf numFmtId="0" fontId="32" fillId="25" borderId="43" applyNumberFormat="0" applyAlignment="0" applyProtection="0"/>
    <xf numFmtId="0" fontId="76" fillId="25" borderId="43" applyNumberFormat="0" applyAlignment="0" applyProtection="0"/>
    <xf numFmtId="0" fontId="197" fillId="36" borderId="20" applyNumberFormat="0" applyAlignment="0" applyProtection="0"/>
    <xf numFmtId="0" fontId="197" fillId="36" borderId="20" applyNumberFormat="0" applyAlignment="0" applyProtection="0"/>
    <xf numFmtId="0" fontId="32" fillId="25" borderId="43" applyNumberFormat="0" applyAlignment="0" applyProtection="0"/>
    <xf numFmtId="184" fontId="76" fillId="25" borderId="43" applyNumberFormat="0" applyAlignment="0" applyProtection="0"/>
    <xf numFmtId="0" fontId="32" fillId="25" borderId="43" applyNumberFormat="0" applyAlignment="0" applyProtection="0"/>
    <xf numFmtId="0" fontId="76" fillId="25" borderId="43" applyNumberFormat="0" applyAlignment="0" applyProtection="0"/>
    <xf numFmtId="0" fontId="76" fillId="25" borderId="43" applyNumberFormat="0" applyAlignment="0" applyProtection="0"/>
    <xf numFmtId="184" fontId="76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161" fillId="25" borderId="43" applyNumberFormat="0" applyAlignment="0" applyProtection="0"/>
    <xf numFmtId="0" fontId="161" fillId="25" borderId="43" applyNumberFormat="0" applyAlignment="0" applyProtection="0"/>
    <xf numFmtId="0" fontId="60" fillId="77" borderId="43" applyNumberFormat="0" applyAlignment="0" applyProtection="0"/>
    <xf numFmtId="0" fontId="60" fillId="77" borderId="43" applyNumberFormat="0" applyAlignment="0" applyProtection="0"/>
    <xf numFmtId="0" fontId="60" fillId="25" borderId="43" applyNumberFormat="0" applyAlignment="0" applyProtection="0"/>
    <xf numFmtId="0" fontId="60" fillId="77" borderId="43" applyNumberFormat="0" applyAlignment="0" applyProtection="0"/>
    <xf numFmtId="0" fontId="60" fillId="77" borderId="43" applyNumberFormat="0" applyAlignment="0" applyProtection="0"/>
    <xf numFmtId="0" fontId="162" fillId="36" borderId="20" applyNumberFormat="0" applyAlignment="0" applyProtection="0"/>
    <xf numFmtId="0" fontId="102" fillId="36" borderId="20" applyNumberFormat="0" applyAlignment="0" applyProtection="0"/>
    <xf numFmtId="0" fontId="102" fillId="36" borderId="20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0" fontId="60" fillId="25" borderId="43" applyNumberFormat="0" applyAlignment="0" applyProtection="0"/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49" fontId="87" fillId="65" borderId="6">
      <alignment horizontal="right" indent="2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0" fontId="198" fillId="0" borderId="18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39" fillId="80" borderId="0" applyNumberFormat="0" applyFont="0" applyBorder="0" applyAlignment="0" applyProtection="0"/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0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184" fontId="40" fillId="0" borderId="5">
      <alignment horizontal="center" vertical="center"/>
    </xf>
    <xf numFmtId="0" fontId="40" fillId="0" borderId="5">
      <alignment horizontal="center" vertical="center"/>
    </xf>
    <xf numFmtId="0" fontId="3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44" applyNumberFormat="0" applyFill="0" applyAlignment="0" applyProtection="0"/>
    <xf numFmtId="0" fontId="38" fillId="0" borderId="44" applyNumberFormat="0" applyFill="0" applyAlignment="0" applyProtection="0"/>
    <xf numFmtId="0" fontId="38" fillId="0" borderId="45" applyNumberFormat="0" applyFill="0" applyAlignment="0" applyProtection="0"/>
    <xf numFmtId="0" fontId="38" fillId="0" borderId="44" applyNumberFormat="0" applyFill="0" applyAlignment="0" applyProtection="0"/>
    <xf numFmtId="0" fontId="38" fillId="0" borderId="44" applyNumberFormat="0" applyFill="0" applyAlignment="0" applyProtection="0"/>
    <xf numFmtId="0" fontId="3" fillId="0" borderId="45" applyNumberFormat="0" applyFill="0" applyAlignment="0" applyProtection="0"/>
    <xf numFmtId="184" fontId="38" fillId="0" borderId="45" applyNumberFormat="0" applyFill="0" applyAlignment="0" applyProtection="0"/>
    <xf numFmtId="0" fontId="3" fillId="0" borderId="45" applyNumberFormat="0" applyFill="0" applyAlignment="0" applyProtection="0"/>
    <xf numFmtId="184" fontId="38" fillId="0" borderId="45" applyNumberFormat="0" applyFill="0" applyAlignment="0" applyProtection="0"/>
    <xf numFmtId="0" fontId="34" fillId="0" borderId="45" applyNumberFormat="0" applyFill="0" applyAlignment="0" applyProtection="0"/>
    <xf numFmtId="0" fontId="34" fillId="0" borderId="45" applyNumberFormat="0" applyFill="0" applyAlignment="0" applyProtection="0"/>
    <xf numFmtId="0" fontId="34" fillId="0" borderId="45" applyNumberFormat="0" applyFill="0" applyAlignment="0" applyProtection="0"/>
    <xf numFmtId="0" fontId="34" fillId="0" borderId="45" applyNumberFormat="0" applyFill="0" applyAlignment="0" applyProtection="0"/>
    <xf numFmtId="0" fontId="34" fillId="0" borderId="45" applyNumberFormat="0" applyFill="0" applyAlignment="0" applyProtection="0"/>
    <xf numFmtId="0" fontId="38" fillId="0" borderId="45" applyNumberFormat="0" applyFill="0" applyAlignment="0" applyProtection="0"/>
    <xf numFmtId="184" fontId="34" fillId="0" borderId="45" applyNumberFormat="0" applyFill="0" applyAlignment="0" applyProtection="0"/>
    <xf numFmtId="0" fontId="38" fillId="0" borderId="45" applyNumberFormat="0" applyFill="0" applyAlignment="0" applyProtection="0"/>
    <xf numFmtId="0" fontId="34" fillId="0" borderId="45" applyNumberFormat="0" applyFill="0" applyAlignment="0" applyProtection="0"/>
    <xf numFmtId="0" fontId="34" fillId="0" borderId="45" applyNumberFormat="0" applyFill="0" applyAlignment="0" applyProtection="0"/>
    <xf numFmtId="184" fontId="34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4" fillId="0" borderId="45" applyNumberFormat="0" applyFill="0" applyAlignment="0" applyProtection="0"/>
    <xf numFmtId="0" fontId="34" fillId="0" borderId="45" applyNumberFormat="0" applyFill="0" applyAlignment="0" applyProtection="0"/>
    <xf numFmtId="0" fontId="38" fillId="0" borderId="45" applyNumberFormat="0" applyFill="0" applyAlignment="0" applyProtection="0"/>
    <xf numFmtId="0" fontId="200" fillId="0" borderId="24" applyNumberFormat="0" applyFill="0" applyAlignment="0" applyProtection="0"/>
    <xf numFmtId="0" fontId="200" fillId="0" borderId="24" applyNumberFormat="0" applyFill="0" applyAlignment="0" applyProtection="0"/>
    <xf numFmtId="0" fontId="34" fillId="0" borderId="45" applyNumberFormat="0" applyFill="0" applyAlignment="0" applyProtection="0"/>
    <xf numFmtId="184" fontId="38" fillId="0" borderId="45" applyNumberFormat="0" applyFill="0" applyAlignment="0" applyProtection="0"/>
    <xf numFmtId="0" fontId="34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184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77" fillId="0" borderId="45" applyNumberFormat="0" applyFill="0" applyAlignment="0" applyProtection="0"/>
    <xf numFmtId="184" fontId="38" fillId="0" borderId="45" applyNumberFormat="0" applyFill="0" applyAlignment="0" applyProtection="0"/>
    <xf numFmtId="0" fontId="77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184" fontId="38" fillId="0" borderId="45" applyNumberFormat="0" applyFill="0" applyAlignment="0" applyProtection="0"/>
    <xf numFmtId="0" fontId="77" fillId="0" borderId="45" applyNumberFormat="0" applyFill="0" applyAlignment="0" applyProtection="0"/>
    <xf numFmtId="0" fontId="77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77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77" fillId="0" borderId="45" applyNumberFormat="0" applyFill="0" applyAlignment="0" applyProtection="0"/>
    <xf numFmtId="184" fontId="77" fillId="0" borderId="45" applyNumberFormat="0" applyFill="0" applyAlignment="0" applyProtection="0"/>
    <xf numFmtId="0" fontId="77" fillId="0" borderId="45" applyNumberFormat="0" applyFill="0" applyAlignment="0" applyProtection="0"/>
    <xf numFmtId="184" fontId="77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" fillId="0" borderId="45" applyNumberFormat="0" applyFill="0" applyAlignment="0" applyProtection="0"/>
    <xf numFmtId="0" fontId="3" fillId="0" borderId="45" applyNumberFormat="0" applyFill="0" applyAlignment="0" applyProtection="0"/>
    <xf numFmtId="0" fontId="3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3" fillId="0" borderId="45" applyNumberFormat="0" applyFill="0" applyAlignment="0" applyProtection="0"/>
    <xf numFmtId="0" fontId="3" fillId="0" borderId="45" applyNumberFormat="0" applyFill="0" applyAlignment="0" applyProtection="0"/>
    <xf numFmtId="0" fontId="3" fillId="0" borderId="45" applyNumberFormat="0" applyFill="0" applyAlignment="0" applyProtection="0"/>
    <xf numFmtId="0" fontId="3" fillId="0" borderId="24" applyNumberFormat="0" applyFill="0" applyAlignment="0" applyProtection="0"/>
    <xf numFmtId="0" fontId="3" fillId="0" borderId="24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184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</cellStyleXfs>
  <cellXfs count="234">
    <xf numFmtId="0" fontId="0" fillId="0" borderId="0" xfId="0"/>
    <xf numFmtId="3" fontId="0" fillId="0" borderId="0" xfId="6" applyFont="1"/>
    <xf numFmtId="0" fontId="6" fillId="2" borderId="0" xfId="2"/>
    <xf numFmtId="0" fontId="5" fillId="5" borderId="0" xfId="3"/>
    <xf numFmtId="0" fontId="7" fillId="3" borderId="0" xfId="1"/>
    <xf numFmtId="0" fontId="4" fillId="0" borderId="0" xfId="4"/>
    <xf numFmtId="0" fontId="3" fillId="2" borderId="0" xfId="2" applyFont="1" applyAlignment="1">
      <alignment horizontal="right"/>
    </xf>
    <xf numFmtId="0" fontId="3" fillId="2" borderId="0" xfId="2" applyFont="1" applyAlignment="1">
      <alignment horizontal="center"/>
    </xf>
    <xf numFmtId="3" fontId="0" fillId="4" borderId="0" xfId="6" applyFont="1" applyFill="1"/>
    <xf numFmtId="0" fontId="1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9" fontId="0" fillId="0" borderId="0" xfId="0" applyNumberFormat="1"/>
    <xf numFmtId="0" fontId="3" fillId="0" borderId="0" xfId="5" applyFont="1" applyFill="1" applyAlignment="1">
      <alignment textRotation="90" wrapText="1"/>
    </xf>
    <xf numFmtId="0" fontId="0" fillId="0" borderId="0" xfId="0" applyFont="1"/>
    <xf numFmtId="0" fontId="11" fillId="0" borderId="0" xfId="4" applyFont="1"/>
    <xf numFmtId="167" fontId="0" fillId="0" borderId="0" xfId="0" applyNumberFormat="1"/>
    <xf numFmtId="168" fontId="0" fillId="0" borderId="0" xfId="0" applyNumberFormat="1"/>
    <xf numFmtId="0" fontId="0" fillId="0" borderId="0" xfId="0"/>
    <xf numFmtId="0" fontId="1" fillId="0" borderId="0" xfId="4" applyFont="1"/>
    <xf numFmtId="169" fontId="0" fillId="0" borderId="0" xfId="10" applyNumberFormat="1" applyFont="1"/>
    <xf numFmtId="170" fontId="0" fillId="0" borderId="0" xfId="0" applyNumberFormat="1"/>
    <xf numFmtId="171" fontId="0" fillId="0" borderId="0" xfId="0" applyNumberFormat="1"/>
    <xf numFmtId="1" fontId="0" fillId="0" borderId="0" xfId="0" applyNumberFormat="1"/>
    <xf numFmtId="0" fontId="17" fillId="0" borderId="0" xfId="0" applyFont="1"/>
    <xf numFmtId="0" fontId="11" fillId="0" borderId="0" xfId="0" applyFont="1"/>
    <xf numFmtId="0" fontId="18" fillId="0" borderId="0" xfId="0" applyFont="1"/>
    <xf numFmtId="3" fontId="0" fillId="0" borderId="3" xfId="0" applyNumberFormat="1" applyBorder="1"/>
    <xf numFmtId="3" fontId="0" fillId="0" borderId="0" xfId="0" applyNumberFormat="1" applyFill="1"/>
    <xf numFmtId="15" fontId="0" fillId="0" borderId="0" xfId="0" applyNumberFormat="1"/>
    <xf numFmtId="173" fontId="0" fillId="0" borderId="0" xfId="0" applyNumberFormat="1"/>
    <xf numFmtId="0" fontId="3" fillId="0" borderId="0" xfId="0" applyFont="1" applyAlignment="1">
      <alignment textRotation="90" wrapText="1"/>
    </xf>
    <xf numFmtId="0" fontId="36" fillId="0" borderId="0" xfId="72" applyAlignment="1" applyProtection="1"/>
    <xf numFmtId="10" fontId="0" fillId="0" borderId="0" xfId="5" applyNumberFormat="1" applyFont="1" applyFill="1"/>
    <xf numFmtId="10" fontId="0" fillId="0" borderId="0" xfId="10" applyNumberFormat="1" applyFont="1" applyFill="1"/>
    <xf numFmtId="0" fontId="0" fillId="0" borderId="0" xfId="0" applyFill="1"/>
    <xf numFmtId="3" fontId="0" fillId="0" borderId="0" xfId="6" applyFont="1" applyFill="1"/>
    <xf numFmtId="0" fontId="0" fillId="0" borderId="0" xfId="0"/>
    <xf numFmtId="0" fontId="3" fillId="0" borderId="0" xfId="0" applyFont="1"/>
    <xf numFmtId="0" fontId="0" fillId="0" borderId="0" xfId="0" applyBorder="1"/>
    <xf numFmtId="179" fontId="0" fillId="0" borderId="0" xfId="0" applyNumberFormat="1"/>
    <xf numFmtId="0" fontId="14" fillId="0" borderId="0" xfId="0" applyFont="1" applyFill="1"/>
    <xf numFmtId="3" fontId="0" fillId="0" borderId="0" xfId="6" applyFont="1" applyBorder="1"/>
    <xf numFmtId="10" fontId="0" fillId="0" borderId="0" xfId="10" applyNumberFormat="1" applyFont="1" applyBorder="1"/>
    <xf numFmtId="0" fontId="3" fillId="0" borderId="0" xfId="4" applyFont="1"/>
    <xf numFmtId="170" fontId="0" fillId="0" borderId="0" xfId="0" applyNumberFormat="1" applyFill="1"/>
    <xf numFmtId="3" fontId="0" fillId="0" borderId="0" xfId="0" applyNumberFormat="1" applyFont="1"/>
    <xf numFmtId="3" fontId="0" fillId="0" borderId="3" xfId="0" applyNumberFormat="1" applyFont="1" applyBorder="1"/>
    <xf numFmtId="3" fontId="0" fillId="0" borderId="0" xfId="0" applyNumberFormat="1" applyFont="1" applyBorder="1"/>
    <xf numFmtId="10" fontId="0" fillId="4" borderId="0" xfId="10" applyNumberFormat="1" applyFont="1" applyFill="1"/>
    <xf numFmtId="0" fontId="10" fillId="0" borderId="0" xfId="0" applyFont="1" applyAlignment="1">
      <alignment textRotation="90" wrapText="1"/>
    </xf>
    <xf numFmtId="0" fontId="0" fillId="0" borderId="0" xfId="0" applyNumberFormat="1" applyAlignment="1"/>
    <xf numFmtId="0" fontId="3" fillId="0" borderId="0" xfId="0" applyFont="1" applyAlignme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10" fontId="1" fillId="0" borderId="0" xfId="10" applyNumberFormat="1" applyFont="1" applyAlignment="1">
      <alignment wrapText="1"/>
    </xf>
    <xf numFmtId="9" fontId="0" fillId="0" borderId="0" xfId="10" applyFont="1"/>
    <xf numFmtId="0" fontId="0" fillId="0" borderId="19" xfId="0" applyBorder="1"/>
    <xf numFmtId="0" fontId="6" fillId="0" borderId="0" xfId="0" applyFont="1"/>
    <xf numFmtId="3" fontId="0" fillId="0" borderId="0" xfId="0" applyNumberFormat="1" applyBorder="1"/>
    <xf numFmtId="4" fontId="0" fillId="0" borderId="0" xfId="0" applyNumberFormat="1"/>
    <xf numFmtId="173" fontId="0" fillId="0" borderId="0" xfId="0" applyNumberFormat="1" applyFill="1"/>
    <xf numFmtId="170" fontId="5" fillId="0" borderId="0" xfId="3" applyNumberFormat="1" applyFill="1"/>
    <xf numFmtId="0" fontId="89" fillId="0" borderId="0" xfId="0" applyFont="1"/>
    <xf numFmtId="172" fontId="0" fillId="31" borderId="0" xfId="0" applyNumberFormat="1" applyFill="1" applyAlignment="1">
      <alignment wrapText="1"/>
    </xf>
    <xf numFmtId="170" fontId="0" fillId="31" borderId="0" xfId="0" applyNumberFormat="1" applyFill="1"/>
    <xf numFmtId="0" fontId="3" fillId="0" borderId="0" xfId="4" applyFont="1" applyBorder="1"/>
    <xf numFmtId="0" fontId="92" fillId="0" borderId="0" xfId="0" applyFont="1"/>
    <xf numFmtId="174" fontId="0" fillId="0" borderId="0" xfId="10" applyNumberFormat="1" applyFont="1"/>
    <xf numFmtId="180" fontId="0" fillId="0" borderId="0" xfId="0" applyNumberFormat="1"/>
    <xf numFmtId="0" fontId="0" fillId="0" borderId="0" xfId="0"/>
    <xf numFmtId="10" fontId="0" fillId="0" borderId="0" xfId="0" applyNumberFormat="1"/>
    <xf numFmtId="0" fontId="14" fillId="0" borderId="0" xfId="0" applyFont="1"/>
    <xf numFmtId="10" fontId="0" fillId="0" borderId="0" xfId="10" applyNumberFormat="1" applyFont="1"/>
    <xf numFmtId="3" fontId="0" fillId="0" borderId="0" xfId="0" applyNumberFormat="1"/>
    <xf numFmtId="0" fontId="4" fillId="0" borderId="0" xfId="0" applyFont="1"/>
    <xf numFmtId="0" fontId="0" fillId="0" borderId="0" xfId="0" applyFill="1"/>
    <xf numFmtId="0" fontId="3" fillId="0" borderId="0" xfId="0" applyFont="1"/>
    <xf numFmtId="181" fontId="0" fillId="0" borderId="0" xfId="0" applyNumberFormat="1"/>
    <xf numFmtId="170" fontId="94" fillId="0" borderId="0" xfId="0" applyNumberFormat="1" applyFont="1"/>
    <xf numFmtId="0" fontId="6" fillId="2" borderId="0" xfId="2" applyBorder="1"/>
    <xf numFmtId="0" fontId="3" fillId="2" borderId="0" xfId="2" applyFont="1" applyBorder="1" applyAlignment="1">
      <alignment horizontal="center"/>
    </xf>
    <xf numFmtId="0" fontId="80" fillId="0" borderId="0" xfId="353" applyFont="1"/>
    <xf numFmtId="170" fontId="0" fillId="0" borderId="0" xfId="0" applyNumberFormat="1" applyFill="1" applyBorder="1"/>
    <xf numFmtId="3" fontId="0" fillId="0" borderId="0" xfId="0" applyNumberFormat="1" applyFill="1" applyBorder="1"/>
    <xf numFmtId="182" fontId="0" fillId="0" borderId="0" xfId="0" applyNumberFormat="1" applyAlignment="1">
      <alignment wrapText="1"/>
    </xf>
    <xf numFmtId="180" fontId="0" fillId="0" borderId="0" xfId="376" applyNumberFormat="1" applyFont="1"/>
    <xf numFmtId="3" fontId="0" fillId="0" borderId="0" xfId="6" applyFont="1" applyFill="1" applyBorder="1"/>
    <xf numFmtId="0" fontId="0" fillId="0" borderId="0" xfId="0" applyFill="1" applyBorder="1"/>
    <xf numFmtId="0" fontId="0" fillId="0" borderId="3" xfId="0" applyBorder="1"/>
    <xf numFmtId="1" fontId="0" fillId="0" borderId="0" xfId="10" applyNumberFormat="1" applyFont="1" applyBorder="1"/>
    <xf numFmtId="183" fontId="0" fillId="0" borderId="0" xfId="0" applyNumberFormat="1"/>
    <xf numFmtId="0" fontId="0" fillId="0" borderId="0" xfId="0" applyFont="1" applyBorder="1"/>
    <xf numFmtId="3" fontId="10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173" fontId="0" fillId="0" borderId="0" xfId="0" applyNumberFormat="1" applyBorder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6" fillId="0" borderId="0" xfId="361" applyFont="1"/>
    <xf numFmtId="0" fontId="86" fillId="0" borderId="0" xfId="361" quotePrefix="1" applyFont="1"/>
    <xf numFmtId="0" fontId="86" fillId="0" borderId="0" xfId="361" applyFont="1" applyFill="1" applyBorder="1"/>
    <xf numFmtId="0" fontId="0" fillId="0" borderId="0" xfId="0" applyAlignment="1">
      <alignment horizontal="right"/>
    </xf>
    <xf numFmtId="1" fontId="0" fillId="0" borderId="0" xfId="0" applyNumberFormat="1" applyFont="1"/>
    <xf numFmtId="17" fontId="0" fillId="0" borderId="0" xfId="0" applyNumberFormat="1" applyFont="1"/>
    <xf numFmtId="167" fontId="171" fillId="0" borderId="0" xfId="0" applyNumberFormat="1" applyFont="1"/>
    <xf numFmtId="0" fontId="0" fillId="32" borderId="0" xfId="0" applyFill="1"/>
    <xf numFmtId="230" fontId="3" fillId="0" borderId="25" xfId="0" applyNumberFormat="1" applyFont="1" applyBorder="1" applyAlignment="1">
      <alignment horizontal="center" wrapText="1"/>
    </xf>
    <xf numFmtId="1" fontId="0" fillId="0" borderId="0" xfId="10" applyNumberFormat="1" applyFont="1"/>
    <xf numFmtId="0" fontId="4" fillId="0" borderId="0" xfId="4" applyFont="1"/>
    <xf numFmtId="170" fontId="0" fillId="29" borderId="0" xfId="0" applyNumberFormat="1" applyFill="1" applyBorder="1"/>
    <xf numFmtId="173" fontId="0" fillId="0" borderId="0" xfId="0" applyNumberFormat="1" applyFill="1" applyBorder="1"/>
    <xf numFmtId="4" fontId="0" fillId="0" borderId="0" xfId="0" applyNumberFormat="1" applyBorder="1"/>
    <xf numFmtId="167" fontId="0" fillId="0" borderId="0" xfId="0" applyNumberFormat="1" applyBorder="1" applyAlignment="1">
      <alignment horizontal="center"/>
    </xf>
    <xf numFmtId="230" fontId="3" fillId="0" borderId="0" xfId="0" applyNumberFormat="1" applyFont="1" applyBorder="1" applyAlignment="1">
      <alignment horizontal="center" wrapText="1"/>
    </xf>
    <xf numFmtId="167" fontId="0" fillId="0" borderId="0" xfId="0" applyNumberFormat="1" applyFill="1"/>
    <xf numFmtId="0" fontId="0" fillId="70" borderId="0" xfId="0" applyFill="1"/>
    <xf numFmtId="170" fontId="0" fillId="70" borderId="0" xfId="0" applyNumberFormat="1" applyFill="1"/>
    <xf numFmtId="0" fontId="3" fillId="70" borderId="0" xfId="4" applyFont="1" applyFill="1"/>
    <xf numFmtId="170" fontId="173" fillId="0" borderId="0" xfId="0" applyNumberFormat="1" applyFont="1" applyFill="1"/>
    <xf numFmtId="170" fontId="173" fillId="70" borderId="0" xfId="0" applyNumberFormat="1" applyFont="1" applyFill="1"/>
    <xf numFmtId="0" fontId="0" fillId="0" borderId="0" xfId="0" applyAlignment="1">
      <alignment vertical="center"/>
    </xf>
    <xf numFmtId="3" fontId="10" fillId="0" borderId="0" xfId="0" applyNumberFormat="1" applyFont="1" applyBorder="1"/>
    <xf numFmtId="230" fontId="3" fillId="0" borderId="4" xfId="0" applyNumberFormat="1" applyFont="1" applyBorder="1" applyAlignment="1">
      <alignment horizontal="center" wrapText="1"/>
    </xf>
    <xf numFmtId="0" fontId="94" fillId="0" borderId="0" xfId="0" applyFont="1"/>
    <xf numFmtId="0" fontId="3" fillId="0" borderId="0" xfId="0" applyFont="1" applyAlignment="1">
      <alignment vertical="center"/>
    </xf>
    <xf numFmtId="10" fontId="0" fillId="70" borderId="0" xfId="10" applyNumberFormat="1" applyFont="1" applyFill="1"/>
    <xf numFmtId="0" fontId="14" fillId="0" borderId="0" xfId="0" applyFont="1" applyBorder="1"/>
    <xf numFmtId="0" fontId="3" fillId="0" borderId="0" xfId="5" applyFont="1" applyFill="1" applyBorder="1" applyAlignment="1">
      <alignment textRotation="90" wrapText="1"/>
    </xf>
    <xf numFmtId="0" fontId="174" fillId="0" borderId="0" xfId="0" applyFont="1" applyAlignment="1">
      <alignment vertical="center"/>
    </xf>
    <xf numFmtId="1" fontId="0" fillId="0" borderId="0" xfId="0" applyNumberFormat="1" applyBorder="1"/>
    <xf numFmtId="167" fontId="0" fillId="69" borderId="0" xfId="0" applyNumberFormat="1" applyFont="1" applyFill="1"/>
    <xf numFmtId="167" fontId="0" fillId="71" borderId="0" xfId="0" applyNumberFormat="1" applyFont="1" applyFill="1"/>
    <xf numFmtId="167" fontId="0" fillId="72" borderId="0" xfId="0" applyNumberFormat="1" applyFont="1" applyFill="1"/>
    <xf numFmtId="170" fontId="0" fillId="0" borderId="0" xfId="0" applyNumberFormat="1" applyBorder="1"/>
    <xf numFmtId="3" fontId="0" fillId="0" borderId="0" xfId="6" applyNumberFormat="1" applyFont="1"/>
    <xf numFmtId="0" fontId="3" fillId="0" borderId="0" xfId="0" applyFont="1" applyAlignment="1">
      <alignment horizontal="right"/>
    </xf>
    <xf numFmtId="170" fontId="0" fillId="0" borderId="0" xfId="376" applyNumberFormat="1" applyFont="1"/>
    <xf numFmtId="170" fontId="0" fillId="0" borderId="0" xfId="376" applyNumberFormat="1" applyFont="1" applyFill="1"/>
    <xf numFmtId="170" fontId="0" fillId="0" borderId="0" xfId="0" applyNumberFormat="1" applyBorder="1" applyAlignment="1">
      <alignment wrapText="1"/>
    </xf>
    <xf numFmtId="1" fontId="0" fillId="0" borderId="0" xfId="10" applyNumberFormat="1" applyFont="1" applyAlignment="1">
      <alignment horizontal="right"/>
    </xf>
    <xf numFmtId="174" fontId="0" fillId="0" borderId="0" xfId="0" applyNumberFormat="1"/>
    <xf numFmtId="1" fontId="0" fillId="0" borderId="0" xfId="10" applyNumberFormat="1" applyFont="1" applyAlignment="1"/>
    <xf numFmtId="22" fontId="0" fillId="0" borderId="0" xfId="0" applyNumberFormat="1" applyAlignment="1">
      <alignment horizontal="centerContinuous"/>
    </xf>
    <xf numFmtId="0" fontId="175" fillId="0" borderId="0" xfId="0" applyFont="1"/>
    <xf numFmtId="0" fontId="176" fillId="64" borderId="0" xfId="0" applyFont="1" applyFill="1"/>
    <xf numFmtId="0" fontId="0" fillId="64" borderId="0" xfId="0" applyFill="1"/>
    <xf numFmtId="0" fontId="5" fillId="63" borderId="0" xfId="0" applyFont="1" applyFill="1"/>
    <xf numFmtId="0" fontId="177" fillId="64" borderId="4" xfId="0" applyFont="1" applyFill="1" applyBorder="1" applyAlignment="1">
      <alignment wrapText="1"/>
    </xf>
    <xf numFmtId="0" fontId="177" fillId="64" borderId="0" xfId="0" applyFont="1" applyFill="1" applyBorder="1" applyAlignment="1">
      <alignment wrapText="1"/>
    </xf>
    <xf numFmtId="0" fontId="177" fillId="64" borderId="0" xfId="0" applyFont="1" applyFill="1" applyAlignment="1">
      <alignment wrapText="1"/>
    </xf>
    <xf numFmtId="3" fontId="177" fillId="64" borderId="0" xfId="10" applyNumberFormat="1" applyFont="1" applyFill="1" applyAlignment="1">
      <alignment horizontal="right" wrapText="1"/>
    </xf>
    <xf numFmtId="0" fontId="177" fillId="64" borderId="0" xfId="0" applyFont="1" applyFill="1"/>
    <xf numFmtId="0" fontId="177" fillId="64" borderId="0" xfId="0" applyFont="1" applyFill="1" applyAlignment="1">
      <alignment horizontal="right"/>
    </xf>
    <xf numFmtId="9" fontId="177" fillId="73" borderId="36" xfId="11" applyNumberFormat="1" applyFont="1" applyFill="1" applyBorder="1"/>
    <xf numFmtId="0" fontId="0" fillId="63" borderId="0" xfId="0" applyFill="1"/>
    <xf numFmtId="3" fontId="177" fillId="73" borderId="36" xfId="11" applyNumberFormat="1" applyFont="1" applyFill="1" applyBorder="1"/>
    <xf numFmtId="2" fontId="177" fillId="64" borderId="0" xfId="10" applyNumberFormat="1" applyFont="1" applyFill="1" applyAlignment="1">
      <alignment horizontal="right" wrapText="1"/>
    </xf>
    <xf numFmtId="0" fontId="202" fillId="0" borderId="0" xfId="0" applyFont="1" applyAlignment="1">
      <alignment readingOrder="1"/>
    </xf>
    <xf numFmtId="9" fontId="0" fillId="0" borderId="0" xfId="10" applyNumberFormat="1" applyFont="1"/>
    <xf numFmtId="171" fontId="0" fillId="0" borderId="0" xfId="0" applyNumberFormat="1" applyFill="1"/>
    <xf numFmtId="1" fontId="0" fillId="0" borderId="0" xfId="0" applyNumberFormat="1" applyFill="1"/>
    <xf numFmtId="15" fontId="0" fillId="0" borderId="0" xfId="0" applyNumberFormat="1" applyFill="1"/>
    <xf numFmtId="172" fontId="0" fillId="0" borderId="0" xfId="0" applyNumberFormat="1" applyFill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17" fillId="0" borderId="0" xfId="0" applyFont="1" applyFill="1"/>
    <xf numFmtId="0" fontId="0" fillId="4" borderId="0" xfId="10" applyNumberFormat="1" applyFont="1" applyFill="1"/>
    <xf numFmtId="168" fontId="0" fillId="0" borderId="0" xfId="0" applyNumberFormat="1" applyFill="1" applyBorder="1"/>
    <xf numFmtId="3" fontId="0" fillId="0" borderId="46" xfId="6" applyFont="1" applyFill="1" applyBorder="1"/>
    <xf numFmtId="167" fontId="0" fillId="0" borderId="46" xfId="0" applyNumberFormat="1" applyBorder="1" applyAlignment="1">
      <alignment horizontal="center"/>
    </xf>
    <xf numFmtId="167" fontId="0" fillId="0" borderId="47" xfId="0" applyNumberFormat="1" applyBorder="1" applyAlignment="1">
      <alignment horizontal="center"/>
    </xf>
    <xf numFmtId="168" fontId="0" fillId="0" borderId="47" xfId="0" applyNumberFormat="1" applyFill="1" applyBorder="1"/>
    <xf numFmtId="3" fontId="0" fillId="0" borderId="46" xfId="0" applyNumberFormat="1" applyFill="1" applyBorder="1"/>
    <xf numFmtId="3" fontId="0" fillId="0" borderId="47" xfId="0" applyNumberFormat="1" applyFill="1" applyBorder="1"/>
    <xf numFmtId="0" fontId="1" fillId="0" borderId="46" xfId="4" applyFont="1" applyBorder="1"/>
    <xf numFmtId="3" fontId="0" fillId="0" borderId="46" xfId="0" applyNumberFormat="1" applyBorder="1"/>
    <xf numFmtId="3" fontId="0" fillId="0" borderId="47" xfId="0" applyNumberFormat="1" applyBorder="1"/>
    <xf numFmtId="4" fontId="0" fillId="0" borderId="47" xfId="0" applyNumberFormat="1" applyFill="1" applyBorder="1"/>
    <xf numFmtId="173" fontId="0" fillId="30" borderId="47" xfId="0" applyNumberFormat="1" applyFill="1" applyBorder="1"/>
    <xf numFmtId="170" fontId="0" fillId="0" borderId="46" xfId="0" applyNumberFormat="1" applyFill="1" applyBorder="1"/>
    <xf numFmtId="170" fontId="0" fillId="29" borderId="46" xfId="0" applyNumberFormat="1" applyFill="1" applyBorder="1"/>
    <xf numFmtId="3" fontId="0" fillId="81" borderId="0" xfId="6" applyFont="1" applyFill="1"/>
    <xf numFmtId="0" fontId="0" fillId="0" borderId="48" xfId="0" applyFill="1" applyBorder="1"/>
    <xf numFmtId="0" fontId="0" fillId="0" borderId="48" xfId="0" applyBorder="1"/>
    <xf numFmtId="10" fontId="0" fillId="4" borderId="48" xfId="10" applyNumberFormat="1" applyFont="1" applyFill="1" applyBorder="1"/>
    <xf numFmtId="0" fontId="89" fillId="0" borderId="0" xfId="361" quotePrefix="1" applyFont="1"/>
    <xf numFmtId="0" fontId="89" fillId="0" borderId="0" xfId="361" applyFont="1"/>
    <xf numFmtId="0" fontId="89" fillId="0" borderId="0" xfId="361" applyFont="1" applyFill="1" applyBorder="1"/>
    <xf numFmtId="0" fontId="0" fillId="0" borderId="0" xfId="0" applyFont="1" applyFill="1" applyAlignment="1">
      <alignment horizontal="right"/>
    </xf>
    <xf numFmtId="10" fontId="0" fillId="0" borderId="0" xfId="0" applyNumberFormat="1" applyFont="1"/>
    <xf numFmtId="0" fontId="205" fillId="0" borderId="0" xfId="353" applyFont="1" applyAlignment="1">
      <alignment horizontal="right"/>
    </xf>
    <xf numFmtId="1" fontId="89" fillId="0" borderId="0" xfId="361" applyNumberFormat="1" applyFont="1" applyFill="1" applyAlignment="1">
      <alignment horizontal="right"/>
    </xf>
    <xf numFmtId="0" fontId="0" fillId="0" borderId="0" xfId="0" applyFont="1" applyFill="1"/>
    <xf numFmtId="17" fontId="0" fillId="0" borderId="0" xfId="0" applyNumberFormat="1" applyFont="1" applyFill="1"/>
    <xf numFmtId="0" fontId="0" fillId="0" borderId="0" xfId="0" applyFont="1" applyFill="1" applyBorder="1" applyAlignment="1">
      <alignment textRotation="90" wrapText="1"/>
    </xf>
    <xf numFmtId="0" fontId="205" fillId="0" borderId="0" xfId="353" applyFont="1" applyFill="1" applyAlignment="1">
      <alignment horizontal="right"/>
    </xf>
    <xf numFmtId="168" fontId="89" fillId="0" borderId="0" xfId="353" applyNumberFormat="1" applyFont="1" applyFill="1" applyAlignment="1">
      <alignment horizontal="right"/>
    </xf>
    <xf numFmtId="167" fontId="0" fillId="69" borderId="5" xfId="0" applyNumberFormat="1" applyFont="1" applyFill="1" applyBorder="1"/>
    <xf numFmtId="167" fontId="0" fillId="71" borderId="5" xfId="0" applyNumberFormat="1" applyFont="1" applyFill="1" applyBorder="1"/>
    <xf numFmtId="167" fontId="0" fillId="72" borderId="5" xfId="0" applyNumberFormat="1" applyFont="1" applyFill="1" applyBorder="1"/>
    <xf numFmtId="168" fontId="89" fillId="0" borderId="5" xfId="353" applyNumberFormat="1" applyFont="1" applyFill="1" applyBorder="1" applyAlignment="1">
      <alignment horizontal="right"/>
    </xf>
    <xf numFmtId="3" fontId="10" fillId="0" borderId="0" xfId="0" applyNumberFormat="1" applyFont="1" applyFill="1"/>
    <xf numFmtId="10" fontId="1" fillId="0" borderId="0" xfId="10" applyNumberFormat="1" applyFont="1" applyFill="1" applyAlignment="1">
      <alignment wrapText="1"/>
    </xf>
    <xf numFmtId="170" fontId="0" fillId="0" borderId="0" xfId="0" applyNumberFormat="1" applyFill="1" applyAlignment="1">
      <alignment wrapText="1"/>
    </xf>
    <xf numFmtId="9" fontId="1" fillId="0" borderId="0" xfId="10" applyNumberFormat="1" applyFont="1" applyFill="1" applyAlignment="1">
      <alignment wrapText="1"/>
    </xf>
    <xf numFmtId="170" fontId="1" fillId="0" borderId="0" xfId="10" applyNumberFormat="1" applyFont="1" applyFill="1" applyAlignment="1">
      <alignment wrapText="1"/>
    </xf>
    <xf numFmtId="173" fontId="0" fillId="0" borderId="0" xfId="0" applyNumberFormat="1" applyFill="1" applyAlignment="1">
      <alignment wrapText="1"/>
    </xf>
    <xf numFmtId="0" fontId="3" fillId="0" borderId="0" xfId="0" applyFont="1" applyFill="1" applyAlignment="1">
      <alignment horizontal="center"/>
    </xf>
    <xf numFmtId="10" fontId="3" fillId="0" borderId="0" xfId="10" applyNumberFormat="1" applyFont="1" applyFill="1"/>
    <xf numFmtId="0" fontId="81" fillId="0" borderId="0" xfId="353" applyFont="1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88" fillId="0" borderId="0" xfId="353" applyFont="1" applyFill="1" applyAlignment="1">
      <alignment horizontal="right"/>
    </xf>
    <xf numFmtId="0" fontId="0" fillId="0" borderId="25" xfId="0" applyFill="1" applyBorder="1" applyAlignment="1">
      <alignment textRotation="90" wrapText="1"/>
    </xf>
    <xf numFmtId="0" fontId="0" fillId="0" borderId="0" xfId="0" applyFill="1" applyBorder="1" applyAlignment="1">
      <alignment textRotation="90" wrapText="1"/>
    </xf>
    <xf numFmtId="0" fontId="89" fillId="0" borderId="0" xfId="361" quotePrefix="1" applyFont="1" applyFill="1"/>
    <xf numFmtId="0" fontId="89" fillId="0" borderId="0" xfId="361" applyFont="1" applyFill="1"/>
    <xf numFmtId="1" fontId="0" fillId="0" borderId="0" xfId="0" applyNumberFormat="1" applyFont="1" applyFill="1"/>
    <xf numFmtId="0" fontId="0" fillId="0" borderId="0" xfId="0" applyFont="1" applyFill="1" applyAlignment="1">
      <alignment textRotation="90" wrapText="1"/>
    </xf>
    <xf numFmtId="1" fontId="0" fillId="0" borderId="48" xfId="0" applyNumberFormat="1" applyFont="1" applyFill="1" applyBorder="1"/>
    <xf numFmtId="1" fontId="0" fillId="0" borderId="0" xfId="0" applyNumberFormat="1" applyFont="1" applyFill="1" applyBorder="1"/>
    <xf numFmtId="10" fontId="0" fillId="0" borderId="0" xfId="0" applyNumberFormat="1" applyFont="1" applyFill="1"/>
    <xf numFmtId="0" fontId="6" fillId="0" borderId="0" xfId="2" applyFill="1"/>
    <xf numFmtId="10" fontId="0" fillId="0" borderId="0" xfId="0" applyNumberFormat="1" applyFill="1"/>
    <xf numFmtId="167" fontId="0" fillId="0" borderId="0" xfId="0" applyNumberFormat="1" applyFont="1" applyFill="1"/>
    <xf numFmtId="0" fontId="175" fillId="0" borderId="0" xfId="0" applyFont="1" applyFill="1"/>
    <xf numFmtId="0" fontId="0" fillId="0" borderId="46" xfId="0" applyFill="1" applyBorder="1"/>
    <xf numFmtId="167" fontId="0" fillId="0" borderId="0" xfId="10" applyNumberFormat="1" applyFont="1"/>
  </cellXfs>
  <cellStyles count="5521">
    <cellStyle name="_x0013_" xfId="73"/>
    <cellStyle name="_x0013_ 2" xfId="377"/>
    <cellStyle name="_x0013_ 3" xfId="378"/>
    <cellStyle name="=C:\WINNT\SYSTEM32\COMMAND.COM" xfId="74"/>
    <cellStyle name="=C:\WINNT\SYSTEM32\COMMAND.COM 2" xfId="379"/>
    <cellStyle name="=C:\WINNT\SYSTEM32\COMMAND.COM 3" xfId="380"/>
    <cellStyle name="20% - Accent1 2" xfId="17"/>
    <cellStyle name="20% - Accent1 2 2" xfId="76"/>
    <cellStyle name="20% - Accent1 2 2 2" xfId="77"/>
    <cellStyle name="20% - Accent1 2 2 2 2" xfId="381"/>
    <cellStyle name="20% - Accent1 2 2 2 3" xfId="382"/>
    <cellStyle name="20% - Accent1 2 2 3" xfId="383"/>
    <cellStyle name="20% - Accent1 2 2 3 2" xfId="384"/>
    <cellStyle name="20% - Accent1 2 2 3 3" xfId="385"/>
    <cellStyle name="20% - Accent1 2 2 3 3 2" xfId="3786"/>
    <cellStyle name="20% - Accent1 2 2 3 3 3" xfId="3787"/>
    <cellStyle name="20% - Accent1 2 2 3 4" xfId="3788"/>
    <cellStyle name="20% - Accent1 2 2 3 5" xfId="3789"/>
    <cellStyle name="20% - Accent1 2 2 3 6" xfId="3790"/>
    <cellStyle name="20% - Accent1 2 2 4" xfId="386"/>
    <cellStyle name="20% - Accent1 2 2 4 2" xfId="3791"/>
    <cellStyle name="20% - Accent1 2 2 4 3" xfId="3792"/>
    <cellStyle name="20% - Accent1 2 2 4 4" xfId="3793"/>
    <cellStyle name="20% - Accent1 2 2 5" xfId="387"/>
    <cellStyle name="20% - Accent1 2 3" xfId="78"/>
    <cellStyle name="20% - Accent1 2 3 2" xfId="388"/>
    <cellStyle name="20% - Accent1 2 3 2 2" xfId="389"/>
    <cellStyle name="20% - Accent1 2 3 2 3" xfId="390"/>
    <cellStyle name="20% - Accent1 2 3 2 3 2" xfId="3794"/>
    <cellStyle name="20% - Accent1 2 3 2 3 3" xfId="3795"/>
    <cellStyle name="20% - Accent1 2 3 2 4" xfId="3796"/>
    <cellStyle name="20% - Accent1 2 3 2 5" xfId="3797"/>
    <cellStyle name="20% - Accent1 2 3 2 6" xfId="3798"/>
    <cellStyle name="20% - Accent1 2 3 3" xfId="391"/>
    <cellStyle name="20% - Accent1 2 3 4" xfId="392"/>
    <cellStyle name="20% - Accent1 2 4" xfId="79"/>
    <cellStyle name="20% - Accent1 2 4 2" xfId="393"/>
    <cellStyle name="20% - Accent1 2 4 2 2" xfId="394"/>
    <cellStyle name="20% - Accent1 2 4 2 3" xfId="395"/>
    <cellStyle name="20% - Accent1 2 4 2 3 2" xfId="3799"/>
    <cellStyle name="20% - Accent1 2 4 2 3 3" xfId="3800"/>
    <cellStyle name="20% - Accent1 2 4 2 4" xfId="3801"/>
    <cellStyle name="20% - Accent1 2 4 2 5" xfId="3802"/>
    <cellStyle name="20% - Accent1 2 4 2 6" xfId="3803"/>
    <cellStyle name="20% - Accent1 2 4 3" xfId="396"/>
    <cellStyle name="20% - Accent1 2 4 4" xfId="397"/>
    <cellStyle name="20% - Accent1 2 5" xfId="75"/>
    <cellStyle name="20% - Accent1 2 5 2" xfId="398"/>
    <cellStyle name="20% - Accent1 2 5 3" xfId="399"/>
    <cellStyle name="20% - Accent1 2 5 4" xfId="3804"/>
    <cellStyle name="20% - Accent1 2 6" xfId="400"/>
    <cellStyle name="20% - Accent1 2 6 2" xfId="3805"/>
    <cellStyle name="20% - Accent1 2 6 3" xfId="3806"/>
    <cellStyle name="20% - Accent1 2 6 4" xfId="3807"/>
    <cellStyle name="20% - Accent1 2 7" xfId="401"/>
    <cellStyle name="20% - Accent1 3" xfId="402"/>
    <cellStyle name="20% - Accent1 3 2" xfId="403"/>
    <cellStyle name="20% - Accent1 3 2 2" xfId="3808"/>
    <cellStyle name="20% - Accent1 3 2 3" xfId="3809"/>
    <cellStyle name="20% - Accent1 3 2 4" xfId="3810"/>
    <cellStyle name="20% - Accent1 3 3" xfId="404"/>
    <cellStyle name="20% - Accent1 3 3 2" xfId="3811"/>
    <cellStyle name="20% - Accent1 3 3 3" xfId="3812"/>
    <cellStyle name="20% - Accent1 3 4" xfId="3813"/>
    <cellStyle name="20% - Accent1 4" xfId="405"/>
    <cellStyle name="20% - Accent1 4 2" xfId="406"/>
    <cellStyle name="20% - Accent1 4 2 2" xfId="3814"/>
    <cellStyle name="20% - Accent1 4 2 3" xfId="3815"/>
    <cellStyle name="20% - Accent1 4 2 4" xfId="3816"/>
    <cellStyle name="20% - Accent1 4 3" xfId="407"/>
    <cellStyle name="20% - Accent1 4 3 2" xfId="3817"/>
    <cellStyle name="20% - Accent1 4 3 3" xfId="3818"/>
    <cellStyle name="20% - Accent1 4 4" xfId="3819"/>
    <cellStyle name="20% - Accent1 5" xfId="408"/>
    <cellStyle name="20% - Accent1 6" xfId="409"/>
    <cellStyle name="20% - Accent2 2" xfId="18"/>
    <cellStyle name="20% - Accent2 2 2" xfId="81"/>
    <cellStyle name="20% - Accent2 2 2 2" xfId="82"/>
    <cellStyle name="20% - Accent2 2 2 2 2" xfId="410"/>
    <cellStyle name="20% - Accent2 2 2 2 3" xfId="411"/>
    <cellStyle name="20% - Accent2 2 2 3" xfId="412"/>
    <cellStyle name="20% - Accent2 2 2 3 2" xfId="413"/>
    <cellStyle name="20% - Accent2 2 2 3 3" xfId="414"/>
    <cellStyle name="20% - Accent2 2 2 3 3 2" xfId="3820"/>
    <cellStyle name="20% - Accent2 2 2 3 3 3" xfId="3821"/>
    <cellStyle name="20% - Accent2 2 2 3 4" xfId="3822"/>
    <cellStyle name="20% - Accent2 2 2 3 5" xfId="3823"/>
    <cellStyle name="20% - Accent2 2 2 3 6" xfId="3824"/>
    <cellStyle name="20% - Accent2 2 2 4" xfId="415"/>
    <cellStyle name="20% - Accent2 2 2 4 2" xfId="3825"/>
    <cellStyle name="20% - Accent2 2 2 4 3" xfId="3826"/>
    <cellStyle name="20% - Accent2 2 2 4 4" xfId="3827"/>
    <cellStyle name="20% - Accent2 2 2 5" xfId="416"/>
    <cellStyle name="20% - Accent2 2 3" xfId="83"/>
    <cellStyle name="20% - Accent2 2 3 2" xfId="417"/>
    <cellStyle name="20% - Accent2 2 3 2 2" xfId="418"/>
    <cellStyle name="20% - Accent2 2 3 2 3" xfId="419"/>
    <cellStyle name="20% - Accent2 2 3 2 3 2" xfId="3828"/>
    <cellStyle name="20% - Accent2 2 3 2 3 3" xfId="3829"/>
    <cellStyle name="20% - Accent2 2 3 2 4" xfId="3830"/>
    <cellStyle name="20% - Accent2 2 3 2 5" xfId="3831"/>
    <cellStyle name="20% - Accent2 2 3 2 6" xfId="3832"/>
    <cellStyle name="20% - Accent2 2 3 3" xfId="420"/>
    <cellStyle name="20% - Accent2 2 3 4" xfId="421"/>
    <cellStyle name="20% - Accent2 2 4" xfId="84"/>
    <cellStyle name="20% - Accent2 2 4 2" xfId="422"/>
    <cellStyle name="20% - Accent2 2 4 2 2" xfId="423"/>
    <cellStyle name="20% - Accent2 2 4 2 3" xfId="424"/>
    <cellStyle name="20% - Accent2 2 4 2 3 2" xfId="3833"/>
    <cellStyle name="20% - Accent2 2 4 2 3 3" xfId="3834"/>
    <cellStyle name="20% - Accent2 2 4 2 4" xfId="3835"/>
    <cellStyle name="20% - Accent2 2 4 2 5" xfId="3836"/>
    <cellStyle name="20% - Accent2 2 4 2 6" xfId="3837"/>
    <cellStyle name="20% - Accent2 2 4 3" xfId="425"/>
    <cellStyle name="20% - Accent2 2 4 4" xfId="426"/>
    <cellStyle name="20% - Accent2 2 5" xfId="80"/>
    <cellStyle name="20% - Accent2 2 5 2" xfId="427"/>
    <cellStyle name="20% - Accent2 2 5 3" xfId="428"/>
    <cellStyle name="20% - Accent2 2 5 4" xfId="3838"/>
    <cellStyle name="20% - Accent2 2 6" xfId="429"/>
    <cellStyle name="20% - Accent2 2 6 2" xfId="3839"/>
    <cellStyle name="20% - Accent2 2 6 3" xfId="3840"/>
    <cellStyle name="20% - Accent2 2 6 4" xfId="3841"/>
    <cellStyle name="20% - Accent2 2 7" xfId="430"/>
    <cellStyle name="20% - Accent2 3" xfId="431"/>
    <cellStyle name="20% - Accent2 3 2" xfId="432"/>
    <cellStyle name="20% - Accent2 3 2 2" xfId="3842"/>
    <cellStyle name="20% - Accent2 3 2 3" xfId="3843"/>
    <cellStyle name="20% - Accent2 3 2 4" xfId="3844"/>
    <cellStyle name="20% - Accent2 3 3" xfId="433"/>
    <cellStyle name="20% - Accent2 3 3 2" xfId="3845"/>
    <cellStyle name="20% - Accent2 3 3 3" xfId="3846"/>
    <cellStyle name="20% - Accent2 3 4" xfId="3847"/>
    <cellStyle name="20% - Accent2 4" xfId="434"/>
    <cellStyle name="20% - Accent2 4 2" xfId="435"/>
    <cellStyle name="20% - Accent2 4 2 2" xfId="3848"/>
    <cellStyle name="20% - Accent2 4 2 3" xfId="3849"/>
    <cellStyle name="20% - Accent2 4 2 4" xfId="3850"/>
    <cellStyle name="20% - Accent2 4 3" xfId="436"/>
    <cellStyle name="20% - Accent2 4 3 2" xfId="3851"/>
    <cellStyle name="20% - Accent2 4 3 3" xfId="3852"/>
    <cellStyle name="20% - Accent2 4 4" xfId="3853"/>
    <cellStyle name="20% - Accent2 5" xfId="437"/>
    <cellStyle name="20% - Accent2 6" xfId="438"/>
    <cellStyle name="20% - Accent3 2" xfId="19"/>
    <cellStyle name="20% - Accent3 2 2" xfId="86"/>
    <cellStyle name="20% - Accent3 2 2 2" xfId="87"/>
    <cellStyle name="20% - Accent3 2 2 2 2" xfId="439"/>
    <cellStyle name="20% - Accent3 2 2 2 3" xfId="440"/>
    <cellStyle name="20% - Accent3 2 2 3" xfId="441"/>
    <cellStyle name="20% - Accent3 2 2 3 2" xfId="442"/>
    <cellStyle name="20% - Accent3 2 2 3 3" xfId="443"/>
    <cellStyle name="20% - Accent3 2 2 3 3 2" xfId="3854"/>
    <cellStyle name="20% - Accent3 2 2 3 3 3" xfId="3855"/>
    <cellStyle name="20% - Accent3 2 2 3 4" xfId="3856"/>
    <cellStyle name="20% - Accent3 2 2 3 5" xfId="3857"/>
    <cellStyle name="20% - Accent3 2 2 3 6" xfId="3858"/>
    <cellStyle name="20% - Accent3 2 2 4" xfId="444"/>
    <cellStyle name="20% - Accent3 2 2 4 2" xfId="3859"/>
    <cellStyle name="20% - Accent3 2 2 4 3" xfId="3860"/>
    <cellStyle name="20% - Accent3 2 2 4 4" xfId="3861"/>
    <cellStyle name="20% - Accent3 2 2 5" xfId="445"/>
    <cellStyle name="20% - Accent3 2 3" xfId="88"/>
    <cellStyle name="20% - Accent3 2 3 2" xfId="446"/>
    <cellStyle name="20% - Accent3 2 3 2 2" xfId="447"/>
    <cellStyle name="20% - Accent3 2 3 2 3" xfId="448"/>
    <cellStyle name="20% - Accent3 2 3 2 3 2" xfId="3862"/>
    <cellStyle name="20% - Accent3 2 3 2 3 3" xfId="3863"/>
    <cellStyle name="20% - Accent3 2 3 2 4" xfId="3864"/>
    <cellStyle name="20% - Accent3 2 3 2 5" xfId="3865"/>
    <cellStyle name="20% - Accent3 2 3 2 6" xfId="3866"/>
    <cellStyle name="20% - Accent3 2 3 3" xfId="449"/>
    <cellStyle name="20% - Accent3 2 3 4" xfId="450"/>
    <cellStyle name="20% - Accent3 2 4" xfId="89"/>
    <cellStyle name="20% - Accent3 2 4 2" xfId="451"/>
    <cellStyle name="20% - Accent3 2 4 2 2" xfId="452"/>
    <cellStyle name="20% - Accent3 2 4 2 3" xfId="453"/>
    <cellStyle name="20% - Accent3 2 4 2 3 2" xfId="3867"/>
    <cellStyle name="20% - Accent3 2 4 2 3 3" xfId="3868"/>
    <cellStyle name="20% - Accent3 2 4 2 4" xfId="3869"/>
    <cellStyle name="20% - Accent3 2 4 2 5" xfId="3870"/>
    <cellStyle name="20% - Accent3 2 4 2 6" xfId="3871"/>
    <cellStyle name="20% - Accent3 2 4 3" xfId="454"/>
    <cellStyle name="20% - Accent3 2 4 4" xfId="455"/>
    <cellStyle name="20% - Accent3 2 5" xfId="85"/>
    <cellStyle name="20% - Accent3 2 5 2" xfId="456"/>
    <cellStyle name="20% - Accent3 2 5 3" xfId="457"/>
    <cellStyle name="20% - Accent3 2 5 4" xfId="3872"/>
    <cellStyle name="20% - Accent3 2 6" xfId="458"/>
    <cellStyle name="20% - Accent3 2 6 2" xfId="3873"/>
    <cellStyle name="20% - Accent3 2 6 3" xfId="3874"/>
    <cellStyle name="20% - Accent3 2 6 4" xfId="3875"/>
    <cellStyle name="20% - Accent3 2 7" xfId="459"/>
    <cellStyle name="20% - Accent3 3" xfId="460"/>
    <cellStyle name="20% - Accent3 3 2" xfId="461"/>
    <cellStyle name="20% - Accent3 3 2 2" xfId="3876"/>
    <cellStyle name="20% - Accent3 3 2 3" xfId="3877"/>
    <cellStyle name="20% - Accent3 3 2 4" xfId="3878"/>
    <cellStyle name="20% - Accent3 3 3" xfId="462"/>
    <cellStyle name="20% - Accent3 3 3 2" xfId="3879"/>
    <cellStyle name="20% - Accent3 3 3 3" xfId="3880"/>
    <cellStyle name="20% - Accent3 3 4" xfId="3881"/>
    <cellStyle name="20% - Accent3 4" xfId="463"/>
    <cellStyle name="20% - Accent3 4 2" xfId="464"/>
    <cellStyle name="20% - Accent3 4 2 2" xfId="3882"/>
    <cellStyle name="20% - Accent3 4 2 3" xfId="3883"/>
    <cellStyle name="20% - Accent3 4 2 4" xfId="3884"/>
    <cellStyle name="20% - Accent3 4 3" xfId="465"/>
    <cellStyle name="20% - Accent3 4 3 2" xfId="3885"/>
    <cellStyle name="20% - Accent3 4 3 3" xfId="3886"/>
    <cellStyle name="20% - Accent3 4 4" xfId="3887"/>
    <cellStyle name="20% - Accent3 5" xfId="466"/>
    <cellStyle name="20% - Accent3 6" xfId="467"/>
    <cellStyle name="20% - Accent4 2" xfId="20"/>
    <cellStyle name="20% - Accent4 2 2" xfId="91"/>
    <cellStyle name="20% - Accent4 2 2 2" xfId="92"/>
    <cellStyle name="20% - Accent4 2 2 2 2" xfId="468"/>
    <cellStyle name="20% - Accent4 2 2 2 3" xfId="469"/>
    <cellStyle name="20% - Accent4 2 2 3" xfId="470"/>
    <cellStyle name="20% - Accent4 2 2 3 2" xfId="471"/>
    <cellStyle name="20% - Accent4 2 2 3 3" xfId="472"/>
    <cellStyle name="20% - Accent4 2 2 3 3 2" xfId="3888"/>
    <cellStyle name="20% - Accent4 2 2 3 3 3" xfId="3889"/>
    <cellStyle name="20% - Accent4 2 2 3 4" xfId="3890"/>
    <cellStyle name="20% - Accent4 2 2 3 5" xfId="3891"/>
    <cellStyle name="20% - Accent4 2 2 3 6" xfId="3892"/>
    <cellStyle name="20% - Accent4 2 2 4" xfId="473"/>
    <cellStyle name="20% - Accent4 2 2 4 2" xfId="3893"/>
    <cellStyle name="20% - Accent4 2 2 4 3" xfId="3894"/>
    <cellStyle name="20% - Accent4 2 2 4 4" xfId="3895"/>
    <cellStyle name="20% - Accent4 2 2 5" xfId="474"/>
    <cellStyle name="20% - Accent4 2 3" xfId="93"/>
    <cellStyle name="20% - Accent4 2 3 2" xfId="475"/>
    <cellStyle name="20% - Accent4 2 3 2 2" xfId="476"/>
    <cellStyle name="20% - Accent4 2 3 2 3" xfId="477"/>
    <cellStyle name="20% - Accent4 2 3 2 3 2" xfId="3896"/>
    <cellStyle name="20% - Accent4 2 3 2 3 3" xfId="3897"/>
    <cellStyle name="20% - Accent4 2 3 2 4" xfId="3898"/>
    <cellStyle name="20% - Accent4 2 3 2 5" xfId="3899"/>
    <cellStyle name="20% - Accent4 2 3 2 6" xfId="3900"/>
    <cellStyle name="20% - Accent4 2 3 3" xfId="478"/>
    <cellStyle name="20% - Accent4 2 3 4" xfId="479"/>
    <cellStyle name="20% - Accent4 2 4" xfId="94"/>
    <cellStyle name="20% - Accent4 2 4 2" xfId="480"/>
    <cellStyle name="20% - Accent4 2 4 2 2" xfId="481"/>
    <cellStyle name="20% - Accent4 2 4 2 3" xfId="482"/>
    <cellStyle name="20% - Accent4 2 4 2 3 2" xfId="3901"/>
    <cellStyle name="20% - Accent4 2 4 2 3 3" xfId="3902"/>
    <cellStyle name="20% - Accent4 2 4 2 4" xfId="3903"/>
    <cellStyle name="20% - Accent4 2 4 2 5" xfId="3904"/>
    <cellStyle name="20% - Accent4 2 4 2 6" xfId="3905"/>
    <cellStyle name="20% - Accent4 2 4 3" xfId="483"/>
    <cellStyle name="20% - Accent4 2 4 4" xfId="484"/>
    <cellStyle name="20% - Accent4 2 5" xfId="90"/>
    <cellStyle name="20% - Accent4 2 5 2" xfId="485"/>
    <cellStyle name="20% - Accent4 2 5 3" xfId="486"/>
    <cellStyle name="20% - Accent4 2 5 4" xfId="3906"/>
    <cellStyle name="20% - Accent4 2 6" xfId="487"/>
    <cellStyle name="20% - Accent4 2 6 2" xfId="3907"/>
    <cellStyle name="20% - Accent4 2 6 3" xfId="3908"/>
    <cellStyle name="20% - Accent4 2 6 4" xfId="3909"/>
    <cellStyle name="20% - Accent4 2 7" xfId="488"/>
    <cellStyle name="20% - Accent4 3" xfId="489"/>
    <cellStyle name="20% - Accent4 3 2" xfId="490"/>
    <cellStyle name="20% - Accent4 3 2 2" xfId="3910"/>
    <cellStyle name="20% - Accent4 3 2 3" xfId="3911"/>
    <cellStyle name="20% - Accent4 3 2 4" xfId="3912"/>
    <cellStyle name="20% - Accent4 3 3" xfId="491"/>
    <cellStyle name="20% - Accent4 3 3 2" xfId="3913"/>
    <cellStyle name="20% - Accent4 3 3 3" xfId="3914"/>
    <cellStyle name="20% - Accent4 3 4" xfId="3915"/>
    <cellStyle name="20% - Accent4 4" xfId="492"/>
    <cellStyle name="20% - Accent4 4 2" xfId="493"/>
    <cellStyle name="20% - Accent4 4 2 2" xfId="3916"/>
    <cellStyle name="20% - Accent4 4 2 3" xfId="3917"/>
    <cellStyle name="20% - Accent4 4 2 4" xfId="3918"/>
    <cellStyle name="20% - Accent4 4 3" xfId="494"/>
    <cellStyle name="20% - Accent4 4 3 2" xfId="3919"/>
    <cellStyle name="20% - Accent4 4 3 3" xfId="3920"/>
    <cellStyle name="20% - Accent4 4 4" xfId="3921"/>
    <cellStyle name="20% - Accent4 5" xfId="495"/>
    <cellStyle name="20% - Accent4 6" xfId="496"/>
    <cellStyle name="20% - Accent5 2" xfId="21"/>
    <cellStyle name="20% - Accent5 2 2" xfId="96"/>
    <cellStyle name="20% - Accent5 2 2 2" xfId="97"/>
    <cellStyle name="20% - Accent5 2 2 2 2" xfId="497"/>
    <cellStyle name="20% - Accent5 2 2 2 3" xfId="498"/>
    <cellStyle name="20% - Accent5 2 2 3" xfId="499"/>
    <cellStyle name="20% - Accent5 2 2 3 2" xfId="500"/>
    <cellStyle name="20% - Accent5 2 2 3 3" xfId="501"/>
    <cellStyle name="20% - Accent5 2 2 3 3 2" xfId="3922"/>
    <cellStyle name="20% - Accent5 2 2 3 3 3" xfId="3923"/>
    <cellStyle name="20% - Accent5 2 2 3 4" xfId="3924"/>
    <cellStyle name="20% - Accent5 2 2 3 5" xfId="3925"/>
    <cellStyle name="20% - Accent5 2 2 3 6" xfId="3926"/>
    <cellStyle name="20% - Accent5 2 2 4" xfId="502"/>
    <cellStyle name="20% - Accent5 2 2 4 2" xfId="3927"/>
    <cellStyle name="20% - Accent5 2 2 4 3" xfId="3928"/>
    <cellStyle name="20% - Accent5 2 2 4 4" xfId="3929"/>
    <cellStyle name="20% - Accent5 2 2 5" xfId="503"/>
    <cellStyle name="20% - Accent5 2 3" xfId="98"/>
    <cellStyle name="20% - Accent5 2 3 2" xfId="504"/>
    <cellStyle name="20% - Accent5 2 3 2 2" xfId="505"/>
    <cellStyle name="20% - Accent5 2 3 2 3" xfId="506"/>
    <cellStyle name="20% - Accent5 2 3 2 3 2" xfId="3930"/>
    <cellStyle name="20% - Accent5 2 3 2 3 3" xfId="3931"/>
    <cellStyle name="20% - Accent5 2 3 2 4" xfId="3932"/>
    <cellStyle name="20% - Accent5 2 3 2 5" xfId="3933"/>
    <cellStyle name="20% - Accent5 2 3 2 6" xfId="3934"/>
    <cellStyle name="20% - Accent5 2 3 3" xfId="507"/>
    <cellStyle name="20% - Accent5 2 3 4" xfId="508"/>
    <cellStyle name="20% - Accent5 2 4" xfId="99"/>
    <cellStyle name="20% - Accent5 2 4 2" xfId="509"/>
    <cellStyle name="20% - Accent5 2 4 2 2" xfId="510"/>
    <cellStyle name="20% - Accent5 2 4 2 3" xfId="511"/>
    <cellStyle name="20% - Accent5 2 4 2 3 2" xfId="3935"/>
    <cellStyle name="20% - Accent5 2 4 2 3 3" xfId="3936"/>
    <cellStyle name="20% - Accent5 2 4 2 4" xfId="3937"/>
    <cellStyle name="20% - Accent5 2 4 2 5" xfId="3938"/>
    <cellStyle name="20% - Accent5 2 4 2 6" xfId="3939"/>
    <cellStyle name="20% - Accent5 2 4 3" xfId="512"/>
    <cellStyle name="20% - Accent5 2 4 4" xfId="513"/>
    <cellStyle name="20% - Accent5 2 5" xfId="95"/>
    <cellStyle name="20% - Accent5 2 5 2" xfId="514"/>
    <cellStyle name="20% - Accent5 2 5 3" xfId="515"/>
    <cellStyle name="20% - Accent5 2 5 4" xfId="3940"/>
    <cellStyle name="20% - Accent5 2 6" xfId="516"/>
    <cellStyle name="20% - Accent5 2 7" xfId="517"/>
    <cellStyle name="20% - Accent5 3" xfId="518"/>
    <cellStyle name="20% - Accent5 3 2" xfId="519"/>
    <cellStyle name="20% - Accent5 3 2 2" xfId="3941"/>
    <cellStyle name="20% - Accent5 3 2 3" xfId="3942"/>
    <cellStyle name="20% - Accent5 3 2 4" xfId="3943"/>
    <cellStyle name="20% - Accent5 3 3" xfId="520"/>
    <cellStyle name="20% - Accent5 3 3 2" xfId="3944"/>
    <cellStyle name="20% - Accent5 3 3 3" xfId="3945"/>
    <cellStyle name="20% - Accent5 3 4" xfId="3946"/>
    <cellStyle name="20% - Accent5 4" xfId="521"/>
    <cellStyle name="20% - Accent5 4 2" xfId="3947"/>
    <cellStyle name="20% - Accent5 5" xfId="522"/>
    <cellStyle name="20% - Accent6 2" xfId="22"/>
    <cellStyle name="20% - Accent6 2 2" xfId="101"/>
    <cellStyle name="20% - Accent6 2 2 2" xfId="102"/>
    <cellStyle name="20% - Accent6 2 2 2 2" xfId="523"/>
    <cellStyle name="20% - Accent6 2 2 2 3" xfId="524"/>
    <cellStyle name="20% - Accent6 2 2 3" xfId="525"/>
    <cellStyle name="20% - Accent6 2 2 3 2" xfId="526"/>
    <cellStyle name="20% - Accent6 2 2 3 3" xfId="527"/>
    <cellStyle name="20% - Accent6 2 2 3 3 2" xfId="3948"/>
    <cellStyle name="20% - Accent6 2 2 3 3 3" xfId="3949"/>
    <cellStyle name="20% - Accent6 2 2 3 4" xfId="3950"/>
    <cellStyle name="20% - Accent6 2 2 3 5" xfId="3951"/>
    <cellStyle name="20% - Accent6 2 2 3 6" xfId="3952"/>
    <cellStyle name="20% - Accent6 2 2 4" xfId="528"/>
    <cellStyle name="20% - Accent6 2 2 4 2" xfId="3953"/>
    <cellStyle name="20% - Accent6 2 2 4 3" xfId="3954"/>
    <cellStyle name="20% - Accent6 2 2 4 4" xfId="3955"/>
    <cellStyle name="20% - Accent6 2 2 5" xfId="529"/>
    <cellStyle name="20% - Accent6 2 3" xfId="103"/>
    <cellStyle name="20% - Accent6 2 3 2" xfId="530"/>
    <cellStyle name="20% - Accent6 2 3 2 2" xfId="531"/>
    <cellStyle name="20% - Accent6 2 3 2 3" xfId="532"/>
    <cellStyle name="20% - Accent6 2 3 2 3 2" xfId="3956"/>
    <cellStyle name="20% - Accent6 2 3 2 3 3" xfId="3957"/>
    <cellStyle name="20% - Accent6 2 3 2 4" xfId="3958"/>
    <cellStyle name="20% - Accent6 2 3 2 5" xfId="3959"/>
    <cellStyle name="20% - Accent6 2 3 2 6" xfId="3960"/>
    <cellStyle name="20% - Accent6 2 3 3" xfId="533"/>
    <cellStyle name="20% - Accent6 2 3 4" xfId="534"/>
    <cellStyle name="20% - Accent6 2 4" xfId="104"/>
    <cellStyle name="20% - Accent6 2 4 2" xfId="535"/>
    <cellStyle name="20% - Accent6 2 4 2 2" xfId="536"/>
    <cellStyle name="20% - Accent6 2 4 2 3" xfId="537"/>
    <cellStyle name="20% - Accent6 2 4 2 3 2" xfId="3961"/>
    <cellStyle name="20% - Accent6 2 4 2 3 3" xfId="3962"/>
    <cellStyle name="20% - Accent6 2 4 2 4" xfId="3963"/>
    <cellStyle name="20% - Accent6 2 4 2 5" xfId="3964"/>
    <cellStyle name="20% - Accent6 2 4 2 6" xfId="3965"/>
    <cellStyle name="20% - Accent6 2 4 3" xfId="538"/>
    <cellStyle name="20% - Accent6 2 4 4" xfId="539"/>
    <cellStyle name="20% - Accent6 2 5" xfId="100"/>
    <cellStyle name="20% - Accent6 2 5 2" xfId="540"/>
    <cellStyle name="20% - Accent6 2 5 3" xfId="541"/>
    <cellStyle name="20% - Accent6 2 5 4" xfId="3966"/>
    <cellStyle name="20% - Accent6 2 6" xfId="542"/>
    <cellStyle name="20% - Accent6 2 6 2" xfId="3967"/>
    <cellStyle name="20% - Accent6 2 6 3" xfId="3968"/>
    <cellStyle name="20% - Accent6 2 6 4" xfId="3969"/>
    <cellStyle name="20% - Accent6 2 7" xfId="543"/>
    <cellStyle name="20% - Accent6 3" xfId="544"/>
    <cellStyle name="20% - Accent6 3 2" xfId="545"/>
    <cellStyle name="20% - Accent6 3 2 2" xfId="3970"/>
    <cellStyle name="20% - Accent6 3 2 3" xfId="3971"/>
    <cellStyle name="20% - Accent6 3 2 4" xfId="3972"/>
    <cellStyle name="20% - Accent6 3 3" xfId="546"/>
    <cellStyle name="20% - Accent6 3 3 2" xfId="3973"/>
    <cellStyle name="20% - Accent6 3 3 3" xfId="3974"/>
    <cellStyle name="20% - Accent6 3 4" xfId="3975"/>
    <cellStyle name="20% - Accent6 4" xfId="547"/>
    <cellStyle name="20% - Accent6 4 2" xfId="548"/>
    <cellStyle name="20% - Accent6 4 2 2" xfId="3976"/>
    <cellStyle name="20% - Accent6 4 2 3" xfId="3977"/>
    <cellStyle name="20% - Accent6 4 2 4" xfId="3978"/>
    <cellStyle name="20% - Accent6 4 3" xfId="549"/>
    <cellStyle name="20% - Accent6 4 3 2" xfId="3979"/>
    <cellStyle name="20% - Accent6 4 3 3" xfId="3980"/>
    <cellStyle name="20% - Accent6 4 4" xfId="3981"/>
    <cellStyle name="20% - Accent6 5" xfId="550"/>
    <cellStyle name="20% - Accent6 6" xfId="551"/>
    <cellStyle name="40% - Accent1 2" xfId="23"/>
    <cellStyle name="40% - Accent1 2 2" xfId="106"/>
    <cellStyle name="40% - Accent1 2 2 2" xfId="107"/>
    <cellStyle name="40% - Accent1 2 2 2 2" xfId="552"/>
    <cellStyle name="40% - Accent1 2 2 2 3" xfId="553"/>
    <cellStyle name="40% - Accent1 2 2 3" xfId="554"/>
    <cellStyle name="40% - Accent1 2 2 3 2" xfId="555"/>
    <cellStyle name="40% - Accent1 2 2 3 3" xfId="556"/>
    <cellStyle name="40% - Accent1 2 2 3 3 2" xfId="3982"/>
    <cellStyle name="40% - Accent1 2 2 3 3 3" xfId="3983"/>
    <cellStyle name="40% - Accent1 2 2 3 4" xfId="3984"/>
    <cellStyle name="40% - Accent1 2 2 3 5" xfId="3985"/>
    <cellStyle name="40% - Accent1 2 2 3 6" xfId="3986"/>
    <cellStyle name="40% - Accent1 2 2 4" xfId="557"/>
    <cellStyle name="40% - Accent1 2 2 4 2" xfId="3987"/>
    <cellStyle name="40% - Accent1 2 2 4 3" xfId="3988"/>
    <cellStyle name="40% - Accent1 2 2 4 4" xfId="3989"/>
    <cellStyle name="40% - Accent1 2 2 5" xfId="558"/>
    <cellStyle name="40% - Accent1 2 3" xfId="108"/>
    <cellStyle name="40% - Accent1 2 3 2" xfId="559"/>
    <cellStyle name="40% - Accent1 2 3 2 2" xfId="560"/>
    <cellStyle name="40% - Accent1 2 3 2 3" xfId="561"/>
    <cellStyle name="40% - Accent1 2 3 2 3 2" xfId="3990"/>
    <cellStyle name="40% - Accent1 2 3 2 3 3" xfId="3991"/>
    <cellStyle name="40% - Accent1 2 3 2 4" xfId="3992"/>
    <cellStyle name="40% - Accent1 2 3 2 5" xfId="3993"/>
    <cellStyle name="40% - Accent1 2 3 2 6" xfId="3994"/>
    <cellStyle name="40% - Accent1 2 3 3" xfId="562"/>
    <cellStyle name="40% - Accent1 2 3 4" xfId="563"/>
    <cellStyle name="40% - Accent1 2 4" xfId="109"/>
    <cellStyle name="40% - Accent1 2 4 2" xfId="564"/>
    <cellStyle name="40% - Accent1 2 4 2 2" xfId="565"/>
    <cellStyle name="40% - Accent1 2 4 2 3" xfId="566"/>
    <cellStyle name="40% - Accent1 2 4 2 3 2" xfId="3995"/>
    <cellStyle name="40% - Accent1 2 4 2 3 3" xfId="3996"/>
    <cellStyle name="40% - Accent1 2 4 2 4" xfId="3997"/>
    <cellStyle name="40% - Accent1 2 4 2 5" xfId="3998"/>
    <cellStyle name="40% - Accent1 2 4 2 6" xfId="3999"/>
    <cellStyle name="40% - Accent1 2 4 3" xfId="567"/>
    <cellStyle name="40% - Accent1 2 4 4" xfId="568"/>
    <cellStyle name="40% - Accent1 2 5" xfId="105"/>
    <cellStyle name="40% - Accent1 2 5 2" xfId="569"/>
    <cellStyle name="40% - Accent1 2 5 3" xfId="570"/>
    <cellStyle name="40% - Accent1 2 5 4" xfId="4000"/>
    <cellStyle name="40% - Accent1 2 6" xfId="571"/>
    <cellStyle name="40% - Accent1 2 6 2" xfId="4001"/>
    <cellStyle name="40% - Accent1 2 6 3" xfId="4002"/>
    <cellStyle name="40% - Accent1 2 6 4" xfId="4003"/>
    <cellStyle name="40% - Accent1 2 7" xfId="572"/>
    <cellStyle name="40% - Accent1 3" xfId="573"/>
    <cellStyle name="40% - Accent1 3 2" xfId="574"/>
    <cellStyle name="40% - Accent1 3 2 2" xfId="4004"/>
    <cellStyle name="40% - Accent1 3 2 3" xfId="4005"/>
    <cellStyle name="40% - Accent1 3 2 4" xfId="4006"/>
    <cellStyle name="40% - Accent1 3 3" xfId="575"/>
    <cellStyle name="40% - Accent1 3 3 2" xfId="4007"/>
    <cellStyle name="40% - Accent1 3 3 3" xfId="4008"/>
    <cellStyle name="40% - Accent1 3 4" xfId="4009"/>
    <cellStyle name="40% - Accent1 4" xfId="576"/>
    <cellStyle name="40% - Accent1 4 2" xfId="577"/>
    <cellStyle name="40% - Accent1 4 2 2" xfId="4010"/>
    <cellStyle name="40% - Accent1 4 2 3" xfId="4011"/>
    <cellStyle name="40% - Accent1 4 2 4" xfId="4012"/>
    <cellStyle name="40% - Accent1 4 3" xfId="578"/>
    <cellStyle name="40% - Accent1 4 3 2" xfId="4013"/>
    <cellStyle name="40% - Accent1 4 3 3" xfId="4014"/>
    <cellStyle name="40% - Accent1 4 4" xfId="4015"/>
    <cellStyle name="40% - Accent1 5" xfId="579"/>
    <cellStyle name="40% - Accent1 6" xfId="580"/>
    <cellStyle name="40% - Accent2 2" xfId="24"/>
    <cellStyle name="40% - Accent2 2 2" xfId="111"/>
    <cellStyle name="40% - Accent2 2 2 2" xfId="112"/>
    <cellStyle name="40% - Accent2 2 2 2 2" xfId="581"/>
    <cellStyle name="40% - Accent2 2 2 2 3" xfId="582"/>
    <cellStyle name="40% - Accent2 2 2 3" xfId="583"/>
    <cellStyle name="40% - Accent2 2 2 3 2" xfId="584"/>
    <cellStyle name="40% - Accent2 2 2 3 3" xfId="585"/>
    <cellStyle name="40% - Accent2 2 2 3 3 2" xfId="4016"/>
    <cellStyle name="40% - Accent2 2 2 3 3 3" xfId="4017"/>
    <cellStyle name="40% - Accent2 2 2 3 4" xfId="4018"/>
    <cellStyle name="40% - Accent2 2 2 3 5" xfId="4019"/>
    <cellStyle name="40% - Accent2 2 2 3 6" xfId="4020"/>
    <cellStyle name="40% - Accent2 2 2 4" xfId="586"/>
    <cellStyle name="40% - Accent2 2 2 4 2" xfId="4021"/>
    <cellStyle name="40% - Accent2 2 2 4 3" xfId="4022"/>
    <cellStyle name="40% - Accent2 2 2 4 4" xfId="4023"/>
    <cellStyle name="40% - Accent2 2 2 5" xfId="587"/>
    <cellStyle name="40% - Accent2 2 3" xfId="113"/>
    <cellStyle name="40% - Accent2 2 3 2" xfId="588"/>
    <cellStyle name="40% - Accent2 2 3 2 2" xfId="589"/>
    <cellStyle name="40% - Accent2 2 3 2 3" xfId="590"/>
    <cellStyle name="40% - Accent2 2 3 2 3 2" xfId="4024"/>
    <cellStyle name="40% - Accent2 2 3 2 3 3" xfId="4025"/>
    <cellStyle name="40% - Accent2 2 3 2 4" xfId="4026"/>
    <cellStyle name="40% - Accent2 2 3 2 5" xfId="4027"/>
    <cellStyle name="40% - Accent2 2 3 2 6" xfId="4028"/>
    <cellStyle name="40% - Accent2 2 3 3" xfId="591"/>
    <cellStyle name="40% - Accent2 2 3 4" xfId="592"/>
    <cellStyle name="40% - Accent2 2 4" xfId="114"/>
    <cellStyle name="40% - Accent2 2 4 2" xfId="593"/>
    <cellStyle name="40% - Accent2 2 4 2 2" xfId="594"/>
    <cellStyle name="40% - Accent2 2 4 2 3" xfId="595"/>
    <cellStyle name="40% - Accent2 2 4 2 3 2" xfId="4029"/>
    <cellStyle name="40% - Accent2 2 4 2 3 3" xfId="4030"/>
    <cellStyle name="40% - Accent2 2 4 2 4" xfId="4031"/>
    <cellStyle name="40% - Accent2 2 4 2 5" xfId="4032"/>
    <cellStyle name="40% - Accent2 2 4 2 6" xfId="4033"/>
    <cellStyle name="40% - Accent2 2 4 3" xfId="596"/>
    <cellStyle name="40% - Accent2 2 4 4" xfId="597"/>
    <cellStyle name="40% - Accent2 2 5" xfId="110"/>
    <cellStyle name="40% - Accent2 2 5 2" xfId="598"/>
    <cellStyle name="40% - Accent2 2 5 3" xfId="599"/>
    <cellStyle name="40% - Accent2 2 5 4" xfId="4034"/>
    <cellStyle name="40% - Accent2 2 6" xfId="600"/>
    <cellStyle name="40% - Accent2 2 7" xfId="601"/>
    <cellStyle name="40% - Accent2 3" xfId="602"/>
    <cellStyle name="40% - Accent2 3 2" xfId="603"/>
    <cellStyle name="40% - Accent2 3 2 2" xfId="4035"/>
    <cellStyle name="40% - Accent2 3 2 3" xfId="4036"/>
    <cellStyle name="40% - Accent2 3 2 4" xfId="4037"/>
    <cellStyle name="40% - Accent2 3 3" xfId="604"/>
    <cellStyle name="40% - Accent2 3 3 2" xfId="4038"/>
    <cellStyle name="40% - Accent2 3 3 3" xfId="4039"/>
    <cellStyle name="40% - Accent2 3 4" xfId="4040"/>
    <cellStyle name="40% - Accent2 4" xfId="605"/>
    <cellStyle name="40% - Accent2 4 2" xfId="4041"/>
    <cellStyle name="40% - Accent2 5" xfId="606"/>
    <cellStyle name="40% - Accent3 2" xfId="25"/>
    <cellStyle name="40% - Accent3 2 2" xfId="116"/>
    <cellStyle name="40% - Accent3 2 2 2" xfId="117"/>
    <cellStyle name="40% - Accent3 2 2 2 2" xfId="607"/>
    <cellStyle name="40% - Accent3 2 2 2 3" xfId="608"/>
    <cellStyle name="40% - Accent3 2 2 3" xfId="609"/>
    <cellStyle name="40% - Accent3 2 2 3 2" xfId="610"/>
    <cellStyle name="40% - Accent3 2 2 3 3" xfId="611"/>
    <cellStyle name="40% - Accent3 2 2 3 3 2" xfId="4042"/>
    <cellStyle name="40% - Accent3 2 2 3 3 3" xfId="4043"/>
    <cellStyle name="40% - Accent3 2 2 3 4" xfId="4044"/>
    <cellStyle name="40% - Accent3 2 2 3 5" xfId="4045"/>
    <cellStyle name="40% - Accent3 2 2 3 6" xfId="4046"/>
    <cellStyle name="40% - Accent3 2 2 4" xfId="612"/>
    <cellStyle name="40% - Accent3 2 2 4 2" xfId="4047"/>
    <cellStyle name="40% - Accent3 2 2 4 3" xfId="4048"/>
    <cellStyle name="40% - Accent3 2 2 4 4" xfId="4049"/>
    <cellStyle name="40% - Accent3 2 2 5" xfId="613"/>
    <cellStyle name="40% - Accent3 2 3" xfId="118"/>
    <cellStyle name="40% - Accent3 2 3 2" xfId="614"/>
    <cellStyle name="40% - Accent3 2 3 2 2" xfId="615"/>
    <cellStyle name="40% - Accent3 2 3 2 3" xfId="616"/>
    <cellStyle name="40% - Accent3 2 3 2 3 2" xfId="4050"/>
    <cellStyle name="40% - Accent3 2 3 2 3 3" xfId="4051"/>
    <cellStyle name="40% - Accent3 2 3 2 4" xfId="4052"/>
    <cellStyle name="40% - Accent3 2 3 2 5" xfId="4053"/>
    <cellStyle name="40% - Accent3 2 3 2 6" xfId="4054"/>
    <cellStyle name="40% - Accent3 2 3 3" xfId="617"/>
    <cellStyle name="40% - Accent3 2 3 4" xfId="618"/>
    <cellStyle name="40% - Accent3 2 4" xfId="119"/>
    <cellStyle name="40% - Accent3 2 4 2" xfId="619"/>
    <cellStyle name="40% - Accent3 2 4 2 2" xfId="620"/>
    <cellStyle name="40% - Accent3 2 4 2 3" xfId="621"/>
    <cellStyle name="40% - Accent3 2 4 2 3 2" xfId="4055"/>
    <cellStyle name="40% - Accent3 2 4 2 3 3" xfId="4056"/>
    <cellStyle name="40% - Accent3 2 4 2 4" xfId="4057"/>
    <cellStyle name="40% - Accent3 2 4 2 5" xfId="4058"/>
    <cellStyle name="40% - Accent3 2 4 2 6" xfId="4059"/>
    <cellStyle name="40% - Accent3 2 4 3" xfId="622"/>
    <cellStyle name="40% - Accent3 2 4 4" xfId="623"/>
    <cellStyle name="40% - Accent3 2 5" xfId="115"/>
    <cellStyle name="40% - Accent3 2 5 2" xfId="624"/>
    <cellStyle name="40% - Accent3 2 5 3" xfId="625"/>
    <cellStyle name="40% - Accent3 2 5 4" xfId="4060"/>
    <cellStyle name="40% - Accent3 2 6" xfId="626"/>
    <cellStyle name="40% - Accent3 2 6 2" xfId="4061"/>
    <cellStyle name="40% - Accent3 2 6 3" xfId="4062"/>
    <cellStyle name="40% - Accent3 2 6 4" xfId="4063"/>
    <cellStyle name="40% - Accent3 2 7" xfId="627"/>
    <cellStyle name="40% - Accent3 3" xfId="628"/>
    <cellStyle name="40% - Accent3 3 2" xfId="629"/>
    <cellStyle name="40% - Accent3 3 2 2" xfId="4064"/>
    <cellStyle name="40% - Accent3 3 2 3" xfId="4065"/>
    <cellStyle name="40% - Accent3 3 2 4" xfId="4066"/>
    <cellStyle name="40% - Accent3 3 3" xfId="630"/>
    <cellStyle name="40% - Accent3 3 3 2" xfId="4067"/>
    <cellStyle name="40% - Accent3 3 3 3" xfId="4068"/>
    <cellStyle name="40% - Accent3 3 4" xfId="4069"/>
    <cellStyle name="40% - Accent3 4" xfId="631"/>
    <cellStyle name="40% - Accent3 4 2" xfId="632"/>
    <cellStyle name="40% - Accent3 4 2 2" xfId="4070"/>
    <cellStyle name="40% - Accent3 4 2 3" xfId="4071"/>
    <cellStyle name="40% - Accent3 4 2 4" xfId="4072"/>
    <cellStyle name="40% - Accent3 4 3" xfId="633"/>
    <cellStyle name="40% - Accent3 4 3 2" xfId="4073"/>
    <cellStyle name="40% - Accent3 4 3 3" xfId="4074"/>
    <cellStyle name="40% - Accent3 4 4" xfId="4075"/>
    <cellStyle name="40% - Accent3 5" xfId="634"/>
    <cellStyle name="40% - Accent3 6" xfId="635"/>
    <cellStyle name="40% - Accent4 2" xfId="26"/>
    <cellStyle name="40% - Accent4 2 2" xfId="121"/>
    <cellStyle name="40% - Accent4 2 2 2" xfId="122"/>
    <cellStyle name="40% - Accent4 2 2 2 2" xfId="636"/>
    <cellStyle name="40% - Accent4 2 2 2 3" xfId="637"/>
    <cellStyle name="40% - Accent4 2 2 3" xfId="638"/>
    <cellStyle name="40% - Accent4 2 2 3 2" xfId="639"/>
    <cellStyle name="40% - Accent4 2 2 3 3" xfId="640"/>
    <cellStyle name="40% - Accent4 2 2 3 3 2" xfId="4076"/>
    <cellStyle name="40% - Accent4 2 2 3 3 3" xfId="4077"/>
    <cellStyle name="40% - Accent4 2 2 3 4" xfId="4078"/>
    <cellStyle name="40% - Accent4 2 2 3 5" xfId="4079"/>
    <cellStyle name="40% - Accent4 2 2 3 6" xfId="4080"/>
    <cellStyle name="40% - Accent4 2 2 4" xfId="641"/>
    <cellStyle name="40% - Accent4 2 2 4 2" xfId="4081"/>
    <cellStyle name="40% - Accent4 2 2 4 3" xfId="4082"/>
    <cellStyle name="40% - Accent4 2 2 4 4" xfId="4083"/>
    <cellStyle name="40% - Accent4 2 2 5" xfId="642"/>
    <cellStyle name="40% - Accent4 2 3" xfId="123"/>
    <cellStyle name="40% - Accent4 2 3 2" xfId="643"/>
    <cellStyle name="40% - Accent4 2 3 2 2" xfId="644"/>
    <cellStyle name="40% - Accent4 2 3 2 3" xfId="645"/>
    <cellStyle name="40% - Accent4 2 3 2 3 2" xfId="4084"/>
    <cellStyle name="40% - Accent4 2 3 2 3 3" xfId="4085"/>
    <cellStyle name="40% - Accent4 2 3 2 4" xfId="4086"/>
    <cellStyle name="40% - Accent4 2 3 2 5" xfId="4087"/>
    <cellStyle name="40% - Accent4 2 3 2 6" xfId="4088"/>
    <cellStyle name="40% - Accent4 2 3 3" xfId="646"/>
    <cellStyle name="40% - Accent4 2 3 4" xfId="647"/>
    <cellStyle name="40% - Accent4 2 4" xfId="124"/>
    <cellStyle name="40% - Accent4 2 4 2" xfId="648"/>
    <cellStyle name="40% - Accent4 2 4 2 2" xfId="649"/>
    <cellStyle name="40% - Accent4 2 4 2 3" xfId="650"/>
    <cellStyle name="40% - Accent4 2 4 2 3 2" xfId="4089"/>
    <cellStyle name="40% - Accent4 2 4 2 3 3" xfId="4090"/>
    <cellStyle name="40% - Accent4 2 4 2 4" xfId="4091"/>
    <cellStyle name="40% - Accent4 2 4 2 5" xfId="4092"/>
    <cellStyle name="40% - Accent4 2 4 2 6" xfId="4093"/>
    <cellStyle name="40% - Accent4 2 4 3" xfId="651"/>
    <cellStyle name="40% - Accent4 2 4 4" xfId="652"/>
    <cellStyle name="40% - Accent4 2 5" xfId="120"/>
    <cellStyle name="40% - Accent4 2 5 2" xfId="653"/>
    <cellStyle name="40% - Accent4 2 5 3" xfId="654"/>
    <cellStyle name="40% - Accent4 2 5 4" xfId="4094"/>
    <cellStyle name="40% - Accent4 2 6" xfId="655"/>
    <cellStyle name="40% - Accent4 2 6 2" xfId="4095"/>
    <cellStyle name="40% - Accent4 2 6 3" xfId="4096"/>
    <cellStyle name="40% - Accent4 2 6 4" xfId="4097"/>
    <cellStyle name="40% - Accent4 2 7" xfId="656"/>
    <cellStyle name="40% - Accent4 3" xfId="657"/>
    <cellStyle name="40% - Accent4 3 2" xfId="658"/>
    <cellStyle name="40% - Accent4 3 2 2" xfId="4098"/>
    <cellStyle name="40% - Accent4 3 2 3" xfId="4099"/>
    <cellStyle name="40% - Accent4 3 2 4" xfId="4100"/>
    <cellStyle name="40% - Accent4 3 3" xfId="659"/>
    <cellStyle name="40% - Accent4 3 3 2" xfId="4101"/>
    <cellStyle name="40% - Accent4 3 3 3" xfId="4102"/>
    <cellStyle name="40% - Accent4 3 4" xfId="4103"/>
    <cellStyle name="40% - Accent4 4" xfId="660"/>
    <cellStyle name="40% - Accent4 4 2" xfId="661"/>
    <cellStyle name="40% - Accent4 4 2 2" xfId="4104"/>
    <cellStyle name="40% - Accent4 4 2 3" xfId="4105"/>
    <cellStyle name="40% - Accent4 4 2 4" xfId="4106"/>
    <cellStyle name="40% - Accent4 4 3" xfId="662"/>
    <cellStyle name="40% - Accent4 4 3 2" xfId="4107"/>
    <cellStyle name="40% - Accent4 4 3 3" xfId="4108"/>
    <cellStyle name="40% - Accent4 4 4" xfId="4109"/>
    <cellStyle name="40% - Accent4 5" xfId="663"/>
    <cellStyle name="40% - Accent4 6" xfId="664"/>
    <cellStyle name="40% - Accent5 2" xfId="27"/>
    <cellStyle name="40% - Accent5 2 2" xfId="126"/>
    <cellStyle name="40% - Accent5 2 2 2" xfId="127"/>
    <cellStyle name="40% - Accent5 2 2 2 2" xfId="665"/>
    <cellStyle name="40% - Accent5 2 2 2 3" xfId="666"/>
    <cellStyle name="40% - Accent5 2 2 3" xfId="667"/>
    <cellStyle name="40% - Accent5 2 2 3 2" xfId="668"/>
    <cellStyle name="40% - Accent5 2 2 3 3" xfId="669"/>
    <cellStyle name="40% - Accent5 2 2 3 3 2" xfId="4110"/>
    <cellStyle name="40% - Accent5 2 2 3 3 3" xfId="4111"/>
    <cellStyle name="40% - Accent5 2 2 3 4" xfId="4112"/>
    <cellStyle name="40% - Accent5 2 2 3 5" xfId="4113"/>
    <cellStyle name="40% - Accent5 2 2 3 6" xfId="4114"/>
    <cellStyle name="40% - Accent5 2 2 4" xfId="670"/>
    <cellStyle name="40% - Accent5 2 2 4 2" xfId="4115"/>
    <cellStyle name="40% - Accent5 2 2 4 3" xfId="4116"/>
    <cellStyle name="40% - Accent5 2 2 4 4" xfId="4117"/>
    <cellStyle name="40% - Accent5 2 2 5" xfId="671"/>
    <cellStyle name="40% - Accent5 2 3" xfId="128"/>
    <cellStyle name="40% - Accent5 2 3 2" xfId="672"/>
    <cellStyle name="40% - Accent5 2 3 2 2" xfId="673"/>
    <cellStyle name="40% - Accent5 2 3 2 3" xfId="674"/>
    <cellStyle name="40% - Accent5 2 3 2 3 2" xfId="4118"/>
    <cellStyle name="40% - Accent5 2 3 2 3 3" xfId="4119"/>
    <cellStyle name="40% - Accent5 2 3 2 4" xfId="4120"/>
    <cellStyle name="40% - Accent5 2 3 2 5" xfId="4121"/>
    <cellStyle name="40% - Accent5 2 3 2 6" xfId="4122"/>
    <cellStyle name="40% - Accent5 2 3 3" xfId="675"/>
    <cellStyle name="40% - Accent5 2 3 4" xfId="676"/>
    <cellStyle name="40% - Accent5 2 4" xfId="129"/>
    <cellStyle name="40% - Accent5 2 4 2" xfId="677"/>
    <cellStyle name="40% - Accent5 2 4 2 2" xfId="678"/>
    <cellStyle name="40% - Accent5 2 4 2 3" xfId="679"/>
    <cellStyle name="40% - Accent5 2 4 2 3 2" xfId="4123"/>
    <cellStyle name="40% - Accent5 2 4 2 3 3" xfId="4124"/>
    <cellStyle name="40% - Accent5 2 4 2 4" xfId="4125"/>
    <cellStyle name="40% - Accent5 2 4 2 5" xfId="4126"/>
    <cellStyle name="40% - Accent5 2 4 2 6" xfId="4127"/>
    <cellStyle name="40% - Accent5 2 4 3" xfId="680"/>
    <cellStyle name="40% - Accent5 2 4 4" xfId="681"/>
    <cellStyle name="40% - Accent5 2 5" xfId="125"/>
    <cellStyle name="40% - Accent5 2 5 2" xfId="682"/>
    <cellStyle name="40% - Accent5 2 5 3" xfId="683"/>
    <cellStyle name="40% - Accent5 2 5 4" xfId="4128"/>
    <cellStyle name="40% - Accent5 2 6" xfId="684"/>
    <cellStyle name="40% - Accent5 2 6 2" xfId="4129"/>
    <cellStyle name="40% - Accent5 2 6 3" xfId="4130"/>
    <cellStyle name="40% - Accent5 2 6 4" xfId="4131"/>
    <cellStyle name="40% - Accent5 2 7" xfId="685"/>
    <cellStyle name="40% - Accent5 3" xfId="686"/>
    <cellStyle name="40% - Accent5 3 2" xfId="687"/>
    <cellStyle name="40% - Accent5 3 2 2" xfId="4132"/>
    <cellStyle name="40% - Accent5 3 2 3" xfId="4133"/>
    <cellStyle name="40% - Accent5 3 2 4" xfId="4134"/>
    <cellStyle name="40% - Accent5 3 3" xfId="688"/>
    <cellStyle name="40% - Accent5 3 3 2" xfId="4135"/>
    <cellStyle name="40% - Accent5 3 3 3" xfId="4136"/>
    <cellStyle name="40% - Accent5 3 4" xfId="4137"/>
    <cellStyle name="40% - Accent5 4" xfId="689"/>
    <cellStyle name="40% - Accent5 4 2" xfId="690"/>
    <cellStyle name="40% - Accent5 4 2 2" xfId="4138"/>
    <cellStyle name="40% - Accent5 4 2 3" xfId="4139"/>
    <cellStyle name="40% - Accent5 4 2 4" xfId="4140"/>
    <cellStyle name="40% - Accent5 4 3" xfId="691"/>
    <cellStyle name="40% - Accent5 4 3 2" xfId="4141"/>
    <cellStyle name="40% - Accent5 4 3 3" xfId="4142"/>
    <cellStyle name="40% - Accent5 4 4" xfId="4143"/>
    <cellStyle name="40% - Accent5 5" xfId="692"/>
    <cellStyle name="40% - Accent5 6" xfId="693"/>
    <cellStyle name="40% - Accent6 2" xfId="28"/>
    <cellStyle name="40% - Accent6 2 2" xfId="131"/>
    <cellStyle name="40% - Accent6 2 2 2" xfId="132"/>
    <cellStyle name="40% - Accent6 2 2 2 2" xfId="694"/>
    <cellStyle name="40% - Accent6 2 2 2 3" xfId="695"/>
    <cellStyle name="40% - Accent6 2 2 3" xfId="696"/>
    <cellStyle name="40% - Accent6 2 2 3 2" xfId="697"/>
    <cellStyle name="40% - Accent6 2 2 3 3" xfId="698"/>
    <cellStyle name="40% - Accent6 2 2 3 3 2" xfId="4144"/>
    <cellStyle name="40% - Accent6 2 2 3 3 3" xfId="4145"/>
    <cellStyle name="40% - Accent6 2 2 3 4" xfId="4146"/>
    <cellStyle name="40% - Accent6 2 2 3 5" xfId="4147"/>
    <cellStyle name="40% - Accent6 2 2 3 6" xfId="4148"/>
    <cellStyle name="40% - Accent6 2 2 4" xfId="699"/>
    <cellStyle name="40% - Accent6 2 2 4 2" xfId="4149"/>
    <cellStyle name="40% - Accent6 2 2 4 3" xfId="4150"/>
    <cellStyle name="40% - Accent6 2 2 4 4" xfId="4151"/>
    <cellStyle name="40% - Accent6 2 2 5" xfId="700"/>
    <cellStyle name="40% - Accent6 2 3" xfId="133"/>
    <cellStyle name="40% - Accent6 2 3 2" xfId="701"/>
    <cellStyle name="40% - Accent6 2 3 2 2" xfId="702"/>
    <cellStyle name="40% - Accent6 2 3 2 3" xfId="703"/>
    <cellStyle name="40% - Accent6 2 3 2 3 2" xfId="4152"/>
    <cellStyle name="40% - Accent6 2 3 2 3 3" xfId="4153"/>
    <cellStyle name="40% - Accent6 2 3 2 4" xfId="4154"/>
    <cellStyle name="40% - Accent6 2 3 2 5" xfId="4155"/>
    <cellStyle name="40% - Accent6 2 3 2 6" xfId="4156"/>
    <cellStyle name="40% - Accent6 2 3 3" xfId="704"/>
    <cellStyle name="40% - Accent6 2 3 4" xfId="705"/>
    <cellStyle name="40% - Accent6 2 4" xfId="134"/>
    <cellStyle name="40% - Accent6 2 4 2" xfId="706"/>
    <cellStyle name="40% - Accent6 2 4 2 2" xfId="707"/>
    <cellStyle name="40% - Accent6 2 4 2 3" xfId="708"/>
    <cellStyle name="40% - Accent6 2 4 2 3 2" xfId="4157"/>
    <cellStyle name="40% - Accent6 2 4 2 3 3" xfId="4158"/>
    <cellStyle name="40% - Accent6 2 4 2 4" xfId="4159"/>
    <cellStyle name="40% - Accent6 2 4 2 5" xfId="4160"/>
    <cellStyle name="40% - Accent6 2 4 2 6" xfId="4161"/>
    <cellStyle name="40% - Accent6 2 4 3" xfId="709"/>
    <cellStyle name="40% - Accent6 2 4 4" xfId="710"/>
    <cellStyle name="40% - Accent6 2 5" xfId="130"/>
    <cellStyle name="40% - Accent6 2 5 2" xfId="711"/>
    <cellStyle name="40% - Accent6 2 5 3" xfId="712"/>
    <cellStyle name="40% - Accent6 2 5 4" xfId="4162"/>
    <cellStyle name="40% - Accent6 2 6" xfId="713"/>
    <cellStyle name="40% - Accent6 2 6 2" xfId="4163"/>
    <cellStyle name="40% - Accent6 2 6 3" xfId="4164"/>
    <cellStyle name="40% - Accent6 2 6 4" xfId="4165"/>
    <cellStyle name="40% - Accent6 2 7" xfId="714"/>
    <cellStyle name="40% - Accent6 3" xfId="715"/>
    <cellStyle name="40% - Accent6 3 2" xfId="716"/>
    <cellStyle name="40% - Accent6 3 2 2" xfId="4166"/>
    <cellStyle name="40% - Accent6 3 2 3" xfId="4167"/>
    <cellStyle name="40% - Accent6 3 2 4" xfId="4168"/>
    <cellStyle name="40% - Accent6 3 3" xfId="717"/>
    <cellStyle name="40% - Accent6 3 3 2" xfId="4169"/>
    <cellStyle name="40% - Accent6 3 3 3" xfId="4170"/>
    <cellStyle name="40% - Accent6 3 4" xfId="4171"/>
    <cellStyle name="40% - Accent6 4" xfId="718"/>
    <cellStyle name="40% - Accent6 4 2" xfId="719"/>
    <cellStyle name="40% - Accent6 4 2 2" xfId="4172"/>
    <cellStyle name="40% - Accent6 4 2 3" xfId="4173"/>
    <cellStyle name="40% - Accent6 4 2 4" xfId="4174"/>
    <cellStyle name="40% - Accent6 4 3" xfId="720"/>
    <cellStyle name="40% - Accent6 4 3 2" xfId="4175"/>
    <cellStyle name="40% - Accent6 4 3 3" xfId="4176"/>
    <cellStyle name="40% - Accent6 4 4" xfId="4177"/>
    <cellStyle name="40% - Accent6 5" xfId="721"/>
    <cellStyle name="40% - Accent6 6" xfId="722"/>
    <cellStyle name="60% - Accent1 2" xfId="29"/>
    <cellStyle name="60% - Accent1 2 2" xfId="136"/>
    <cellStyle name="60% - Accent1 2 2 2" xfId="723"/>
    <cellStyle name="60% - Accent1 2 2 2 2" xfId="724"/>
    <cellStyle name="60% - Accent1 2 2 2 3" xfId="725"/>
    <cellStyle name="60% - Accent1 2 2 2 3 2" xfId="4178"/>
    <cellStyle name="60% - Accent1 2 2 2 3 3" xfId="4179"/>
    <cellStyle name="60% - Accent1 2 2 2 4" xfId="4180"/>
    <cellStyle name="60% - Accent1 2 2 2 5" xfId="4181"/>
    <cellStyle name="60% - Accent1 2 2 2 6" xfId="4182"/>
    <cellStyle name="60% - Accent1 2 2 3" xfId="726"/>
    <cellStyle name="60% - Accent1 2 2 3 2" xfId="4183"/>
    <cellStyle name="60% - Accent1 2 2 3 3" xfId="4184"/>
    <cellStyle name="60% - Accent1 2 2 3 4" xfId="4185"/>
    <cellStyle name="60% - Accent1 2 2 4" xfId="727"/>
    <cellStyle name="60% - Accent1 2 3" xfId="135"/>
    <cellStyle name="60% - Accent1 2 3 2" xfId="728"/>
    <cellStyle name="60% - Accent1 2 3 3" xfId="729"/>
    <cellStyle name="60% - Accent1 2 4" xfId="730"/>
    <cellStyle name="60% - Accent1 2 4 2" xfId="731"/>
    <cellStyle name="60% - Accent1 2 4 3" xfId="732"/>
    <cellStyle name="60% - Accent1 2 5" xfId="733"/>
    <cellStyle name="60% - Accent1 2 5 2" xfId="734"/>
    <cellStyle name="60% - Accent1 2 5 3" xfId="735"/>
    <cellStyle name="60% - Accent1 2 6" xfId="736"/>
    <cellStyle name="60% - Accent1 2 6 2" xfId="4186"/>
    <cellStyle name="60% - Accent1 2 6 3" xfId="4187"/>
    <cellStyle name="60% - Accent1 2 6 4" xfId="4188"/>
    <cellStyle name="60% - Accent1 2 7" xfId="737"/>
    <cellStyle name="60% - Accent1 3" xfId="738"/>
    <cellStyle name="60% - Accent1 3 2" xfId="739"/>
    <cellStyle name="60% - Accent1 3 2 2" xfId="4189"/>
    <cellStyle name="60% - Accent1 3 2 3" xfId="4190"/>
    <cellStyle name="60% - Accent1 3 2 4" xfId="4191"/>
    <cellStyle name="60% - Accent1 3 3" xfId="740"/>
    <cellStyle name="60% - Accent1 4" xfId="741"/>
    <cellStyle name="60% - Accent1 4 2" xfId="742"/>
    <cellStyle name="60% - Accent1 4 3" xfId="743"/>
    <cellStyle name="60% - Accent1 5" xfId="744"/>
    <cellStyle name="60% - Accent1 6" xfId="745"/>
    <cellStyle name="60% - Accent2 2" xfId="30"/>
    <cellStyle name="60% - Accent2 2 2" xfId="138"/>
    <cellStyle name="60% - Accent2 2 2 2" xfId="746"/>
    <cellStyle name="60% - Accent2 2 2 2 2" xfId="747"/>
    <cellStyle name="60% - Accent2 2 2 2 3" xfId="748"/>
    <cellStyle name="60% - Accent2 2 2 2 3 2" xfId="4192"/>
    <cellStyle name="60% - Accent2 2 2 2 3 3" xfId="4193"/>
    <cellStyle name="60% - Accent2 2 2 2 4" xfId="4194"/>
    <cellStyle name="60% - Accent2 2 2 2 5" xfId="4195"/>
    <cellStyle name="60% - Accent2 2 2 2 6" xfId="4196"/>
    <cellStyle name="60% - Accent2 2 2 3" xfId="749"/>
    <cellStyle name="60% - Accent2 2 2 3 2" xfId="4197"/>
    <cellStyle name="60% - Accent2 2 2 3 3" xfId="4198"/>
    <cellStyle name="60% - Accent2 2 2 3 4" xfId="4199"/>
    <cellStyle name="60% - Accent2 2 2 4" xfId="750"/>
    <cellStyle name="60% - Accent2 2 3" xfId="137"/>
    <cellStyle name="60% - Accent2 2 3 2" xfId="751"/>
    <cellStyle name="60% - Accent2 2 3 3" xfId="752"/>
    <cellStyle name="60% - Accent2 2 4" xfId="753"/>
    <cellStyle name="60% - Accent2 2 4 2" xfId="754"/>
    <cellStyle name="60% - Accent2 2 4 3" xfId="755"/>
    <cellStyle name="60% - Accent2 2 5" xfId="756"/>
    <cellStyle name="60% - Accent2 2 5 2" xfId="757"/>
    <cellStyle name="60% - Accent2 2 5 3" xfId="758"/>
    <cellStyle name="60% - Accent2 2 6" xfId="759"/>
    <cellStyle name="60% - Accent2 2 6 2" xfId="4200"/>
    <cellStyle name="60% - Accent2 2 6 3" xfId="4201"/>
    <cellStyle name="60% - Accent2 2 6 4" xfId="4202"/>
    <cellStyle name="60% - Accent2 2 7" xfId="760"/>
    <cellStyle name="60% - Accent2 3" xfId="761"/>
    <cellStyle name="60% - Accent2 3 2" xfId="762"/>
    <cellStyle name="60% - Accent2 3 2 2" xfId="4203"/>
    <cellStyle name="60% - Accent2 3 2 3" xfId="4204"/>
    <cellStyle name="60% - Accent2 3 2 4" xfId="4205"/>
    <cellStyle name="60% - Accent2 3 3" xfId="763"/>
    <cellStyle name="60% - Accent2 4" xfId="764"/>
    <cellStyle name="60% - Accent2 4 2" xfId="765"/>
    <cellStyle name="60% - Accent2 4 3" xfId="766"/>
    <cellStyle name="60% - Accent2 5" xfId="767"/>
    <cellStyle name="60% - Accent2 6" xfId="768"/>
    <cellStyle name="60% - Accent3 2" xfId="31"/>
    <cellStyle name="60% - Accent3 2 2" xfId="140"/>
    <cellStyle name="60% - Accent3 2 2 2" xfId="769"/>
    <cellStyle name="60% - Accent3 2 2 2 2" xfId="770"/>
    <cellStyle name="60% - Accent3 2 2 2 3" xfId="771"/>
    <cellStyle name="60% - Accent3 2 2 2 3 2" xfId="4206"/>
    <cellStyle name="60% - Accent3 2 2 2 3 3" xfId="4207"/>
    <cellStyle name="60% - Accent3 2 2 2 4" xfId="4208"/>
    <cellStyle name="60% - Accent3 2 2 2 5" xfId="4209"/>
    <cellStyle name="60% - Accent3 2 2 2 6" xfId="4210"/>
    <cellStyle name="60% - Accent3 2 2 3" xfId="772"/>
    <cellStyle name="60% - Accent3 2 2 3 2" xfId="4211"/>
    <cellStyle name="60% - Accent3 2 2 3 3" xfId="4212"/>
    <cellStyle name="60% - Accent3 2 2 3 4" xfId="4213"/>
    <cellStyle name="60% - Accent3 2 2 4" xfId="773"/>
    <cellStyle name="60% - Accent3 2 3" xfId="139"/>
    <cellStyle name="60% - Accent3 2 3 2" xfId="774"/>
    <cellStyle name="60% - Accent3 2 3 3" xfId="775"/>
    <cellStyle name="60% - Accent3 2 4" xfId="776"/>
    <cellStyle name="60% - Accent3 2 4 2" xfId="777"/>
    <cellStyle name="60% - Accent3 2 4 3" xfId="778"/>
    <cellStyle name="60% - Accent3 2 5" xfId="779"/>
    <cellStyle name="60% - Accent3 2 5 2" xfId="780"/>
    <cellStyle name="60% - Accent3 2 5 3" xfId="781"/>
    <cellStyle name="60% - Accent3 2 6" xfId="782"/>
    <cellStyle name="60% - Accent3 2 6 2" xfId="4214"/>
    <cellStyle name="60% - Accent3 2 6 3" xfId="4215"/>
    <cellStyle name="60% - Accent3 2 6 4" xfId="4216"/>
    <cellStyle name="60% - Accent3 2 7" xfId="783"/>
    <cellStyle name="60% - Accent3 3" xfId="784"/>
    <cellStyle name="60% - Accent3 3 2" xfId="785"/>
    <cellStyle name="60% - Accent3 3 2 2" xfId="4217"/>
    <cellStyle name="60% - Accent3 3 2 3" xfId="4218"/>
    <cellStyle name="60% - Accent3 3 2 4" xfId="4219"/>
    <cellStyle name="60% - Accent3 3 3" xfId="786"/>
    <cellStyle name="60% - Accent3 4" xfId="787"/>
    <cellStyle name="60% - Accent3 4 2" xfId="788"/>
    <cellStyle name="60% - Accent3 4 3" xfId="789"/>
    <cellStyle name="60% - Accent3 5" xfId="790"/>
    <cellStyle name="60% - Accent3 6" xfId="791"/>
    <cellStyle name="60% - Accent4 2" xfId="32"/>
    <cellStyle name="60% - Accent4 2 2" xfId="142"/>
    <cellStyle name="60% - Accent4 2 2 2" xfId="792"/>
    <cellStyle name="60% - Accent4 2 2 2 2" xfId="793"/>
    <cellStyle name="60% - Accent4 2 2 2 3" xfId="794"/>
    <cellStyle name="60% - Accent4 2 2 2 3 2" xfId="4220"/>
    <cellStyle name="60% - Accent4 2 2 2 3 3" xfId="4221"/>
    <cellStyle name="60% - Accent4 2 2 2 4" xfId="4222"/>
    <cellStyle name="60% - Accent4 2 2 2 5" xfId="4223"/>
    <cellStyle name="60% - Accent4 2 2 2 6" xfId="4224"/>
    <cellStyle name="60% - Accent4 2 2 3" xfId="795"/>
    <cellStyle name="60% - Accent4 2 2 3 2" xfId="4225"/>
    <cellStyle name="60% - Accent4 2 2 3 3" xfId="4226"/>
    <cellStyle name="60% - Accent4 2 2 3 4" xfId="4227"/>
    <cellStyle name="60% - Accent4 2 2 4" xfId="796"/>
    <cellStyle name="60% - Accent4 2 3" xfId="141"/>
    <cellStyle name="60% - Accent4 2 3 2" xfId="797"/>
    <cellStyle name="60% - Accent4 2 3 3" xfId="798"/>
    <cellStyle name="60% - Accent4 2 4" xfId="799"/>
    <cellStyle name="60% - Accent4 2 4 2" xfId="800"/>
    <cellStyle name="60% - Accent4 2 4 3" xfId="801"/>
    <cellStyle name="60% - Accent4 2 5" xfId="802"/>
    <cellStyle name="60% - Accent4 2 5 2" xfId="803"/>
    <cellStyle name="60% - Accent4 2 5 3" xfId="804"/>
    <cellStyle name="60% - Accent4 2 6" xfId="805"/>
    <cellStyle name="60% - Accent4 2 6 2" xfId="4228"/>
    <cellStyle name="60% - Accent4 2 6 3" xfId="4229"/>
    <cellStyle name="60% - Accent4 2 6 4" xfId="4230"/>
    <cellStyle name="60% - Accent4 2 7" xfId="806"/>
    <cellStyle name="60% - Accent4 3" xfId="807"/>
    <cellStyle name="60% - Accent4 3 2" xfId="808"/>
    <cellStyle name="60% - Accent4 3 2 2" xfId="4231"/>
    <cellStyle name="60% - Accent4 3 2 3" xfId="4232"/>
    <cellStyle name="60% - Accent4 3 2 4" xfId="4233"/>
    <cellStyle name="60% - Accent4 3 3" xfId="809"/>
    <cellStyle name="60% - Accent4 4" xfId="810"/>
    <cellStyle name="60% - Accent4 4 2" xfId="811"/>
    <cellStyle name="60% - Accent4 4 3" xfId="812"/>
    <cellStyle name="60% - Accent4 5" xfId="813"/>
    <cellStyle name="60% - Accent4 6" xfId="814"/>
    <cellStyle name="60% - Accent5 2" xfId="33"/>
    <cellStyle name="60% - Accent5 2 2" xfId="144"/>
    <cellStyle name="60% - Accent5 2 2 2" xfId="815"/>
    <cellStyle name="60% - Accent5 2 2 2 2" xfId="816"/>
    <cellStyle name="60% - Accent5 2 2 2 3" xfId="817"/>
    <cellStyle name="60% - Accent5 2 2 2 3 2" xfId="4234"/>
    <cellStyle name="60% - Accent5 2 2 2 3 3" xfId="4235"/>
    <cellStyle name="60% - Accent5 2 2 2 4" xfId="4236"/>
    <cellStyle name="60% - Accent5 2 2 2 5" xfId="4237"/>
    <cellStyle name="60% - Accent5 2 2 2 6" xfId="4238"/>
    <cellStyle name="60% - Accent5 2 2 3" xfId="818"/>
    <cellStyle name="60% - Accent5 2 2 3 2" xfId="4239"/>
    <cellStyle name="60% - Accent5 2 2 3 3" xfId="4240"/>
    <cellStyle name="60% - Accent5 2 2 3 4" xfId="4241"/>
    <cellStyle name="60% - Accent5 2 2 4" xfId="819"/>
    <cellStyle name="60% - Accent5 2 3" xfId="143"/>
    <cellStyle name="60% - Accent5 2 3 2" xfId="820"/>
    <cellStyle name="60% - Accent5 2 3 3" xfId="821"/>
    <cellStyle name="60% - Accent5 2 4" xfId="822"/>
    <cellStyle name="60% - Accent5 2 4 2" xfId="823"/>
    <cellStyle name="60% - Accent5 2 4 3" xfId="824"/>
    <cellStyle name="60% - Accent5 2 5" xfId="825"/>
    <cellStyle name="60% - Accent5 2 5 2" xfId="826"/>
    <cellStyle name="60% - Accent5 2 5 3" xfId="827"/>
    <cellStyle name="60% - Accent5 2 6" xfId="828"/>
    <cellStyle name="60% - Accent5 2 6 2" xfId="4242"/>
    <cellStyle name="60% - Accent5 2 6 3" xfId="4243"/>
    <cellStyle name="60% - Accent5 2 6 4" xfId="4244"/>
    <cellStyle name="60% - Accent5 2 7" xfId="829"/>
    <cellStyle name="60% - Accent5 3" xfId="830"/>
    <cellStyle name="60% - Accent5 3 2" xfId="831"/>
    <cellStyle name="60% - Accent5 3 2 2" xfId="4245"/>
    <cellStyle name="60% - Accent5 3 2 3" xfId="4246"/>
    <cellStyle name="60% - Accent5 3 2 4" xfId="4247"/>
    <cellStyle name="60% - Accent5 3 3" xfId="832"/>
    <cellStyle name="60% - Accent5 4" xfId="833"/>
    <cellStyle name="60% - Accent5 4 2" xfId="834"/>
    <cellStyle name="60% - Accent5 4 3" xfId="835"/>
    <cellStyle name="60% - Accent5 5" xfId="836"/>
    <cellStyle name="60% - Accent5 6" xfId="837"/>
    <cellStyle name="60% - Accent6 2" xfId="34"/>
    <cellStyle name="60% - Accent6 2 2" xfId="146"/>
    <cellStyle name="60% - Accent6 2 2 2" xfId="838"/>
    <cellStyle name="60% - Accent6 2 2 2 2" xfId="839"/>
    <cellStyle name="60% - Accent6 2 2 2 3" xfId="840"/>
    <cellStyle name="60% - Accent6 2 2 2 3 2" xfId="4248"/>
    <cellStyle name="60% - Accent6 2 2 2 3 3" xfId="4249"/>
    <cellStyle name="60% - Accent6 2 2 2 4" xfId="4250"/>
    <cellStyle name="60% - Accent6 2 2 2 5" xfId="4251"/>
    <cellStyle name="60% - Accent6 2 2 2 6" xfId="4252"/>
    <cellStyle name="60% - Accent6 2 2 3" xfId="841"/>
    <cellStyle name="60% - Accent6 2 2 3 2" xfId="4253"/>
    <cellStyle name="60% - Accent6 2 2 3 3" xfId="4254"/>
    <cellStyle name="60% - Accent6 2 2 3 4" xfId="4255"/>
    <cellStyle name="60% - Accent6 2 2 4" xfId="842"/>
    <cellStyle name="60% - Accent6 2 3" xfId="145"/>
    <cellStyle name="60% - Accent6 2 3 2" xfId="843"/>
    <cellStyle name="60% - Accent6 2 3 3" xfId="844"/>
    <cellStyle name="60% - Accent6 2 4" xfId="845"/>
    <cellStyle name="60% - Accent6 2 4 2" xfId="846"/>
    <cellStyle name="60% - Accent6 2 4 3" xfId="847"/>
    <cellStyle name="60% - Accent6 2 5" xfId="848"/>
    <cellStyle name="60% - Accent6 2 5 2" xfId="849"/>
    <cellStyle name="60% - Accent6 2 5 3" xfId="850"/>
    <cellStyle name="60% - Accent6 2 6" xfId="851"/>
    <cellStyle name="60% - Accent6 2 6 2" xfId="4256"/>
    <cellStyle name="60% - Accent6 2 6 3" xfId="4257"/>
    <cellStyle name="60% - Accent6 2 6 4" xfId="4258"/>
    <cellStyle name="60% - Accent6 2 7" xfId="852"/>
    <cellStyle name="60% - Accent6 3" xfId="853"/>
    <cellStyle name="60% - Accent6 3 2" xfId="854"/>
    <cellStyle name="60% - Accent6 3 2 2" xfId="4259"/>
    <cellStyle name="60% - Accent6 3 2 3" xfId="4260"/>
    <cellStyle name="60% - Accent6 3 2 4" xfId="4261"/>
    <cellStyle name="60% - Accent6 3 3" xfId="855"/>
    <cellStyle name="60% - Accent6 4" xfId="856"/>
    <cellStyle name="60% - Accent6 4 2" xfId="857"/>
    <cellStyle name="60% - Accent6 4 3" xfId="858"/>
    <cellStyle name="60% - Accent6 5" xfId="859"/>
    <cellStyle name="60% - Accent6 6" xfId="860"/>
    <cellStyle name="Accent1 2" xfId="35"/>
    <cellStyle name="Accent1 2 2" xfId="148"/>
    <cellStyle name="Accent1 2 2 2" xfId="861"/>
    <cellStyle name="Accent1 2 2 2 2" xfId="862"/>
    <cellStyle name="Accent1 2 2 2 3" xfId="863"/>
    <cellStyle name="Accent1 2 2 2 3 2" xfId="4262"/>
    <cellStyle name="Accent1 2 2 2 3 3" xfId="4263"/>
    <cellStyle name="Accent1 2 2 2 4" xfId="4264"/>
    <cellStyle name="Accent1 2 2 2 5" xfId="4265"/>
    <cellStyle name="Accent1 2 2 2 6" xfId="4266"/>
    <cellStyle name="Accent1 2 2 3" xfId="864"/>
    <cellStyle name="Accent1 2 2 3 2" xfId="4267"/>
    <cellStyle name="Accent1 2 2 3 3" xfId="4268"/>
    <cellStyle name="Accent1 2 2 3 4" xfId="4269"/>
    <cellStyle name="Accent1 2 2 4" xfId="865"/>
    <cellStyle name="Accent1 2 3" xfId="147"/>
    <cellStyle name="Accent1 2 3 2" xfId="866"/>
    <cellStyle name="Accent1 2 3 3" xfId="867"/>
    <cellStyle name="Accent1 2 4" xfId="868"/>
    <cellStyle name="Accent1 2 4 2" xfId="869"/>
    <cellStyle name="Accent1 2 4 3" xfId="870"/>
    <cellStyle name="Accent1 2 5" xfId="871"/>
    <cellStyle name="Accent1 2 5 2" xfId="872"/>
    <cellStyle name="Accent1 2 5 3" xfId="873"/>
    <cellStyle name="Accent1 2 6" xfId="874"/>
    <cellStyle name="Accent1 2 6 2" xfId="4270"/>
    <cellStyle name="Accent1 2 6 3" xfId="4271"/>
    <cellStyle name="Accent1 2 6 4" xfId="4272"/>
    <cellStyle name="Accent1 2 7" xfId="875"/>
    <cellStyle name="Accent1 3" xfId="876"/>
    <cellStyle name="Accent1 3 2" xfId="877"/>
    <cellStyle name="Accent1 3 2 2" xfId="4273"/>
    <cellStyle name="Accent1 3 2 3" xfId="4274"/>
    <cellStyle name="Accent1 3 2 4" xfId="4275"/>
    <cellStyle name="Accent1 3 3" xfId="878"/>
    <cellStyle name="Accent1 4" xfId="879"/>
    <cellStyle name="Accent1 4 2" xfId="880"/>
    <cellStyle name="Accent1 4 3" xfId="881"/>
    <cellStyle name="Accent1 5" xfId="882"/>
    <cellStyle name="Accent1 6" xfId="883"/>
    <cellStyle name="Accent2 2" xfId="36"/>
    <cellStyle name="Accent2 2 2" xfId="150"/>
    <cellStyle name="Accent2 2 2 2" xfId="884"/>
    <cellStyle name="Accent2 2 2 2 2" xfId="885"/>
    <cellStyle name="Accent2 2 2 2 3" xfId="886"/>
    <cellStyle name="Accent2 2 2 2 3 2" xfId="4276"/>
    <cellStyle name="Accent2 2 2 2 3 3" xfId="4277"/>
    <cellStyle name="Accent2 2 2 2 4" xfId="4278"/>
    <cellStyle name="Accent2 2 2 2 5" xfId="4279"/>
    <cellStyle name="Accent2 2 2 2 6" xfId="4280"/>
    <cellStyle name="Accent2 2 2 3" xfId="887"/>
    <cellStyle name="Accent2 2 2 3 2" xfId="4281"/>
    <cellStyle name="Accent2 2 2 3 3" xfId="4282"/>
    <cellStyle name="Accent2 2 2 3 4" xfId="4283"/>
    <cellStyle name="Accent2 2 2 4" xfId="888"/>
    <cellStyle name="Accent2 2 3" xfId="149"/>
    <cellStyle name="Accent2 2 3 2" xfId="889"/>
    <cellStyle name="Accent2 2 3 3" xfId="890"/>
    <cellStyle name="Accent2 2 4" xfId="891"/>
    <cellStyle name="Accent2 2 4 2" xfId="892"/>
    <cellStyle name="Accent2 2 4 3" xfId="893"/>
    <cellStyle name="Accent2 2 5" xfId="894"/>
    <cellStyle name="Accent2 2 5 2" xfId="895"/>
    <cellStyle name="Accent2 2 5 3" xfId="896"/>
    <cellStyle name="Accent2 2 6" xfId="897"/>
    <cellStyle name="Accent2 2 6 2" xfId="4284"/>
    <cellStyle name="Accent2 2 6 3" xfId="4285"/>
    <cellStyle name="Accent2 2 6 4" xfId="4286"/>
    <cellStyle name="Accent2 2 7" xfId="898"/>
    <cellStyle name="Accent2 3" xfId="899"/>
    <cellStyle name="Accent2 3 2" xfId="900"/>
    <cellStyle name="Accent2 3 2 2" xfId="4287"/>
    <cellStyle name="Accent2 3 2 3" xfId="4288"/>
    <cellStyle name="Accent2 3 2 4" xfId="4289"/>
    <cellStyle name="Accent2 3 3" xfId="901"/>
    <cellStyle name="Accent2 4" xfId="902"/>
    <cellStyle name="Accent2 4 2" xfId="903"/>
    <cellStyle name="Accent2 4 3" xfId="904"/>
    <cellStyle name="Accent2 5" xfId="905"/>
    <cellStyle name="Accent2 6" xfId="906"/>
    <cellStyle name="Accent3 2" xfId="37"/>
    <cellStyle name="Accent3 2 2" xfId="152"/>
    <cellStyle name="Accent3 2 2 2" xfId="907"/>
    <cellStyle name="Accent3 2 2 2 2" xfId="908"/>
    <cellStyle name="Accent3 2 2 2 3" xfId="909"/>
    <cellStyle name="Accent3 2 2 2 3 2" xfId="4290"/>
    <cellStyle name="Accent3 2 2 2 3 3" xfId="4291"/>
    <cellStyle name="Accent3 2 2 2 4" xfId="4292"/>
    <cellStyle name="Accent3 2 2 2 5" xfId="4293"/>
    <cellStyle name="Accent3 2 2 2 6" xfId="4294"/>
    <cellStyle name="Accent3 2 2 3" xfId="910"/>
    <cellStyle name="Accent3 2 2 3 2" xfId="4295"/>
    <cellStyle name="Accent3 2 2 3 3" xfId="4296"/>
    <cellStyle name="Accent3 2 2 3 4" xfId="4297"/>
    <cellStyle name="Accent3 2 2 4" xfId="911"/>
    <cellStyle name="Accent3 2 3" xfId="151"/>
    <cellStyle name="Accent3 2 3 2" xfId="912"/>
    <cellStyle name="Accent3 2 3 3" xfId="913"/>
    <cellStyle name="Accent3 2 4" xfId="914"/>
    <cellStyle name="Accent3 2 4 2" xfId="915"/>
    <cellStyle name="Accent3 2 4 3" xfId="916"/>
    <cellStyle name="Accent3 2 5" xfId="917"/>
    <cellStyle name="Accent3 2 5 2" xfId="918"/>
    <cellStyle name="Accent3 2 5 3" xfId="919"/>
    <cellStyle name="Accent3 2 6" xfId="920"/>
    <cellStyle name="Accent3 2 6 2" xfId="4298"/>
    <cellStyle name="Accent3 2 6 3" xfId="4299"/>
    <cellStyle name="Accent3 2 6 4" xfId="4300"/>
    <cellStyle name="Accent3 2 7" xfId="921"/>
    <cellStyle name="Accent3 3" xfId="922"/>
    <cellStyle name="Accent3 3 2" xfId="923"/>
    <cellStyle name="Accent3 3 2 2" xfId="4301"/>
    <cellStyle name="Accent3 3 2 3" xfId="4302"/>
    <cellStyle name="Accent3 3 2 4" xfId="4303"/>
    <cellStyle name="Accent3 3 3" xfId="924"/>
    <cellStyle name="Accent3 4" xfId="925"/>
    <cellStyle name="Accent3 4 2" xfId="926"/>
    <cellStyle name="Accent3 4 3" xfId="927"/>
    <cellStyle name="Accent3 5" xfId="928"/>
    <cellStyle name="Accent3 6" xfId="929"/>
    <cellStyle name="Accent4 2" xfId="38"/>
    <cellStyle name="Accent4 2 2" xfId="154"/>
    <cellStyle name="Accent4 2 2 2" xfId="930"/>
    <cellStyle name="Accent4 2 2 2 2" xfId="931"/>
    <cellStyle name="Accent4 2 2 2 3" xfId="932"/>
    <cellStyle name="Accent4 2 2 2 3 2" xfId="4304"/>
    <cellStyle name="Accent4 2 2 2 3 3" xfId="4305"/>
    <cellStyle name="Accent4 2 2 2 4" xfId="4306"/>
    <cellStyle name="Accent4 2 2 2 5" xfId="4307"/>
    <cellStyle name="Accent4 2 2 2 6" xfId="4308"/>
    <cellStyle name="Accent4 2 2 3" xfId="933"/>
    <cellStyle name="Accent4 2 2 3 2" xfId="4309"/>
    <cellStyle name="Accent4 2 2 3 3" xfId="4310"/>
    <cellStyle name="Accent4 2 2 3 4" xfId="4311"/>
    <cellStyle name="Accent4 2 2 4" xfId="934"/>
    <cellStyle name="Accent4 2 3" xfId="153"/>
    <cellStyle name="Accent4 2 3 2" xfId="935"/>
    <cellStyle name="Accent4 2 3 3" xfId="936"/>
    <cellStyle name="Accent4 2 4" xfId="937"/>
    <cellStyle name="Accent4 2 4 2" xfId="938"/>
    <cellStyle name="Accent4 2 4 3" xfId="939"/>
    <cellStyle name="Accent4 2 5" xfId="940"/>
    <cellStyle name="Accent4 2 5 2" xfId="941"/>
    <cellStyle name="Accent4 2 5 3" xfId="942"/>
    <cellStyle name="Accent4 2 6" xfId="943"/>
    <cellStyle name="Accent4 2 6 2" xfId="4312"/>
    <cellStyle name="Accent4 2 6 3" xfId="4313"/>
    <cellStyle name="Accent4 2 6 4" xfId="4314"/>
    <cellStyle name="Accent4 2 7" xfId="944"/>
    <cellStyle name="Accent4 3" xfId="945"/>
    <cellStyle name="Accent4 3 2" xfId="946"/>
    <cellStyle name="Accent4 3 2 2" xfId="4315"/>
    <cellStyle name="Accent4 3 2 3" xfId="4316"/>
    <cellStyle name="Accent4 3 2 4" xfId="4317"/>
    <cellStyle name="Accent4 3 3" xfId="947"/>
    <cellStyle name="Accent4 4" xfId="948"/>
    <cellStyle name="Accent4 4 2" xfId="949"/>
    <cellStyle name="Accent4 4 3" xfId="950"/>
    <cellStyle name="Accent4 5" xfId="951"/>
    <cellStyle name="Accent4 6" xfId="952"/>
    <cellStyle name="Accent5 2" xfId="39"/>
    <cellStyle name="Accent5 2 2" xfId="156"/>
    <cellStyle name="Accent5 2 2 2" xfId="953"/>
    <cellStyle name="Accent5 2 2 2 2" xfId="954"/>
    <cellStyle name="Accent5 2 2 2 3" xfId="955"/>
    <cellStyle name="Accent5 2 2 2 3 2" xfId="4318"/>
    <cellStyle name="Accent5 2 2 2 3 3" xfId="4319"/>
    <cellStyle name="Accent5 2 2 2 4" xfId="4320"/>
    <cellStyle name="Accent5 2 2 2 5" xfId="4321"/>
    <cellStyle name="Accent5 2 2 2 6" xfId="4322"/>
    <cellStyle name="Accent5 2 2 3" xfId="956"/>
    <cellStyle name="Accent5 2 2 3 2" xfId="4323"/>
    <cellStyle name="Accent5 2 2 3 3" xfId="4324"/>
    <cellStyle name="Accent5 2 2 3 4" xfId="4325"/>
    <cellStyle name="Accent5 2 2 4" xfId="957"/>
    <cellStyle name="Accent5 2 3" xfId="155"/>
    <cellStyle name="Accent5 2 3 2" xfId="958"/>
    <cellStyle name="Accent5 2 3 3" xfId="959"/>
    <cellStyle name="Accent5 2 4" xfId="960"/>
    <cellStyle name="Accent5 2 4 2" xfId="961"/>
    <cellStyle name="Accent5 2 4 3" xfId="962"/>
    <cellStyle name="Accent5 2 5" xfId="963"/>
    <cellStyle name="Accent5 2 5 2" xfId="964"/>
    <cellStyle name="Accent5 2 5 3" xfId="965"/>
    <cellStyle name="Accent5 2 6" xfId="966"/>
    <cellStyle name="Accent5 2 7" xfId="967"/>
    <cellStyle name="Accent5 3" xfId="968"/>
    <cellStyle name="Accent5 3 2" xfId="969"/>
    <cellStyle name="Accent5 3 2 2" xfId="4326"/>
    <cellStyle name="Accent5 3 2 3" xfId="4327"/>
    <cellStyle name="Accent5 3 2 4" xfId="4328"/>
    <cellStyle name="Accent5 3 3" xfId="970"/>
    <cellStyle name="Accent5 4" xfId="971"/>
    <cellStyle name="Accent5 5" xfId="972"/>
    <cellStyle name="Accent6 2" xfId="40"/>
    <cellStyle name="Accent6 2 2" xfId="158"/>
    <cellStyle name="Accent6 2 2 2" xfId="973"/>
    <cellStyle name="Accent6 2 2 2 2" xfId="974"/>
    <cellStyle name="Accent6 2 2 2 3" xfId="975"/>
    <cellStyle name="Accent6 2 2 2 3 2" xfId="4329"/>
    <cellStyle name="Accent6 2 2 2 3 3" xfId="4330"/>
    <cellStyle name="Accent6 2 2 2 4" xfId="4331"/>
    <cellStyle name="Accent6 2 2 2 5" xfId="4332"/>
    <cellStyle name="Accent6 2 2 2 6" xfId="4333"/>
    <cellStyle name="Accent6 2 2 3" xfId="976"/>
    <cellStyle name="Accent6 2 2 3 2" xfId="4334"/>
    <cellStyle name="Accent6 2 2 3 3" xfId="4335"/>
    <cellStyle name="Accent6 2 2 3 4" xfId="4336"/>
    <cellStyle name="Accent6 2 2 4" xfId="977"/>
    <cellStyle name="Accent6 2 3" xfId="157"/>
    <cellStyle name="Accent6 2 3 2" xfId="978"/>
    <cellStyle name="Accent6 2 3 3" xfId="979"/>
    <cellStyle name="Accent6 2 4" xfId="980"/>
    <cellStyle name="Accent6 2 4 2" xfId="981"/>
    <cellStyle name="Accent6 2 4 3" xfId="982"/>
    <cellStyle name="Accent6 2 5" xfId="983"/>
    <cellStyle name="Accent6 2 5 2" xfId="984"/>
    <cellStyle name="Accent6 2 5 3" xfId="985"/>
    <cellStyle name="Accent6 2 6" xfId="986"/>
    <cellStyle name="Accent6 2 6 2" xfId="4337"/>
    <cellStyle name="Accent6 2 6 3" xfId="4338"/>
    <cellStyle name="Accent6 2 6 4" xfId="4339"/>
    <cellStyle name="Accent6 2 7" xfId="987"/>
    <cellStyle name="Accent6 3" xfId="988"/>
    <cellStyle name="Accent6 3 2" xfId="989"/>
    <cellStyle name="Accent6 3 2 2" xfId="4340"/>
    <cellStyle name="Accent6 3 2 3" xfId="4341"/>
    <cellStyle name="Accent6 3 2 4" xfId="4342"/>
    <cellStyle name="Accent6 3 3" xfId="990"/>
    <cellStyle name="Accent6 4" xfId="991"/>
    <cellStyle name="Accent6 4 2" xfId="992"/>
    <cellStyle name="Accent6 4 3" xfId="993"/>
    <cellStyle name="Accent6 5" xfId="994"/>
    <cellStyle name="Accent6 6" xfId="995"/>
    <cellStyle name="Alignment - Nuku" xfId="996"/>
    <cellStyle name="annee semestre" xfId="159"/>
    <cellStyle name="annee semestre 2" xfId="997"/>
    <cellStyle name="annee semestre 2 2" xfId="998"/>
    <cellStyle name="annee semestre 2 2 2" xfId="999"/>
    <cellStyle name="annee semestre 2 2 2 2" xfId="4343"/>
    <cellStyle name="annee semestre 2 2 3" xfId="1000"/>
    <cellStyle name="annee semestre 2 2 3 2" xfId="4344"/>
    <cellStyle name="annee semestre 2 2 4" xfId="4345"/>
    <cellStyle name="annee semestre 2 3" xfId="1001"/>
    <cellStyle name="annee semestre 2 3 2" xfId="4346"/>
    <cellStyle name="annee semestre 2 4" xfId="1002"/>
    <cellStyle name="annee semestre 2 4 2" xfId="4347"/>
    <cellStyle name="annee semestre 2 5" xfId="4348"/>
    <cellStyle name="annee semestre 3" xfId="1003"/>
    <cellStyle name="annee semestre 3 2" xfId="1004"/>
    <cellStyle name="annee semestre 3 2 2" xfId="4349"/>
    <cellStyle name="annee semestre 3 3" xfId="1005"/>
    <cellStyle name="annee semestre 3 3 2" xfId="4350"/>
    <cellStyle name="annee semestre 3 4" xfId="4351"/>
    <cellStyle name="annee semestre 4" xfId="1006"/>
    <cellStyle name="annee semestre 4 2" xfId="4352"/>
    <cellStyle name="annee semestre 5" xfId="1007"/>
    <cellStyle name="annee semestre 5 2" xfId="4353"/>
    <cellStyle name="annee semestre 6" xfId="4354"/>
    <cellStyle name="Bad 2" xfId="41"/>
    <cellStyle name="Bad 2 2" xfId="161"/>
    <cellStyle name="Bad 2 2 2" xfId="1008"/>
    <cellStyle name="Bad 2 2 2 2" xfId="1009"/>
    <cellStyle name="Bad 2 2 2 3" xfId="1010"/>
    <cellStyle name="Bad 2 2 2 3 2" xfId="4355"/>
    <cellStyle name="Bad 2 2 2 3 3" xfId="4356"/>
    <cellStyle name="Bad 2 2 2 4" xfId="4357"/>
    <cellStyle name="Bad 2 2 2 5" xfId="4358"/>
    <cellStyle name="Bad 2 2 2 6" xfId="4359"/>
    <cellStyle name="Bad 2 2 3" xfId="1011"/>
    <cellStyle name="Bad 2 2 3 2" xfId="4360"/>
    <cellStyle name="Bad 2 2 3 3" xfId="4361"/>
    <cellStyle name="Bad 2 2 3 4" xfId="4362"/>
    <cellStyle name="Bad 2 2 4" xfId="1012"/>
    <cellStyle name="Bad 2 3" xfId="160"/>
    <cellStyle name="Bad 2 3 2" xfId="1013"/>
    <cellStyle name="Bad 2 3 3" xfId="1014"/>
    <cellStyle name="Bad 2 4" xfId="1015"/>
    <cellStyle name="Bad 2 4 2" xfId="1016"/>
    <cellStyle name="Bad 2 4 3" xfId="1017"/>
    <cellStyle name="Bad 2 5" xfId="1018"/>
    <cellStyle name="Bad 2 5 2" xfId="1019"/>
    <cellStyle name="Bad 2 5 3" xfId="1020"/>
    <cellStyle name="Bad 2 6" xfId="1021"/>
    <cellStyle name="Bad 2 6 2" xfId="4363"/>
    <cellStyle name="Bad 2 6 3" xfId="4364"/>
    <cellStyle name="Bad 2 6 4" xfId="4365"/>
    <cellStyle name="Bad 2 7" xfId="1022"/>
    <cellStyle name="Bad 3" xfId="1023"/>
    <cellStyle name="Bad 3 2" xfId="1024"/>
    <cellStyle name="Bad 3 2 2" xfId="4366"/>
    <cellStyle name="Bad 3 2 3" xfId="4367"/>
    <cellStyle name="Bad 3 2 4" xfId="4368"/>
    <cellStyle name="Bad 3 3" xfId="1025"/>
    <cellStyle name="Bad 4" xfId="1026"/>
    <cellStyle name="Bad 4 2" xfId="1027"/>
    <cellStyle name="Bad 4 3" xfId="1028"/>
    <cellStyle name="Bad 5" xfId="1029"/>
    <cellStyle name="Bad 6" xfId="1030"/>
    <cellStyle name="Blank" xfId="1031"/>
    <cellStyle name="Blue" xfId="4369"/>
    <cellStyle name="Blue 2" xfId="4370"/>
    <cellStyle name="Blue 2 2" xfId="4371"/>
    <cellStyle name="Blue 3" xfId="4372"/>
    <cellStyle name="Blue 3 2" xfId="4373"/>
    <cellStyle name="Bulletin" xfId="162"/>
    <cellStyle name="Calculation 2" xfId="42"/>
    <cellStyle name="Calculation 2 2" xfId="164"/>
    <cellStyle name="Calculation 2 2 2" xfId="1032"/>
    <cellStyle name="Calculation 2 2 2 2" xfId="1033"/>
    <cellStyle name="Calculation 2 2 2 2 2" xfId="1034"/>
    <cellStyle name="Calculation 2 2 2 2 3" xfId="1035"/>
    <cellStyle name="Calculation 2 2 2 3" xfId="1036"/>
    <cellStyle name="Calculation 2 2 2 3 2" xfId="1037"/>
    <cellStyle name="Calculation 2 2 2 3 3" xfId="1038"/>
    <cellStyle name="Calculation 2 2 2 4" xfId="1039"/>
    <cellStyle name="Calculation 2 2 2 5" xfId="1040"/>
    <cellStyle name="Calculation 2 2 3" xfId="1041"/>
    <cellStyle name="Calculation 2 2 3 2" xfId="1042"/>
    <cellStyle name="Calculation 2 2 3 2 2" xfId="4374"/>
    <cellStyle name="Calculation 2 2 3 3" xfId="1043"/>
    <cellStyle name="Calculation 2 2 3 3 2" xfId="4375"/>
    <cellStyle name="Calculation 2 2 3 3 3" xfId="4376"/>
    <cellStyle name="Calculation 2 2 3 4" xfId="4377"/>
    <cellStyle name="Calculation 2 2 3 5" xfId="4378"/>
    <cellStyle name="Calculation 2 2 3 6" xfId="4379"/>
    <cellStyle name="Calculation 2 2 3 7" xfId="4380"/>
    <cellStyle name="Calculation 2 2 4" xfId="1044"/>
    <cellStyle name="Calculation 2 2 4 2" xfId="1045"/>
    <cellStyle name="Calculation 2 2 4 3" xfId="1046"/>
    <cellStyle name="Calculation 2 2 5" xfId="1047"/>
    <cellStyle name="Calculation 2 2 5 2" xfId="1048"/>
    <cellStyle name="Calculation 2 2 5 3" xfId="1049"/>
    <cellStyle name="Calculation 2 2 6" xfId="1050"/>
    <cellStyle name="Calculation 2 2 6 2" xfId="4381"/>
    <cellStyle name="Calculation 2 2 6 3" xfId="4382"/>
    <cellStyle name="Calculation 2 2 6 4" xfId="4383"/>
    <cellStyle name="Calculation 2 2 7" xfId="1051"/>
    <cellStyle name="Calculation 2 2 7 2" xfId="4384"/>
    <cellStyle name="Calculation 2 2 7 3" xfId="4385"/>
    <cellStyle name="Calculation 2 2 8" xfId="4386"/>
    <cellStyle name="Calculation 2 2 9" xfId="4387"/>
    <cellStyle name="Calculation 2 3" xfId="163"/>
    <cellStyle name="Calculation 2 3 2" xfId="1052"/>
    <cellStyle name="Calculation 2 3 2 2" xfId="1053"/>
    <cellStyle name="Calculation 2 3 2 2 2" xfId="1054"/>
    <cellStyle name="Calculation 2 3 2 2 3" xfId="1055"/>
    <cellStyle name="Calculation 2 3 2 3" xfId="1056"/>
    <cellStyle name="Calculation 2 3 2 3 2" xfId="1057"/>
    <cellStyle name="Calculation 2 3 2 3 3" xfId="1058"/>
    <cellStyle name="Calculation 2 3 2 4" xfId="1059"/>
    <cellStyle name="Calculation 2 3 2 5" xfId="1060"/>
    <cellStyle name="Calculation 2 3 3" xfId="1061"/>
    <cellStyle name="Calculation 2 3 3 2" xfId="1062"/>
    <cellStyle name="Calculation 2 3 3 3" xfId="1063"/>
    <cellStyle name="Calculation 2 3 4" xfId="1064"/>
    <cellStyle name="Calculation 2 3 4 2" xfId="1065"/>
    <cellStyle name="Calculation 2 3 4 3" xfId="1066"/>
    <cellStyle name="Calculation 2 3 5" xfId="1067"/>
    <cellStyle name="Calculation 2 3 6" xfId="1068"/>
    <cellStyle name="Calculation 2 4" xfId="1069"/>
    <cellStyle name="Calculation 2 4 2" xfId="1070"/>
    <cellStyle name="Calculation 2 4 2 2" xfId="1071"/>
    <cellStyle name="Calculation 2 4 2 2 2" xfId="1072"/>
    <cellStyle name="Calculation 2 4 2 2 3" xfId="1073"/>
    <cellStyle name="Calculation 2 4 2 3" xfId="1074"/>
    <cellStyle name="Calculation 2 4 2 3 2" xfId="1075"/>
    <cellStyle name="Calculation 2 4 2 3 3" xfId="1076"/>
    <cellStyle name="Calculation 2 4 2 4" xfId="1077"/>
    <cellStyle name="Calculation 2 4 2 5" xfId="1078"/>
    <cellStyle name="Calculation 2 4 3" xfId="1079"/>
    <cellStyle name="Calculation 2 4 3 2" xfId="1080"/>
    <cellStyle name="Calculation 2 4 3 3" xfId="1081"/>
    <cellStyle name="Calculation 2 4 4" xfId="1082"/>
    <cellStyle name="Calculation 2 4 4 2" xfId="1083"/>
    <cellStyle name="Calculation 2 4 4 3" xfId="1084"/>
    <cellStyle name="Calculation 2 4 5" xfId="1085"/>
    <cellStyle name="Calculation 2 4 6" xfId="1086"/>
    <cellStyle name="Calculation 2 5" xfId="1087"/>
    <cellStyle name="Calculation 2 5 2" xfId="1088"/>
    <cellStyle name="Calculation 2 5 2 2" xfId="1089"/>
    <cellStyle name="Calculation 2 5 2 3" xfId="1090"/>
    <cellStyle name="Calculation 2 5 3" xfId="1091"/>
    <cellStyle name="Calculation 2 5 3 2" xfId="1092"/>
    <cellStyle name="Calculation 2 5 3 3" xfId="1093"/>
    <cellStyle name="Calculation 2 5 4" xfId="1094"/>
    <cellStyle name="Calculation 2 5 5" xfId="1095"/>
    <cellStyle name="Calculation 2 6" xfId="1096"/>
    <cellStyle name="Calculation 2 6 2" xfId="1097"/>
    <cellStyle name="Calculation 2 6 3" xfId="1098"/>
    <cellStyle name="Calculation 2 7" xfId="1099"/>
    <cellStyle name="Calculation 2 7 2" xfId="4388"/>
    <cellStyle name="Calculation 2 7 3" xfId="4389"/>
    <cellStyle name="Calculation 2 7 4" xfId="4390"/>
    <cellStyle name="Calculation 2 7 5" xfId="4391"/>
    <cellStyle name="Calculation 2 8" xfId="1100"/>
    <cellStyle name="Calculation 3" xfId="1101"/>
    <cellStyle name="Calculation 3 2" xfId="1102"/>
    <cellStyle name="Calculation 3 2 2" xfId="4392"/>
    <cellStyle name="Calculation 3 2 3" xfId="4393"/>
    <cellStyle name="Calculation 3 2 4" xfId="4394"/>
    <cellStyle name="Calculation 3 3" xfId="1103"/>
    <cellStyle name="Calculation 4" xfId="1104"/>
    <cellStyle name="Calculation 4 2" xfId="1105"/>
    <cellStyle name="Calculation 4 2 2" xfId="1106"/>
    <cellStyle name="Calculation 4 2 2 2" xfId="1107"/>
    <cellStyle name="Calculation 4 2 2 3" xfId="1108"/>
    <cellStyle name="Calculation 4 2 3" xfId="1109"/>
    <cellStyle name="Calculation 4 2 3 2" xfId="1110"/>
    <cellStyle name="Calculation 4 2 3 3" xfId="1111"/>
    <cellStyle name="Calculation 4 2 4" xfId="1112"/>
    <cellStyle name="Calculation 4 2 5" xfId="1113"/>
    <cellStyle name="Calculation 4 3" xfId="1114"/>
    <cellStyle name="Calculation 4 3 2" xfId="1115"/>
    <cellStyle name="Calculation 4 3 3" xfId="1116"/>
    <cellStyle name="Calculation 4 4" xfId="1117"/>
    <cellStyle name="Calculation 4 4 2" xfId="1118"/>
    <cellStyle name="Calculation 4 4 3" xfId="1119"/>
    <cellStyle name="Calculation 4 5" xfId="1120"/>
    <cellStyle name="Calculation 4 6" xfId="1121"/>
    <cellStyle name="Calculation 5" xfId="1122"/>
    <cellStyle name="Calculation 6" xfId="1123"/>
    <cellStyle name="cc0 -CalComma" xfId="1124"/>
    <cellStyle name="cc0 -CalComma 2" xfId="1125"/>
    <cellStyle name="cc1 -CalComma" xfId="1126"/>
    <cellStyle name="cc1 -CalComma 2" xfId="1127"/>
    <cellStyle name="cc2 -CalComma" xfId="1128"/>
    <cellStyle name="cc2 -CalComma 2" xfId="1129"/>
    <cellStyle name="cc3 -CalComma" xfId="1130"/>
    <cellStyle name="cc3 -CalComma 2" xfId="1131"/>
    <cellStyle name="cc4 -CalComma" xfId="1132"/>
    <cellStyle name="cc4 -CalComma 2" xfId="1133"/>
    <cellStyle name="cdDMMY -CalDate" xfId="1134"/>
    <cellStyle name="cdDMMY -CalDate 2" xfId="1135"/>
    <cellStyle name="cdDMMYHM -CalDateTime" xfId="1136"/>
    <cellStyle name="cdDMMYHM -CalDateTime 2" xfId="1137"/>
    <cellStyle name="cdDMY -CalDate" xfId="1138"/>
    <cellStyle name="cdDMY -CalDate 2" xfId="1139"/>
    <cellStyle name="cdMDY -CalDate" xfId="1140"/>
    <cellStyle name="cdMDY -CalDate 2" xfId="1141"/>
    <cellStyle name="cdMMY -CalDate" xfId="1142"/>
    <cellStyle name="cdMMY -CalDate 2" xfId="1143"/>
    <cellStyle name="cdMMYc-CalDateC" xfId="1144"/>
    <cellStyle name="cdMMYc-CalDateC 2" xfId="1145"/>
    <cellStyle name="cf0 -CalFixed" xfId="1146"/>
    <cellStyle name="cf0 -CalFixed 2" xfId="1147"/>
    <cellStyle name="Check Cell 2" xfId="43"/>
    <cellStyle name="Check Cell 2 2" xfId="166"/>
    <cellStyle name="Check Cell 2 2 2" xfId="1148"/>
    <cellStyle name="Check Cell 2 2 2 2" xfId="1149"/>
    <cellStyle name="Check Cell 2 2 2 3" xfId="1150"/>
    <cellStyle name="Check Cell 2 2 2 3 2" xfId="4395"/>
    <cellStyle name="Check Cell 2 2 2 3 3" xfId="4396"/>
    <cellStyle name="Check Cell 2 2 2 4" xfId="4397"/>
    <cellStyle name="Check Cell 2 2 2 5" xfId="4398"/>
    <cellStyle name="Check Cell 2 2 2 6" xfId="4399"/>
    <cellStyle name="Check Cell 2 2 3" xfId="1151"/>
    <cellStyle name="Check Cell 2 2 3 2" xfId="4400"/>
    <cellStyle name="Check Cell 2 2 3 3" xfId="4401"/>
    <cellStyle name="Check Cell 2 2 3 4" xfId="4402"/>
    <cellStyle name="Check Cell 2 2 4" xfId="1152"/>
    <cellStyle name="Check Cell 2 3" xfId="165"/>
    <cellStyle name="Check Cell 2 3 2" xfId="1153"/>
    <cellStyle name="Check Cell 2 3 3" xfId="1154"/>
    <cellStyle name="Check Cell 2 4" xfId="1155"/>
    <cellStyle name="Check Cell 2 4 2" xfId="1156"/>
    <cellStyle name="Check Cell 2 4 3" xfId="1157"/>
    <cellStyle name="Check Cell 2 5" xfId="1158"/>
    <cellStyle name="Check Cell 2 5 2" xfId="1159"/>
    <cellStyle name="Check Cell 2 5 3" xfId="1160"/>
    <cellStyle name="Check Cell 2 6" xfId="1161"/>
    <cellStyle name="Check Cell 2 7" xfId="1162"/>
    <cellStyle name="Check Cell 3" xfId="1163"/>
    <cellStyle name="Check Cell 3 2" xfId="1164"/>
    <cellStyle name="Check Cell 3 2 2" xfId="4403"/>
    <cellStyle name="Check Cell 3 2 3" xfId="4404"/>
    <cellStyle name="Check Cell 3 2 4" xfId="4405"/>
    <cellStyle name="Check Cell 3 3" xfId="1165"/>
    <cellStyle name="Check Cell 4" xfId="1166"/>
    <cellStyle name="Check Cell 5" xfId="1167"/>
    <cellStyle name="cmHM  -CalTime" xfId="1168"/>
    <cellStyle name="cmHM  -CalTime 2" xfId="1169"/>
    <cellStyle name="cmHM24+ -CalTime" xfId="1170"/>
    <cellStyle name="cmHM24+ -CalTime 2" xfId="1171"/>
    <cellStyle name="Column Grey" xfId="4406"/>
    <cellStyle name="Column Grey 2" xfId="4407"/>
    <cellStyle name="Column Grey 2 2" xfId="4408"/>
    <cellStyle name="Column Grey 3" xfId="4409"/>
    <cellStyle name="Column Grey 3 2" xfId="4410"/>
    <cellStyle name="ComaNoBrda" xfId="6"/>
    <cellStyle name="Comma" xfId="376" builtinId="3"/>
    <cellStyle name="Comma - ntj" xfId="1172"/>
    <cellStyle name="Comma - ntj 2" xfId="1173"/>
    <cellStyle name="Comma - nuku" xfId="1174"/>
    <cellStyle name="Comma [0] - ntj" xfId="1175"/>
    <cellStyle name="Comma [0] - nuku" xfId="1176"/>
    <cellStyle name="Comma [0] 2" xfId="1177"/>
    <cellStyle name="Comma [0] 2 2" xfId="1178"/>
    <cellStyle name="Comma [0] 2 2 2" xfId="1179"/>
    <cellStyle name="Comma [0] 2 2 2 2" xfId="1180"/>
    <cellStyle name="Comma [0] 2 2 3" xfId="1181"/>
    <cellStyle name="Comma [0] 2 3" xfId="1182"/>
    <cellStyle name="Comma [0] 3" xfId="1183"/>
    <cellStyle name="Comma [0] 4" xfId="1184"/>
    <cellStyle name="Comma [0] 5" xfId="1185"/>
    <cellStyle name="Comma [0] 6" xfId="1186"/>
    <cellStyle name="Comma [0] 7" xfId="1187"/>
    <cellStyle name="Comma [0] 8" xfId="1188"/>
    <cellStyle name="Comma [0] 9" xfId="1189"/>
    <cellStyle name="Comma [1]" xfId="1190"/>
    <cellStyle name="Comma [2]" xfId="1191"/>
    <cellStyle name="Comma [3]" xfId="1192"/>
    <cellStyle name="Comma [3] 2" xfId="1193"/>
    <cellStyle name="Comma [3] 2 2" xfId="1194"/>
    <cellStyle name="Comma [3] 3" xfId="1195"/>
    <cellStyle name="Comma [4]" xfId="1196"/>
    <cellStyle name="Comma 10" xfId="1197"/>
    <cellStyle name="Comma 10 10" xfId="1198"/>
    <cellStyle name="Comma 10 11" xfId="1199"/>
    <cellStyle name="Comma 10 12" xfId="1200"/>
    <cellStyle name="Comma 10 13" xfId="1201"/>
    <cellStyle name="Comma 10 14" xfId="4411"/>
    <cellStyle name="Comma 10 2" xfId="1202"/>
    <cellStyle name="Comma 10 3" xfId="1203"/>
    <cellStyle name="Comma 10 4" xfId="1204"/>
    <cellStyle name="Comma 10 5" xfId="1205"/>
    <cellStyle name="Comma 10 6" xfId="1206"/>
    <cellStyle name="Comma 10 7" xfId="1207"/>
    <cellStyle name="Comma 10 8" xfId="1208"/>
    <cellStyle name="Comma 10 9" xfId="1209"/>
    <cellStyle name="Comma 100" xfId="1210"/>
    <cellStyle name="Comma 101" xfId="1211"/>
    <cellStyle name="Comma 102" xfId="1212"/>
    <cellStyle name="Comma 103" xfId="1213"/>
    <cellStyle name="Comma 104" xfId="1214"/>
    <cellStyle name="Comma 105" xfId="1215"/>
    <cellStyle name="Comma 106" xfId="1216"/>
    <cellStyle name="Comma 107" xfId="1217"/>
    <cellStyle name="Comma 108" xfId="1218"/>
    <cellStyle name="Comma 109" xfId="1219"/>
    <cellStyle name="Comma 11" xfId="1220"/>
    <cellStyle name="Comma 11 2" xfId="1221"/>
    <cellStyle name="Comma 11 3" xfId="4412"/>
    <cellStyle name="Comma 110" xfId="1222"/>
    <cellStyle name="Comma 111" xfId="1223"/>
    <cellStyle name="Comma 112" xfId="1224"/>
    <cellStyle name="Comma 113" xfId="1225"/>
    <cellStyle name="Comma 114" xfId="1226"/>
    <cellStyle name="Comma 115" xfId="1227"/>
    <cellStyle name="Comma 116" xfId="1228"/>
    <cellStyle name="Comma 117" xfId="1229"/>
    <cellStyle name="Comma 118" xfId="1230"/>
    <cellStyle name="Comma 119" xfId="1231"/>
    <cellStyle name="Comma 12" xfId="1232"/>
    <cellStyle name="Comma 12 2" xfId="1233"/>
    <cellStyle name="Comma 120" xfId="1234"/>
    <cellStyle name="Comma 121" xfId="1235"/>
    <cellStyle name="Comma 122" xfId="1236"/>
    <cellStyle name="Comma 123" xfId="1237"/>
    <cellStyle name="Comma 124" xfId="1238"/>
    <cellStyle name="Comma 125" xfId="1239"/>
    <cellStyle name="Comma 126" xfId="1240"/>
    <cellStyle name="Comma 127" xfId="1241"/>
    <cellStyle name="Comma 127 2" xfId="1242"/>
    <cellStyle name="Comma 128" xfId="1243"/>
    <cellStyle name="Comma 128 2" xfId="1244"/>
    <cellStyle name="Comma 128 3" xfId="4413"/>
    <cellStyle name="Comma 128 4" xfId="4414"/>
    <cellStyle name="Comma 128 4 2" xfId="4415"/>
    <cellStyle name="Comma 129" xfId="1245"/>
    <cellStyle name="Comma 129 2" xfId="1246"/>
    <cellStyle name="Comma 129 3" xfId="4416"/>
    <cellStyle name="Comma 129 4" xfId="4417"/>
    <cellStyle name="Comma 129 4 2" xfId="4418"/>
    <cellStyle name="Comma 13" xfId="1247"/>
    <cellStyle name="Comma 13 2" xfId="1248"/>
    <cellStyle name="Comma 130" xfId="1249"/>
    <cellStyle name="Comma 130 2" xfId="1250"/>
    <cellStyle name="Comma 130 3" xfId="4419"/>
    <cellStyle name="Comma 130 4" xfId="4420"/>
    <cellStyle name="Comma 130 4 2" xfId="4421"/>
    <cellStyle name="Comma 131" xfId="1251"/>
    <cellStyle name="Comma 132" xfId="1252"/>
    <cellStyle name="Comma 133" xfId="1253"/>
    <cellStyle name="Comma 134" xfId="1254"/>
    <cellStyle name="Comma 135" xfId="1255"/>
    <cellStyle name="Comma 136" xfId="1256"/>
    <cellStyle name="Comma 137" xfId="1257"/>
    <cellStyle name="Comma 138" xfId="1258"/>
    <cellStyle name="Comma 139" xfId="1259"/>
    <cellStyle name="Comma 14" xfId="1260"/>
    <cellStyle name="Comma 140" xfId="1261"/>
    <cellStyle name="Comma 141" xfId="1262"/>
    <cellStyle name="Comma 142" xfId="1263"/>
    <cellStyle name="Comma 143" xfId="1264"/>
    <cellStyle name="Comma 144" xfId="1265"/>
    <cellStyle name="Comma 145" xfId="1266"/>
    <cellStyle name="Comma 146" xfId="1267"/>
    <cellStyle name="Comma 147" xfId="1268"/>
    <cellStyle name="Comma 148" xfId="1269"/>
    <cellStyle name="Comma 149" xfId="1270"/>
    <cellStyle name="Comma 149 2" xfId="1271"/>
    <cellStyle name="Comma 149 3" xfId="4422"/>
    <cellStyle name="Comma 149 4" xfId="4423"/>
    <cellStyle name="Comma 149 4 2" xfId="4424"/>
    <cellStyle name="Comma 149 5" xfId="4425"/>
    <cellStyle name="Comma 15" xfId="1272"/>
    <cellStyle name="Comma 15 2" xfId="1273"/>
    <cellStyle name="Comma 15 3" xfId="1274"/>
    <cellStyle name="Comma 150" xfId="1275"/>
    <cellStyle name="Comma 151" xfId="1276"/>
    <cellStyle name="Comma 152" xfId="1277"/>
    <cellStyle name="Comma 152 2" xfId="4426"/>
    <cellStyle name="Comma 153" xfId="1278"/>
    <cellStyle name="Comma 153 2" xfId="4427"/>
    <cellStyle name="Comma 154" xfId="1279"/>
    <cellStyle name="Comma 154 2" xfId="4428"/>
    <cellStyle name="Comma 154 2 2" xfId="4429"/>
    <cellStyle name="Comma 154 2 3" xfId="4430"/>
    <cellStyle name="Comma 154 3" xfId="4431"/>
    <cellStyle name="Comma 155" xfId="1280"/>
    <cellStyle name="Comma 155 2" xfId="4432"/>
    <cellStyle name="Comma 155 2 2" xfId="4433"/>
    <cellStyle name="Comma 155 2 3" xfId="4434"/>
    <cellStyle name="Comma 155 3" xfId="4435"/>
    <cellStyle name="Comma 156" xfId="1281"/>
    <cellStyle name="Comma 157" xfId="1282"/>
    <cellStyle name="Comma 158" xfId="4436"/>
    <cellStyle name="Comma 158 2" xfId="4437"/>
    <cellStyle name="Comma 158 3" xfId="4438"/>
    <cellStyle name="Comma 159" xfId="4439"/>
    <cellStyle name="Comma 159 2" xfId="4440"/>
    <cellStyle name="Comma 159 3" xfId="4441"/>
    <cellStyle name="Comma 16" xfId="1283"/>
    <cellStyle name="Comma 16 2" xfId="1284"/>
    <cellStyle name="Comma 160" xfId="4442"/>
    <cellStyle name="Comma 161" xfId="4443"/>
    <cellStyle name="Comma 162" xfId="4444"/>
    <cellStyle name="Comma 163" xfId="4445"/>
    <cellStyle name="Comma 164" xfId="4446"/>
    <cellStyle name="Comma 165" xfId="4447"/>
    <cellStyle name="Comma 166" xfId="4448"/>
    <cellStyle name="Comma 167" xfId="4449"/>
    <cellStyle name="Comma 168" xfId="4450"/>
    <cellStyle name="Comma 169" xfId="4451"/>
    <cellStyle name="Comma 17" xfId="1285"/>
    <cellStyle name="Comma 17 2" xfId="1286"/>
    <cellStyle name="Comma 17 3" xfId="4452"/>
    <cellStyle name="Comma 17 3 2" xfId="4453"/>
    <cellStyle name="Comma 170" xfId="4454"/>
    <cellStyle name="Comma 171" xfId="4455"/>
    <cellStyle name="Comma 172" xfId="4456"/>
    <cellStyle name="Comma 173" xfId="4457"/>
    <cellStyle name="Comma 174" xfId="4458"/>
    <cellStyle name="Comma 175" xfId="4459"/>
    <cellStyle name="Comma 176" xfId="4460"/>
    <cellStyle name="Comma 177" xfId="4461"/>
    <cellStyle name="Comma 178" xfId="4462"/>
    <cellStyle name="Comma 179" xfId="4463"/>
    <cellStyle name="Comma 18" xfId="1287"/>
    <cellStyle name="Comma 18 2" xfId="1288"/>
    <cellStyle name="Comma 18 3" xfId="4464"/>
    <cellStyle name="Comma 18 3 2" xfId="4465"/>
    <cellStyle name="Comma 180" xfId="4466"/>
    <cellStyle name="Comma 181" xfId="4467"/>
    <cellStyle name="Comma 182" xfId="4468"/>
    <cellStyle name="Comma 183" xfId="4469"/>
    <cellStyle name="Comma 184" xfId="4470"/>
    <cellStyle name="Comma 185" xfId="4471"/>
    <cellStyle name="Comma 186" xfId="4472"/>
    <cellStyle name="Comma 187" xfId="4473"/>
    <cellStyle name="Comma 188" xfId="4474"/>
    <cellStyle name="Comma 189" xfId="4475"/>
    <cellStyle name="Comma 19" xfId="1289"/>
    <cellStyle name="Comma 19 2" xfId="1290"/>
    <cellStyle name="Comma 19 3" xfId="4476"/>
    <cellStyle name="Comma 19 3 2" xfId="4477"/>
    <cellStyle name="Comma 190" xfId="4478"/>
    <cellStyle name="Comma 191" xfId="4479"/>
    <cellStyle name="Comma 192" xfId="4480"/>
    <cellStyle name="Comma 193" xfId="4481"/>
    <cellStyle name="Comma 194" xfId="4482"/>
    <cellStyle name="Comma 195" xfId="4483"/>
    <cellStyle name="Comma 196" xfId="4484"/>
    <cellStyle name="Comma 2" xfId="11"/>
    <cellStyle name="Comma 2 10" xfId="1291"/>
    <cellStyle name="Comma 2 10 2" xfId="1292"/>
    <cellStyle name="Comma 2 10 3" xfId="1293"/>
    <cellStyle name="Comma 2 10 4" xfId="1294"/>
    <cellStyle name="Comma 2 11" xfId="1295"/>
    <cellStyle name="Comma 2 11 2" xfId="1296"/>
    <cellStyle name="Comma 2 11 3" xfId="1297"/>
    <cellStyle name="Comma 2 11 4" xfId="1298"/>
    <cellStyle name="Comma 2 12" xfId="1299"/>
    <cellStyle name="Comma 2 12 2" xfId="1300"/>
    <cellStyle name="Comma 2 13" xfId="1301"/>
    <cellStyle name="Comma 2 13 2" xfId="1302"/>
    <cellStyle name="Comma 2 14" xfId="1303"/>
    <cellStyle name="Comma 2 15" xfId="1304"/>
    <cellStyle name="Comma 2 16" xfId="1305"/>
    <cellStyle name="Comma 2 17" xfId="1306"/>
    <cellStyle name="Comma 2 18" xfId="1307"/>
    <cellStyle name="Comma 2 19" xfId="1308"/>
    <cellStyle name="Comma 2 2" xfId="168"/>
    <cellStyle name="Comma 2 2 10" xfId="1309"/>
    <cellStyle name="Comma 2 2 11" xfId="1310"/>
    <cellStyle name="Comma 2 2 12" xfId="4485"/>
    <cellStyle name="Comma 2 2 2" xfId="169"/>
    <cellStyle name="Comma 2 2 2 10" xfId="1311"/>
    <cellStyle name="Comma 2 2 2 11" xfId="1312"/>
    <cellStyle name="Comma 2 2 2 2" xfId="170"/>
    <cellStyle name="Comma 2 2 2 2 10" xfId="1313"/>
    <cellStyle name="Comma 2 2 2 2 11" xfId="1314"/>
    <cellStyle name="Comma 2 2 2 2 11 2" xfId="4486"/>
    <cellStyle name="Comma 2 2 2 2 11 3" xfId="4487"/>
    <cellStyle name="Comma 2 2 2 2 11 4" xfId="4488"/>
    <cellStyle name="Comma 2 2 2 2 11 5" xfId="4489"/>
    <cellStyle name="Comma 2 2 2 2 2" xfId="1315"/>
    <cellStyle name="Comma 2 2 2 2 3" xfId="1316"/>
    <cellStyle name="Comma 2 2 2 2 4" xfId="1317"/>
    <cellStyle name="Comma 2 2 2 2 5" xfId="1318"/>
    <cellStyle name="Comma 2 2 2 2 6" xfId="1319"/>
    <cellStyle name="Comma 2 2 2 2 7" xfId="1320"/>
    <cellStyle name="Comma 2 2 2 2 8" xfId="1321"/>
    <cellStyle name="Comma 2 2 2 2 9" xfId="1322"/>
    <cellStyle name="Comma 2 2 2 3" xfId="1323"/>
    <cellStyle name="Comma 2 2 2 4" xfId="1324"/>
    <cellStyle name="Comma 2 2 2 5" xfId="1325"/>
    <cellStyle name="Comma 2 2 2 6" xfId="1326"/>
    <cellStyle name="Comma 2 2 2 7" xfId="1327"/>
    <cellStyle name="Comma 2 2 2 8" xfId="1328"/>
    <cellStyle name="Comma 2 2 2 9" xfId="1329"/>
    <cellStyle name="Comma 2 2 3" xfId="171"/>
    <cellStyle name="Comma 2 2 4" xfId="1330"/>
    <cellStyle name="Comma 2 2 5" xfId="1331"/>
    <cellStyle name="Comma 2 2 6" xfId="1332"/>
    <cellStyle name="Comma 2 2 7" xfId="1333"/>
    <cellStyle name="Comma 2 2 8" xfId="1334"/>
    <cellStyle name="Comma 2 2 9" xfId="1335"/>
    <cellStyle name="Comma 2 2_output data 08 to 10" xfId="172"/>
    <cellStyle name="Comma 2 20" xfId="1336"/>
    <cellStyle name="Comma 2 21" xfId="4490"/>
    <cellStyle name="Comma 2 3" xfId="173"/>
    <cellStyle name="Comma 2 3 10" xfId="1337"/>
    <cellStyle name="Comma 2 3 2" xfId="174"/>
    <cellStyle name="Comma 2 3 2 2" xfId="175"/>
    <cellStyle name="Comma 2 3 3" xfId="176"/>
    <cellStyle name="Comma 2 3 4" xfId="1338"/>
    <cellStyle name="Comma 2 3 5" xfId="1339"/>
    <cellStyle name="Comma 2 3 6" xfId="1340"/>
    <cellStyle name="Comma 2 3 7" xfId="1341"/>
    <cellStyle name="Comma 2 3 8" xfId="1342"/>
    <cellStyle name="Comma 2 3 9" xfId="1343"/>
    <cellStyle name="Comma 2 4" xfId="177"/>
    <cellStyle name="Comma 2 4 10" xfId="1344"/>
    <cellStyle name="Comma 2 4 11" xfId="1345"/>
    <cellStyle name="Comma 2 4 2" xfId="178"/>
    <cellStyle name="Comma 2 4 3" xfId="1346"/>
    <cellStyle name="Comma 2 4 4" xfId="1347"/>
    <cellStyle name="Comma 2 4 5" xfId="1348"/>
    <cellStyle name="Comma 2 4 6" xfId="1349"/>
    <cellStyle name="Comma 2 4 7" xfId="1350"/>
    <cellStyle name="Comma 2 4 8" xfId="1351"/>
    <cellStyle name="Comma 2 4 9" xfId="1352"/>
    <cellStyle name="Comma 2 5" xfId="179"/>
    <cellStyle name="Comma 2 5 10" xfId="1353"/>
    <cellStyle name="Comma 2 5 2" xfId="180"/>
    <cellStyle name="Comma 2 5 3" xfId="1354"/>
    <cellStyle name="Comma 2 5 4" xfId="1355"/>
    <cellStyle name="Comma 2 5 5" xfId="1356"/>
    <cellStyle name="Comma 2 5 6" xfId="1357"/>
    <cellStyle name="Comma 2 5 7" xfId="1358"/>
    <cellStyle name="Comma 2 5 8" xfId="1359"/>
    <cellStyle name="Comma 2 5 9" xfId="1360"/>
    <cellStyle name="Comma 2 6" xfId="181"/>
    <cellStyle name="Comma 2 6 10" xfId="1361"/>
    <cellStyle name="Comma 2 6 2" xfId="182"/>
    <cellStyle name="Comma 2 6 3" xfId="1362"/>
    <cellStyle name="Comma 2 6 4" xfId="1363"/>
    <cellStyle name="Comma 2 6 5" xfId="1364"/>
    <cellStyle name="Comma 2 6 6" xfId="1365"/>
    <cellStyle name="Comma 2 6 7" xfId="1366"/>
    <cellStyle name="Comma 2 6 8" xfId="1367"/>
    <cellStyle name="Comma 2 6 9" xfId="1368"/>
    <cellStyle name="Comma 2 7" xfId="167"/>
    <cellStyle name="Comma 2 7 2" xfId="1369"/>
    <cellStyle name="Comma 2 7 3" xfId="1370"/>
    <cellStyle name="Comma 2 7 4" xfId="1371"/>
    <cellStyle name="Comma 2 8" xfId="1372"/>
    <cellStyle name="Comma 2 8 2" xfId="1373"/>
    <cellStyle name="Comma 2 8 3" xfId="1374"/>
    <cellStyle name="Comma 2 8 4" xfId="1375"/>
    <cellStyle name="Comma 2 8 5" xfId="1376"/>
    <cellStyle name="Comma 2 9" xfId="1377"/>
    <cellStyle name="Comma 2 9 2" xfId="1378"/>
    <cellStyle name="Comma 2 9 3" xfId="1379"/>
    <cellStyle name="Comma 2 9 4" xfId="1380"/>
    <cellStyle name="Comma 2_C03" xfId="183"/>
    <cellStyle name="Comma 20" xfId="1381"/>
    <cellStyle name="Comma 21" xfId="1382"/>
    <cellStyle name="Comma 22" xfId="1383"/>
    <cellStyle name="Comma 23" xfId="1384"/>
    <cellStyle name="Comma 24" xfId="1385"/>
    <cellStyle name="Comma 25" xfId="1386"/>
    <cellStyle name="Comma 26" xfId="1387"/>
    <cellStyle name="Comma 27" xfId="1388"/>
    <cellStyle name="Comma 28" xfId="1389"/>
    <cellStyle name="Comma 28 2" xfId="1390"/>
    <cellStyle name="Comma 29" xfId="1391"/>
    <cellStyle name="Comma 29 2" xfId="1392"/>
    <cellStyle name="Comma 3" xfId="44"/>
    <cellStyle name="Comma 3 10" xfId="1393"/>
    <cellStyle name="Comma 3 10 2" xfId="1394"/>
    <cellStyle name="Comma 3 11" xfId="1395"/>
    <cellStyle name="Comma 3 12" xfId="1396"/>
    <cellStyle name="Comma 3 13" xfId="1397"/>
    <cellStyle name="Comma 3 14" xfId="1398"/>
    <cellStyle name="Comma 3 15" xfId="1399"/>
    <cellStyle name="Comma 3 16" xfId="1400"/>
    <cellStyle name="Comma 3 17" xfId="1401"/>
    <cellStyle name="Comma 3 2" xfId="184"/>
    <cellStyle name="Comma 3 2 10" xfId="1402"/>
    <cellStyle name="Comma 3 2 11" xfId="1403"/>
    <cellStyle name="Comma 3 2 12" xfId="1404"/>
    <cellStyle name="Comma 3 2 12 2" xfId="4491"/>
    <cellStyle name="Comma 3 2 12 3" xfId="4492"/>
    <cellStyle name="Comma 3 2 12 4" xfId="4493"/>
    <cellStyle name="Comma 3 2 2" xfId="185"/>
    <cellStyle name="Comma 3 2 2 2" xfId="186"/>
    <cellStyle name="Comma 3 2 2 2 10" xfId="1405"/>
    <cellStyle name="Comma 3 2 2 2 2" xfId="1406"/>
    <cellStyle name="Comma 3 2 2 2 3" xfId="1407"/>
    <cellStyle name="Comma 3 2 2 2 4" xfId="1408"/>
    <cellStyle name="Comma 3 2 2 2 5" xfId="1409"/>
    <cellStyle name="Comma 3 2 2 2 6" xfId="1410"/>
    <cellStyle name="Comma 3 2 2 2 7" xfId="1411"/>
    <cellStyle name="Comma 3 2 2 2 8" xfId="1412"/>
    <cellStyle name="Comma 3 2 2 2 9" xfId="1413"/>
    <cellStyle name="Comma 3 2 3" xfId="187"/>
    <cellStyle name="Comma 3 2 3 10" xfId="1414"/>
    <cellStyle name="Comma 3 2 3 11" xfId="1415"/>
    <cellStyle name="Comma 3 2 3 11 2" xfId="4494"/>
    <cellStyle name="Comma 3 2 3 11 3" xfId="4495"/>
    <cellStyle name="Comma 3 2 3 11 4" xfId="4496"/>
    <cellStyle name="Comma 3 2 3 11 5" xfId="4497"/>
    <cellStyle name="Comma 3 2 3 2" xfId="1416"/>
    <cellStyle name="Comma 3 2 3 3" xfId="1417"/>
    <cellStyle name="Comma 3 2 3 4" xfId="1418"/>
    <cellStyle name="Comma 3 2 3 5" xfId="1419"/>
    <cellStyle name="Comma 3 2 3 6" xfId="1420"/>
    <cellStyle name="Comma 3 2 3 7" xfId="1421"/>
    <cellStyle name="Comma 3 2 3 8" xfId="1422"/>
    <cellStyle name="Comma 3 2 3 9" xfId="1423"/>
    <cellStyle name="Comma 3 2 4" xfId="1424"/>
    <cellStyle name="Comma 3 2 4 2" xfId="1425"/>
    <cellStyle name="Comma 3 2 4 3" xfId="1426"/>
    <cellStyle name="Comma 3 2 5" xfId="1427"/>
    <cellStyle name="Comma 3 2 6" xfId="1428"/>
    <cellStyle name="Comma 3 2 6 2" xfId="1429"/>
    <cellStyle name="Comma 3 2 7" xfId="1430"/>
    <cellStyle name="Comma 3 2 7 2" xfId="1431"/>
    <cellStyle name="Comma 3 2 8" xfId="1432"/>
    <cellStyle name="Comma 3 2 9" xfId="1433"/>
    <cellStyle name="Comma 3 3" xfId="188"/>
    <cellStyle name="Comma 3 3 10" xfId="1434"/>
    <cellStyle name="Comma 3 3 2" xfId="189"/>
    <cellStyle name="Comma 3 3 2 2" xfId="190"/>
    <cellStyle name="Comma 3 3 3" xfId="191"/>
    <cellStyle name="Comma 3 3 4" xfId="1435"/>
    <cellStyle name="Comma 3 3 5" xfId="1436"/>
    <cellStyle name="Comma 3 3 6" xfId="1437"/>
    <cellStyle name="Comma 3 3 7" xfId="1438"/>
    <cellStyle name="Comma 3 3 8" xfId="1439"/>
    <cellStyle name="Comma 3 3 9" xfId="1440"/>
    <cellStyle name="Comma 3 4" xfId="192"/>
    <cellStyle name="Comma 3 4 10" xfId="1441"/>
    <cellStyle name="Comma 3 4 2" xfId="193"/>
    <cellStyle name="Comma 3 4 2 2" xfId="194"/>
    <cellStyle name="Comma 3 4 3" xfId="195"/>
    <cellStyle name="Comma 3 4 4" xfId="1442"/>
    <cellStyle name="Comma 3 4 5" xfId="1443"/>
    <cellStyle name="Comma 3 4 6" xfId="1444"/>
    <cellStyle name="Comma 3 4 7" xfId="1445"/>
    <cellStyle name="Comma 3 4 8" xfId="1446"/>
    <cellStyle name="Comma 3 4 9" xfId="1447"/>
    <cellStyle name="Comma 3 5" xfId="196"/>
    <cellStyle name="Comma 3 5 10" xfId="1448"/>
    <cellStyle name="Comma 3 5 2" xfId="197"/>
    <cellStyle name="Comma 3 5 2 2" xfId="198"/>
    <cellStyle name="Comma 3 5 3" xfId="199"/>
    <cellStyle name="Comma 3 5 4" xfId="1449"/>
    <cellStyle name="Comma 3 5 5" xfId="1450"/>
    <cellStyle name="Comma 3 5 6" xfId="1451"/>
    <cellStyle name="Comma 3 5 7" xfId="1452"/>
    <cellStyle name="Comma 3 5 8" xfId="1453"/>
    <cellStyle name="Comma 3 5 9" xfId="1454"/>
    <cellStyle name="Comma 3 6" xfId="200"/>
    <cellStyle name="Comma 3 6 2" xfId="201"/>
    <cellStyle name="Comma 3 7" xfId="1455"/>
    <cellStyle name="Comma 3 7 2" xfId="1456"/>
    <cellStyle name="Comma 3 8" xfId="1457"/>
    <cellStyle name="Comma 3 9" xfId="1458"/>
    <cellStyle name="Comma 3 9 2" xfId="1459"/>
    <cellStyle name="Comma 3_CPI" xfId="354"/>
    <cellStyle name="Comma 30" xfId="1460"/>
    <cellStyle name="Comma 30 2" xfId="1461"/>
    <cellStyle name="Comma 31" xfId="1462"/>
    <cellStyle name="Comma 31 2" xfId="1463"/>
    <cellStyle name="Comma 32" xfId="1464"/>
    <cellStyle name="Comma 32 2" xfId="1465"/>
    <cellStyle name="Comma 33" xfId="1466"/>
    <cellStyle name="Comma 34" xfId="1467"/>
    <cellStyle name="Comma 35" xfId="1468"/>
    <cellStyle name="Comma 36" xfId="1469"/>
    <cellStyle name="Comma 37" xfId="1470"/>
    <cellStyle name="Comma 38" xfId="1471"/>
    <cellStyle name="Comma 39" xfId="1472"/>
    <cellStyle name="Comma 4" xfId="202"/>
    <cellStyle name="Comma 4 10" xfId="1473"/>
    <cellStyle name="Comma 4 2" xfId="203"/>
    <cellStyle name="Comma 4 2 10" xfId="1474"/>
    <cellStyle name="Comma 4 2 11" xfId="1475"/>
    <cellStyle name="Comma 4 2 2" xfId="1476"/>
    <cellStyle name="Comma 4 2 3" xfId="1477"/>
    <cellStyle name="Comma 4 2 4" xfId="1478"/>
    <cellStyle name="Comma 4 2 5" xfId="1479"/>
    <cellStyle name="Comma 4 2 6" xfId="1480"/>
    <cellStyle name="Comma 4 2 7" xfId="1481"/>
    <cellStyle name="Comma 4 2 8" xfId="1482"/>
    <cellStyle name="Comma 4 2 9" xfId="1483"/>
    <cellStyle name="Comma 4 3" xfId="1484"/>
    <cellStyle name="Comma 4 4" xfId="204"/>
    <cellStyle name="Comma 4 4 10" xfId="1485"/>
    <cellStyle name="Comma 4 4 2" xfId="1486"/>
    <cellStyle name="Comma 4 4 3" xfId="1487"/>
    <cellStyle name="Comma 4 4 4" xfId="1488"/>
    <cellStyle name="Comma 4 4 5" xfId="1489"/>
    <cellStyle name="Comma 4 4 6" xfId="1490"/>
    <cellStyle name="Comma 4 4 7" xfId="1491"/>
    <cellStyle name="Comma 4 4 8" xfId="1492"/>
    <cellStyle name="Comma 4 4 9" xfId="1493"/>
    <cellStyle name="Comma 4 5" xfId="205"/>
    <cellStyle name="Comma 4 5 10" xfId="1494"/>
    <cellStyle name="Comma 4 5 2" xfId="1495"/>
    <cellStyle name="Comma 4 5 3" xfId="1496"/>
    <cellStyle name="Comma 4 5 4" xfId="1497"/>
    <cellStyle name="Comma 4 5 5" xfId="1498"/>
    <cellStyle name="Comma 4 5 6" xfId="1499"/>
    <cellStyle name="Comma 4 5 7" xfId="1500"/>
    <cellStyle name="Comma 4 5 8" xfId="1501"/>
    <cellStyle name="Comma 4 5 9" xfId="1502"/>
    <cellStyle name="Comma 4 6" xfId="206"/>
    <cellStyle name="Comma 4 6 10" xfId="1503"/>
    <cellStyle name="Comma 4 6 2" xfId="1504"/>
    <cellStyle name="Comma 4 6 3" xfId="1505"/>
    <cellStyle name="Comma 4 6 4" xfId="1506"/>
    <cellStyle name="Comma 4 6 5" xfId="1507"/>
    <cellStyle name="Comma 4 6 6" xfId="1508"/>
    <cellStyle name="Comma 4 6 7" xfId="1509"/>
    <cellStyle name="Comma 4 6 8" xfId="1510"/>
    <cellStyle name="Comma 4 6 9" xfId="1511"/>
    <cellStyle name="Comma 4 7" xfId="207"/>
    <cellStyle name="Comma 4 7 10" xfId="1512"/>
    <cellStyle name="Comma 4 7 2" xfId="1513"/>
    <cellStyle name="Comma 4 7 3" xfId="1514"/>
    <cellStyle name="Comma 4 7 4" xfId="1515"/>
    <cellStyle name="Comma 4 7 5" xfId="1516"/>
    <cellStyle name="Comma 4 7 6" xfId="1517"/>
    <cellStyle name="Comma 4 7 7" xfId="1518"/>
    <cellStyle name="Comma 4 7 8" xfId="1519"/>
    <cellStyle name="Comma 4 7 9" xfId="1520"/>
    <cellStyle name="Comma 4 8" xfId="208"/>
    <cellStyle name="Comma 4 8 10" xfId="1521"/>
    <cellStyle name="Comma 4 8 2" xfId="1522"/>
    <cellStyle name="Comma 4 8 3" xfId="1523"/>
    <cellStyle name="Comma 4 8 4" xfId="1524"/>
    <cellStyle name="Comma 4 8 5" xfId="1525"/>
    <cellStyle name="Comma 4 8 6" xfId="1526"/>
    <cellStyle name="Comma 4 8 7" xfId="1527"/>
    <cellStyle name="Comma 4 8 8" xfId="1528"/>
    <cellStyle name="Comma 4 8 9" xfId="1529"/>
    <cellStyle name="Comma 4 9" xfId="1530"/>
    <cellStyle name="Comma 4_RB GDP fcast Fig 2.5" xfId="209"/>
    <cellStyle name="Comma 40" xfId="1531"/>
    <cellStyle name="Comma 41" xfId="1532"/>
    <cellStyle name="Comma 42" xfId="1533"/>
    <cellStyle name="Comma 43" xfId="1534"/>
    <cellStyle name="Comma 44" xfId="1535"/>
    <cellStyle name="Comma 45" xfId="1536"/>
    <cellStyle name="Comma 46" xfId="1537"/>
    <cellStyle name="Comma 47" xfId="1538"/>
    <cellStyle name="Comma 48" xfId="1539"/>
    <cellStyle name="Comma 49" xfId="1540"/>
    <cellStyle name="Comma 5" xfId="210"/>
    <cellStyle name="Comma 5 2" xfId="211"/>
    <cellStyle name="Comma 5 2 10" xfId="1541"/>
    <cellStyle name="Comma 5 2 11" xfId="4498"/>
    <cellStyle name="Comma 5 2 2" xfId="212"/>
    <cellStyle name="Comma 5 2 3" xfId="1542"/>
    <cellStyle name="Comma 5 2 4" xfId="1543"/>
    <cellStyle name="Comma 5 2 5" xfId="1544"/>
    <cellStyle name="Comma 5 2 6" xfId="1545"/>
    <cellStyle name="Comma 5 2 7" xfId="1546"/>
    <cellStyle name="Comma 5 2 8" xfId="1547"/>
    <cellStyle name="Comma 5 2 9" xfId="1548"/>
    <cellStyle name="Comma 5 3" xfId="213"/>
    <cellStyle name="Comma 5 3 10" xfId="1549"/>
    <cellStyle name="Comma 5 3 2" xfId="1550"/>
    <cellStyle name="Comma 5 3 3" xfId="1551"/>
    <cellStyle name="Comma 5 3 4" xfId="1552"/>
    <cellStyle name="Comma 5 3 5" xfId="1553"/>
    <cellStyle name="Comma 5 3 6" xfId="1554"/>
    <cellStyle name="Comma 5 3 7" xfId="1555"/>
    <cellStyle name="Comma 5 3 8" xfId="1556"/>
    <cellStyle name="Comma 5 3 9" xfId="1557"/>
    <cellStyle name="Comma 5 4" xfId="1558"/>
    <cellStyle name="Comma 5 4 2" xfId="1559"/>
    <cellStyle name="Comma 5 5" xfId="1560"/>
    <cellStyle name="Comma 5 6" xfId="1561"/>
    <cellStyle name="Comma 5 7" xfId="1562"/>
    <cellStyle name="Comma 5 8" xfId="1563"/>
    <cellStyle name="Comma 50" xfId="1564"/>
    <cellStyle name="Comma 51" xfId="1565"/>
    <cellStyle name="Comma 52" xfId="1566"/>
    <cellStyle name="Comma 53" xfId="1567"/>
    <cellStyle name="Comma 54" xfId="1568"/>
    <cellStyle name="Comma 55" xfId="1569"/>
    <cellStyle name="Comma 56" xfId="1570"/>
    <cellStyle name="Comma 57" xfId="1571"/>
    <cellStyle name="Comma 58" xfId="1572"/>
    <cellStyle name="Comma 59" xfId="1573"/>
    <cellStyle name="Comma 6" xfId="214"/>
    <cellStyle name="Comma 6 2" xfId="215"/>
    <cellStyle name="Comma 6 2 10" xfId="1574"/>
    <cellStyle name="Comma 6 2 2" xfId="216"/>
    <cellStyle name="Comma 6 2 3" xfId="1575"/>
    <cellStyle name="Comma 6 2 4" xfId="1576"/>
    <cellStyle name="Comma 6 2 5" xfId="1577"/>
    <cellStyle name="Comma 6 2 6" xfId="1578"/>
    <cellStyle name="Comma 6 2 7" xfId="1579"/>
    <cellStyle name="Comma 6 2 8" xfId="1580"/>
    <cellStyle name="Comma 6 2 9" xfId="1581"/>
    <cellStyle name="Comma 6 3" xfId="1582"/>
    <cellStyle name="Comma 6 4" xfId="1583"/>
    <cellStyle name="Comma 6 4 2" xfId="1584"/>
    <cellStyle name="Comma 6 4 3" xfId="4499"/>
    <cellStyle name="Comma 6 4 4" xfId="4500"/>
    <cellStyle name="Comma 6 4 4 2" xfId="4501"/>
    <cellStyle name="Comma 6 5" xfId="1585"/>
    <cellStyle name="Comma 6 5 2" xfId="1586"/>
    <cellStyle name="Comma 6 5 3" xfId="4502"/>
    <cellStyle name="Comma 6 5 4" xfId="4503"/>
    <cellStyle name="Comma 6 5 4 2" xfId="4504"/>
    <cellStyle name="Comma 6 6" xfId="1587"/>
    <cellStyle name="Comma 60" xfId="1588"/>
    <cellStyle name="Comma 61" xfId="1589"/>
    <cellStyle name="Comma 62" xfId="1590"/>
    <cellStyle name="Comma 63" xfId="1591"/>
    <cellStyle name="Comma 64" xfId="1592"/>
    <cellStyle name="Comma 65" xfId="1593"/>
    <cellStyle name="Comma 66" xfId="1594"/>
    <cellStyle name="Comma 67" xfId="1595"/>
    <cellStyle name="Comma 68" xfId="1596"/>
    <cellStyle name="Comma 69" xfId="1597"/>
    <cellStyle name="Comma 7" xfId="1598"/>
    <cellStyle name="Comma 7 10" xfId="1599"/>
    <cellStyle name="Comma 7 11" xfId="1600"/>
    <cellStyle name="Comma 7 12" xfId="4505"/>
    <cellStyle name="Comma 7 2" xfId="1601"/>
    <cellStyle name="Comma 7 2 2" xfId="1602"/>
    <cellStyle name="Comma 7 3" xfId="1603"/>
    <cellStyle name="Comma 7 3 2" xfId="1604"/>
    <cellStyle name="Comma 7 4" xfId="1605"/>
    <cellStyle name="Comma 7 4 2" xfId="1606"/>
    <cellStyle name="Comma 7 5" xfId="1607"/>
    <cellStyle name="Comma 7 6" xfId="1608"/>
    <cellStyle name="Comma 7 7" xfId="1609"/>
    <cellStyle name="Comma 7 8" xfId="1610"/>
    <cellStyle name="Comma 7 9" xfId="1611"/>
    <cellStyle name="Comma 70" xfId="1612"/>
    <cellStyle name="Comma 71" xfId="1613"/>
    <cellStyle name="Comma 72" xfId="1614"/>
    <cellStyle name="Comma 73" xfId="1615"/>
    <cellStyle name="Comma 74" xfId="1616"/>
    <cellStyle name="Comma 75" xfId="1617"/>
    <cellStyle name="Comma 76" xfId="1618"/>
    <cellStyle name="Comma 77" xfId="1619"/>
    <cellStyle name="Comma 78" xfId="1620"/>
    <cellStyle name="Comma 79" xfId="1621"/>
    <cellStyle name="Comma 8" xfId="1622"/>
    <cellStyle name="Comma 8 2" xfId="1623"/>
    <cellStyle name="Comma 8 2 2" xfId="1624"/>
    <cellStyle name="Comma 8 3" xfId="1625"/>
    <cellStyle name="Comma 8 4" xfId="4506"/>
    <cellStyle name="Comma 8 5" xfId="4507"/>
    <cellStyle name="Comma 80" xfId="1626"/>
    <cellStyle name="Comma 81" xfId="1627"/>
    <cellStyle name="Comma 82" xfId="1628"/>
    <cellStyle name="Comma 83" xfId="1629"/>
    <cellStyle name="Comma 84" xfId="1630"/>
    <cellStyle name="Comma 85" xfId="1631"/>
    <cellStyle name="Comma 86" xfId="1632"/>
    <cellStyle name="Comma 87" xfId="1633"/>
    <cellStyle name="Comma 88" xfId="1634"/>
    <cellStyle name="Comma 89" xfId="1635"/>
    <cellStyle name="Comma 9" xfId="1636"/>
    <cellStyle name="Comma 9 2" xfId="1637"/>
    <cellStyle name="Comma 9 3" xfId="1638"/>
    <cellStyle name="Comma 9 4" xfId="1639"/>
    <cellStyle name="Comma 9 5" xfId="4508"/>
    <cellStyle name="Comma 90" xfId="1640"/>
    <cellStyle name="Comma 91" xfId="1641"/>
    <cellStyle name="Comma 92" xfId="1642"/>
    <cellStyle name="Comma 93" xfId="1643"/>
    <cellStyle name="Comma 94" xfId="1644"/>
    <cellStyle name="Comma 95" xfId="1645"/>
    <cellStyle name="Comma 96" xfId="1646"/>
    <cellStyle name="Comma 97" xfId="1647"/>
    <cellStyle name="Comma 98" xfId="1648"/>
    <cellStyle name="Comma 99" xfId="1649"/>
    <cellStyle name="Comma0" xfId="1650"/>
    <cellStyle name="CommaBorda" xfId="7"/>
    <cellStyle name="Comment Box" xfId="1651"/>
    <cellStyle name="Comment Box 2" xfId="1652"/>
    <cellStyle name="Comment Box 2 2" xfId="1653"/>
    <cellStyle name="Comment Box 2 3" xfId="1654"/>
    <cellStyle name="Comment Box 3" xfId="1655"/>
    <cellStyle name="Comment Box 4" xfId="1656"/>
    <cellStyle name="cp0 -CalPercent" xfId="1657"/>
    <cellStyle name="cp0 -CalPercent 2" xfId="1658"/>
    <cellStyle name="cp1 -CalPercent" xfId="1659"/>
    <cellStyle name="cp2 -CalPercent" xfId="1660"/>
    <cellStyle name="cp2 -CalPercent 2" xfId="1661"/>
    <cellStyle name="cp3 -CalPercent" xfId="1662"/>
    <cellStyle name="cp3 -CalPercent 2" xfId="1663"/>
    <cellStyle name="cr0 -CalCurr" xfId="1664"/>
    <cellStyle name="cr0 -CalCurr 2" xfId="1665"/>
    <cellStyle name="cr1 -CalCurr" xfId="1666"/>
    <cellStyle name="cr1 -CalCurr 2" xfId="1667"/>
    <cellStyle name="cr2 -CalCurr" xfId="1668"/>
    <cellStyle name="cr2 -CalCurr 2" xfId="1669"/>
    <cellStyle name="cr3 -CalCurr" xfId="1670"/>
    <cellStyle name="cr3 -CalCurr 2" xfId="1671"/>
    <cellStyle name="cr4 -CalCurr" xfId="1672"/>
    <cellStyle name="cr4 -CalCurr 2" xfId="1673"/>
    <cellStyle name="Currency 2" xfId="217"/>
    <cellStyle name="Currency 2 10" xfId="1674"/>
    <cellStyle name="Currency 2 2" xfId="218"/>
    <cellStyle name="Currency 2 3" xfId="1675"/>
    <cellStyle name="Currency 2 4" xfId="1676"/>
    <cellStyle name="Currency 2 5" xfId="1677"/>
    <cellStyle name="Currency 2 6" xfId="1678"/>
    <cellStyle name="Currency 2 7" xfId="1679"/>
    <cellStyle name="Currency 2 8" xfId="1680"/>
    <cellStyle name="Currency 2 9" xfId="1681"/>
    <cellStyle name="Currency 3" xfId="219"/>
    <cellStyle name="Currency 3 10" xfId="1682"/>
    <cellStyle name="Currency 3 11" xfId="1683"/>
    <cellStyle name="Currency 3 2" xfId="220"/>
    <cellStyle name="Currency 3 3" xfId="1684"/>
    <cellStyle name="Currency 3 4" xfId="1685"/>
    <cellStyle name="Currency 3 5" xfId="1686"/>
    <cellStyle name="Currency 3 6" xfId="1687"/>
    <cellStyle name="Currency 3 7" xfId="1688"/>
    <cellStyle name="Currency 3 8" xfId="1689"/>
    <cellStyle name="Currency 3 9" xfId="1690"/>
    <cellStyle name="Currency 4" xfId="1691"/>
    <cellStyle name="Currency 4 10" xfId="1692"/>
    <cellStyle name="Currency 4 11" xfId="1693"/>
    <cellStyle name="Currency 4 12" xfId="1694"/>
    <cellStyle name="Currency 4 13" xfId="4509"/>
    <cellStyle name="Currency 4 2" xfId="1695"/>
    <cellStyle name="Currency 4 2 10" xfId="1696"/>
    <cellStyle name="Currency 4 2 2" xfId="1697"/>
    <cellStyle name="Currency 4 2 3" xfId="1698"/>
    <cellStyle name="Currency 4 2 4" xfId="1699"/>
    <cellStyle name="Currency 4 2 5" xfId="1700"/>
    <cellStyle name="Currency 4 2 6" xfId="1701"/>
    <cellStyle name="Currency 4 2 7" xfId="1702"/>
    <cellStyle name="Currency 4 2 8" xfId="1703"/>
    <cellStyle name="Currency 4 2 9" xfId="1704"/>
    <cellStyle name="Currency 4 3" xfId="1705"/>
    <cellStyle name="Currency 4 4" xfId="1706"/>
    <cellStyle name="Currency 4 5" xfId="1707"/>
    <cellStyle name="Currency 4 6" xfId="1708"/>
    <cellStyle name="Currency 4 7" xfId="1709"/>
    <cellStyle name="Currency 4 8" xfId="1710"/>
    <cellStyle name="Currency 4 9" xfId="1711"/>
    <cellStyle name="Currency 5" xfId="1712"/>
    <cellStyle name="Currency 5 2" xfId="1713"/>
    <cellStyle name="Currency 5 3" xfId="4510"/>
    <cellStyle name="Currency 5 4" xfId="4511"/>
    <cellStyle name="Currency 5 4 2" xfId="4512"/>
    <cellStyle name="Currency 6" xfId="1714"/>
    <cellStyle name="Currency0" xfId="1715"/>
    <cellStyle name="Data Input" xfId="1716"/>
    <cellStyle name="Data Input 2" xfId="1717"/>
    <cellStyle name="Data Input 3" xfId="1718"/>
    <cellStyle name="Data Rows" xfId="1719"/>
    <cellStyle name="Data Rows 2" xfId="1720"/>
    <cellStyle name="Data Rows 2 2" xfId="1721"/>
    <cellStyle name="Data Rows 2 3" xfId="1722"/>
    <cellStyle name="Data Rows 3" xfId="1723"/>
    <cellStyle name="Data Rows 3 2" xfId="1724"/>
    <cellStyle name="Data Rows 4" xfId="1725"/>
    <cellStyle name="Date" xfId="1726"/>
    <cellStyle name="Date (short)" xfId="1727"/>
    <cellStyle name="Date (short) 2" xfId="1728"/>
    <cellStyle name="Date (short) 3" xfId="1729"/>
    <cellStyle name="Date 10" xfId="1730"/>
    <cellStyle name="Date 11" xfId="1731"/>
    <cellStyle name="Date 12" xfId="1732"/>
    <cellStyle name="Date 12 2" xfId="4513"/>
    <cellStyle name="Date 12 3" xfId="4514"/>
    <cellStyle name="Date 13" xfId="4515"/>
    <cellStyle name="Date 14" xfId="4516"/>
    <cellStyle name="Date 2" xfId="1733"/>
    <cellStyle name="Date 2 2" xfId="1734"/>
    <cellStyle name="Date 2 3" xfId="1735"/>
    <cellStyle name="Date 3" xfId="1736"/>
    <cellStyle name="Date 3 2" xfId="1737"/>
    <cellStyle name="Date 3 3" xfId="1738"/>
    <cellStyle name="Date 4" xfId="1739"/>
    <cellStyle name="Date 4 2" xfId="1740"/>
    <cellStyle name="Date 4 3" xfId="1741"/>
    <cellStyle name="Date 5" xfId="1742"/>
    <cellStyle name="Date 5 2" xfId="1743"/>
    <cellStyle name="Date 5 3" xfId="1744"/>
    <cellStyle name="Date 6" xfId="1745"/>
    <cellStyle name="Date 6 2" xfId="1746"/>
    <cellStyle name="Date 6 3" xfId="1747"/>
    <cellStyle name="Date 7" xfId="1748"/>
    <cellStyle name="Date 7 2" xfId="1749"/>
    <cellStyle name="Date 7 3" xfId="1750"/>
    <cellStyle name="Date 8" xfId="1751"/>
    <cellStyle name="Date 8 2" xfId="1752"/>
    <cellStyle name="Date 8 3" xfId="1753"/>
    <cellStyle name="Date 9" xfId="1754"/>
    <cellStyle name="Date 9 2" xfId="1755"/>
    <cellStyle name="Date 9 3" xfId="1756"/>
    <cellStyle name="Date and Time" xfId="1757"/>
    <cellStyle name="Date and Time 2" xfId="1758"/>
    <cellStyle name="Date Released" xfId="221"/>
    <cellStyle name="données" xfId="222"/>
    <cellStyle name="donnéesbord" xfId="223"/>
    <cellStyle name="Entry 1A" xfId="1759"/>
    <cellStyle name="Entry 1A 2" xfId="1760"/>
    <cellStyle name="Entry 1A 2 2" xfId="1761"/>
    <cellStyle name="Entry 1A 2 2 2" xfId="1762"/>
    <cellStyle name="Entry 1A 2 2 2 2" xfId="1763"/>
    <cellStyle name="Entry 1A 2 2 2 3" xfId="1764"/>
    <cellStyle name="Entry 1A 2 2 3" xfId="1765"/>
    <cellStyle name="Entry 1A 2 2 4" xfId="1766"/>
    <cellStyle name="Entry 1A 2 2 5" xfId="1767"/>
    <cellStyle name="Entry 1A 2 3" xfId="1768"/>
    <cellStyle name="Entry 1A 2 3 2" xfId="1769"/>
    <cellStyle name="Entry 1A 2 3 3" xfId="1770"/>
    <cellStyle name="Entry 1A 2 4" xfId="1771"/>
    <cellStyle name="Entry 1A 2 5" xfId="1772"/>
    <cellStyle name="Entry 1A 3" xfId="1773"/>
    <cellStyle name="Entry 1A 3 2" xfId="1774"/>
    <cellStyle name="Entry 1A 4" xfId="1775"/>
    <cellStyle name="Entry 1B" xfId="1776"/>
    <cellStyle name="Entry 1B 2" xfId="1777"/>
    <cellStyle name="Entry 1B 2 2" xfId="1778"/>
    <cellStyle name="Entry 1B 2 2 2" xfId="1779"/>
    <cellStyle name="Entry 1B 2 2 2 2" xfId="1780"/>
    <cellStyle name="Entry 1B 2 2 2 3" xfId="1781"/>
    <cellStyle name="Entry 1B 2 2 3" xfId="1782"/>
    <cellStyle name="Entry 1B 2 2 4" xfId="1783"/>
    <cellStyle name="Entry 1B 2 2 5" xfId="1784"/>
    <cellStyle name="Entry 1B 2 3" xfId="1785"/>
    <cellStyle name="Entry 1B 2 3 2" xfId="1786"/>
    <cellStyle name="Entry 1B 2 3 3" xfId="1787"/>
    <cellStyle name="Entry 1B 2 4" xfId="1788"/>
    <cellStyle name="Entry 1B 2 5" xfId="1789"/>
    <cellStyle name="Entry 1B 3" xfId="1790"/>
    <cellStyle name="Entry 1B 4" xfId="1791"/>
    <cellStyle name="Euro" xfId="224"/>
    <cellStyle name="Euro 2" xfId="1792"/>
    <cellStyle name="Euro 2 2" xfId="4517"/>
    <cellStyle name="Euro 2 3" xfId="4518"/>
    <cellStyle name="Euro 2 4" xfId="4519"/>
    <cellStyle name="Euro 2 5" xfId="4520"/>
    <cellStyle name="Euro 3" xfId="1793"/>
    <cellStyle name="Euro 3 2" xfId="4521"/>
    <cellStyle name="Euro 3 3" xfId="4522"/>
    <cellStyle name="Euro 3 4" xfId="4523"/>
    <cellStyle name="Euro 4" xfId="4524"/>
    <cellStyle name="Euro 5" xfId="4525"/>
    <cellStyle name="Explanatory Text 10" xfId="1794"/>
    <cellStyle name="Explanatory Text 10 2" xfId="1795"/>
    <cellStyle name="Explanatory Text 10 3" xfId="1796"/>
    <cellStyle name="Explanatory Text 11" xfId="1797"/>
    <cellStyle name="Explanatory Text 11 2" xfId="1798"/>
    <cellStyle name="Explanatory Text 11 3" xfId="1799"/>
    <cellStyle name="Explanatory Text 12" xfId="1800"/>
    <cellStyle name="Explanatory Text 13" xfId="1801"/>
    <cellStyle name="Explanatory Text 2" xfId="45"/>
    <cellStyle name="Explanatory text 2 10" xfId="1802"/>
    <cellStyle name="Explanatory Text 2 11" xfId="1803"/>
    <cellStyle name="Explanatory Text 2 11 2" xfId="1804"/>
    <cellStyle name="Explanatory Text 2 11 3" xfId="1805"/>
    <cellStyle name="Explanatory Text 2 12" xfId="1806"/>
    <cellStyle name="Explanatory Text 2 12 2" xfId="1807"/>
    <cellStyle name="Explanatory Text 2 12 3" xfId="1808"/>
    <cellStyle name="Explanatory Text 2 13" xfId="1809"/>
    <cellStyle name="Explanatory Text 2 13 2" xfId="1810"/>
    <cellStyle name="Explanatory Text 2 13 3" xfId="1811"/>
    <cellStyle name="Explanatory Text 2 13 3 2" xfId="4526"/>
    <cellStyle name="Explanatory Text 2 13 3 3" xfId="4527"/>
    <cellStyle name="Explanatory Text 2 13 4" xfId="4528"/>
    <cellStyle name="Explanatory Text 2 13 5" xfId="4529"/>
    <cellStyle name="Explanatory Text 2 13 6" xfId="4530"/>
    <cellStyle name="Explanatory Text 2 14" xfId="1812"/>
    <cellStyle name="Explanatory Text 2 15" xfId="1813"/>
    <cellStyle name="Explanatory Text 2 16" xfId="1814"/>
    <cellStyle name="Explanatory Text 2 17" xfId="1815"/>
    <cellStyle name="Explanatory Text 2 18" xfId="1816"/>
    <cellStyle name="Explanatory Text 2 19" xfId="1817"/>
    <cellStyle name="Explanatory Text 2 2" xfId="226"/>
    <cellStyle name="Explanatory Text 2 2 2" xfId="1818"/>
    <cellStyle name="Explanatory Text 2 2 3" xfId="1819"/>
    <cellStyle name="Explanatory Text 2 2 3 2" xfId="1820"/>
    <cellStyle name="Explanatory Text 2 2 3 3" xfId="1821"/>
    <cellStyle name="Explanatory Text 2 2 3 3 2" xfId="4531"/>
    <cellStyle name="Explanatory Text 2 2 3 3 3" xfId="4532"/>
    <cellStyle name="Explanatory Text 2 2 3 4" xfId="4533"/>
    <cellStyle name="Explanatory Text 2 2 3 5" xfId="4534"/>
    <cellStyle name="Explanatory Text 2 2 3 6" xfId="4535"/>
    <cellStyle name="Explanatory Text 2 2 4" xfId="1822"/>
    <cellStyle name="Explanatory Text 2 2 4 2" xfId="4536"/>
    <cellStyle name="Explanatory Text 2 2 4 3" xfId="4537"/>
    <cellStyle name="Explanatory Text 2 2 4 4" xfId="4538"/>
    <cellStyle name="Explanatory Text 2 2 5" xfId="1823"/>
    <cellStyle name="Explanatory Text 2 20" xfId="1824"/>
    <cellStyle name="Explanatory Text 2 21" xfId="1825"/>
    <cellStyle name="Explanatory Text 2 21 2" xfId="4539"/>
    <cellStyle name="Explanatory Text 2 21 3" xfId="4540"/>
    <cellStyle name="Explanatory Text 2 21 4" xfId="4541"/>
    <cellStyle name="Explanatory Text 2 21 5" xfId="4542"/>
    <cellStyle name="Explanatory Text 2 22" xfId="1826"/>
    <cellStyle name="Explanatory Text 2 22 2" xfId="4543"/>
    <cellStyle name="Explanatory Text 2 22 3" xfId="4544"/>
    <cellStyle name="Explanatory Text 2 23" xfId="4545"/>
    <cellStyle name="Explanatory Text 2 23 2" xfId="4546"/>
    <cellStyle name="Explanatory Text 2 23 3" xfId="4547"/>
    <cellStyle name="Explanatory Text 2 24" xfId="4548"/>
    <cellStyle name="Explanatory Text 2 24 2" xfId="4549"/>
    <cellStyle name="Explanatory Text 2 24 3" xfId="4550"/>
    <cellStyle name="Explanatory Text 2 25" xfId="4551"/>
    <cellStyle name="Explanatory Text 2 26" xfId="4552"/>
    <cellStyle name="Explanatory Text 2 27" xfId="4553"/>
    <cellStyle name="Explanatory Text 2 28" xfId="4554"/>
    <cellStyle name="Explanatory Text 2 29" xfId="4555"/>
    <cellStyle name="Explanatory Text 2 3" xfId="225"/>
    <cellStyle name="Explanatory Text 2 3 2" xfId="1827"/>
    <cellStyle name="Explanatory Text 2 3 2 2" xfId="1828"/>
    <cellStyle name="Explanatory Text 2 3 2 3" xfId="1829"/>
    <cellStyle name="Explanatory text 2 3 3" xfId="4556"/>
    <cellStyle name="Explanatory Text 2 30" xfId="4557"/>
    <cellStyle name="Explanatory Text 2 31" xfId="4558"/>
    <cellStyle name="Explanatory Text 2 32" xfId="4559"/>
    <cellStyle name="Explanatory Text 2 33" xfId="4560"/>
    <cellStyle name="Explanatory Text 2 34" xfId="4561"/>
    <cellStyle name="Explanatory Text 2 35" xfId="4562"/>
    <cellStyle name="Explanatory Text 2 4" xfId="1830"/>
    <cellStyle name="Explanatory text 2 4 2" xfId="1831"/>
    <cellStyle name="Explanatory Text 2 4 3" xfId="1832"/>
    <cellStyle name="Explanatory Text 2 4 4" xfId="1833"/>
    <cellStyle name="Explanatory Text 2 4 5" xfId="1834"/>
    <cellStyle name="Explanatory Text 2 4 5 2" xfId="4563"/>
    <cellStyle name="Explanatory Text 2 4 5 3" xfId="4564"/>
    <cellStyle name="Explanatory Text 2 4 6" xfId="4565"/>
    <cellStyle name="Explanatory Text 2 4 7" xfId="4566"/>
    <cellStyle name="Explanatory Text 2 5" xfId="1835"/>
    <cellStyle name="Explanatory Text 2 5 2" xfId="1836"/>
    <cellStyle name="Explanatory Text 2 5 3" xfId="1837"/>
    <cellStyle name="Explanatory Text 2 6" xfId="1838"/>
    <cellStyle name="Explanatory Text 2 6 2" xfId="1839"/>
    <cellStyle name="Explanatory Text 2 6 3" xfId="1840"/>
    <cellStyle name="Explanatory text 2 7" xfId="1841"/>
    <cellStyle name="Explanatory text 2 8" xfId="1842"/>
    <cellStyle name="Explanatory text 2 9" xfId="1843"/>
    <cellStyle name="Explanatory Text 3" xfId="1844"/>
    <cellStyle name="Explanatory Text 3 2" xfId="1845"/>
    <cellStyle name="Explanatory Text 3 2 2" xfId="4567"/>
    <cellStyle name="Explanatory Text 3 2 3" xfId="4568"/>
    <cellStyle name="Explanatory Text 3 2 4" xfId="4569"/>
    <cellStyle name="Explanatory Text 3 3" xfId="1846"/>
    <cellStyle name="Explanatory Text 4" xfId="1847"/>
    <cellStyle name="Explanatory Text 4 2" xfId="1848"/>
    <cellStyle name="Explanatory Text 4 3" xfId="1849"/>
    <cellStyle name="Explanatory Text 5" xfId="1850"/>
    <cellStyle name="Explanatory Text 5 2" xfId="1851"/>
    <cellStyle name="Explanatory Text 5 3" xfId="1852"/>
    <cellStyle name="Explanatory Text 6" xfId="1853"/>
    <cellStyle name="Explanatory Text 6 2" xfId="1854"/>
    <cellStyle name="Explanatory Text 6 3" xfId="1855"/>
    <cellStyle name="Explanatory Text 7" xfId="1856"/>
    <cellStyle name="Explanatory Text 7 2" xfId="1857"/>
    <cellStyle name="Explanatory Text 7 3" xfId="1858"/>
    <cellStyle name="Explanatory Text 8" xfId="1859"/>
    <cellStyle name="Explanatory Text 8 2" xfId="1860"/>
    <cellStyle name="Explanatory Text 8 3" xfId="1861"/>
    <cellStyle name="Explanatory Text 9" xfId="1862"/>
    <cellStyle name="Explanatory Text 9 2" xfId="1863"/>
    <cellStyle name="Explanatory Text 9 3" xfId="1864"/>
    <cellStyle name="Fixed" xfId="1865"/>
    <cellStyle name="Followed Hyperlink 2" xfId="1866"/>
    <cellStyle name="Followed Hyperlink 2 2" xfId="1867"/>
    <cellStyle name="Followed Hyperlink 2 3" xfId="1868"/>
    <cellStyle name="Followed Hyperlink 3" xfId="1869"/>
    <cellStyle name="Followed Hyperlink 3 2" xfId="1870"/>
    <cellStyle name="Followed Hyperlink 3 3" xfId="1871"/>
    <cellStyle name="Followed Hyperlink 4" xfId="1872"/>
    <cellStyle name="Followed Hyperlink 5" xfId="1873"/>
    <cellStyle name="Followed Hyperlink 6" xfId="4570"/>
    <cellStyle name="Good 2" xfId="46"/>
    <cellStyle name="Good 2 2" xfId="228"/>
    <cellStyle name="Good 2 2 2" xfId="1874"/>
    <cellStyle name="Good 2 2 2 2" xfId="1875"/>
    <cellStyle name="Good 2 2 2 3" xfId="1876"/>
    <cellStyle name="Good 2 2 2 3 2" xfId="4571"/>
    <cellStyle name="Good 2 2 2 3 3" xfId="4572"/>
    <cellStyle name="Good 2 2 2 4" xfId="4573"/>
    <cellStyle name="Good 2 2 2 5" xfId="4574"/>
    <cellStyle name="Good 2 2 2 6" xfId="4575"/>
    <cellStyle name="Good 2 2 3" xfId="1877"/>
    <cellStyle name="Good 2 2 3 2" xfId="4576"/>
    <cellStyle name="Good 2 2 3 3" xfId="4577"/>
    <cellStyle name="Good 2 2 3 4" xfId="4578"/>
    <cellStyle name="Good 2 2 4" xfId="1878"/>
    <cellStyle name="Good 2 3" xfId="227"/>
    <cellStyle name="Good 2 3 2" xfId="1879"/>
    <cellStyle name="Good 2 3 3" xfId="1880"/>
    <cellStyle name="Good 2 4" xfId="1881"/>
    <cellStyle name="Good 2 4 2" xfId="1882"/>
    <cellStyle name="Good 2 4 3" xfId="1883"/>
    <cellStyle name="Good 2 5" xfId="1884"/>
    <cellStyle name="Good 2 5 2" xfId="1885"/>
    <cellStyle name="Good 2 5 3" xfId="1886"/>
    <cellStyle name="Good 2 6" xfId="1887"/>
    <cellStyle name="Good 2 6 2" xfId="4579"/>
    <cellStyle name="Good 2 6 3" xfId="4580"/>
    <cellStyle name="Good 2 6 4" xfId="4581"/>
    <cellStyle name="Good 2 7" xfId="1888"/>
    <cellStyle name="Good 3" xfId="1889"/>
    <cellStyle name="Good 3 2" xfId="1890"/>
    <cellStyle name="Good 3 2 2" xfId="4582"/>
    <cellStyle name="Good 3 2 3" xfId="4583"/>
    <cellStyle name="Good 3 2 4" xfId="4584"/>
    <cellStyle name="Good 3 3" xfId="1891"/>
    <cellStyle name="Good 4" xfId="1892"/>
    <cellStyle name="Good 4 2" xfId="1893"/>
    <cellStyle name="Good 4 3" xfId="1894"/>
    <cellStyle name="Good 5" xfId="1895"/>
    <cellStyle name="Good 6" xfId="1896"/>
    <cellStyle name="Grey" xfId="4585"/>
    <cellStyle name="Grey 2" xfId="4586"/>
    <cellStyle name="Grey 2 2" xfId="4587"/>
    <cellStyle name="Grey 3" xfId="4588"/>
    <cellStyle name="Grey 3 2" xfId="4589"/>
    <cellStyle name="h0 -Heading" xfId="1897"/>
    <cellStyle name="h0 -Heading 2" xfId="1898"/>
    <cellStyle name="h0 -Heading 2 2" xfId="1899"/>
    <cellStyle name="h0 -Heading 2 3" xfId="1900"/>
    <cellStyle name="h0 -Heading 3" xfId="1901"/>
    <cellStyle name="h0 -Heading 4" xfId="1902"/>
    <cellStyle name="h1 -Heading" xfId="1903"/>
    <cellStyle name="h1 -Heading 2" xfId="1904"/>
    <cellStyle name="h1 -Heading 2 2" xfId="1905"/>
    <cellStyle name="h1 -Heading 2 3" xfId="1906"/>
    <cellStyle name="h1 -Heading 3" xfId="1907"/>
    <cellStyle name="h1 -Heading 4" xfId="1908"/>
    <cellStyle name="h2 -Heading" xfId="1909"/>
    <cellStyle name="h2 -Heading 2" xfId="1910"/>
    <cellStyle name="h2 -Heading 2 2" xfId="1911"/>
    <cellStyle name="h2 -Heading 2 3" xfId="1912"/>
    <cellStyle name="h2 -Heading 3" xfId="1913"/>
    <cellStyle name="h2 -Heading 4" xfId="1914"/>
    <cellStyle name="h3 -Heading" xfId="1915"/>
    <cellStyle name="h3 -Heading 2" xfId="1916"/>
    <cellStyle name="h3 -Heading 2 2" xfId="1917"/>
    <cellStyle name="h3 -Heading 2 3" xfId="1918"/>
    <cellStyle name="h3 -Heading 3" xfId="1919"/>
    <cellStyle name="h3 -Heading 4" xfId="1920"/>
    <cellStyle name="Heading 1" xfId="2" builtinId="16" customBuiltin="1"/>
    <cellStyle name="Heading 1 2" xfId="14"/>
    <cellStyle name="Heading 1 2 2" xfId="230"/>
    <cellStyle name="Heading 1 2 2 2" xfId="1921"/>
    <cellStyle name="Heading 1 2 2 2 2" xfId="1922"/>
    <cellStyle name="Heading 1 2 2 2 3" xfId="1923"/>
    <cellStyle name="Heading 1 2 2 2 4" xfId="4590"/>
    <cellStyle name="Heading 1 2 2 3" xfId="1924"/>
    <cellStyle name="Heading 1 2 2 3 2" xfId="1925"/>
    <cellStyle name="Heading 1 2 2 3 3" xfId="1926"/>
    <cellStyle name="Heading 1 2 2 3 3 2" xfId="4591"/>
    <cellStyle name="Heading 1 2 2 3 3 3" xfId="4592"/>
    <cellStyle name="Heading 1 2 2 3 4" xfId="4593"/>
    <cellStyle name="Heading 1 2 2 3 5" xfId="4594"/>
    <cellStyle name="Heading 1 2 2 3 6" xfId="4595"/>
    <cellStyle name="Heading 1 2 2 4" xfId="1927"/>
    <cellStyle name="Heading 1 2 2 4 2" xfId="4596"/>
    <cellStyle name="Heading 1 2 2 4 3" xfId="4597"/>
    <cellStyle name="Heading 1 2 2 4 4" xfId="4598"/>
    <cellStyle name="Heading 1 2 2 5" xfId="1928"/>
    <cellStyle name="Heading 1 2 3" xfId="229"/>
    <cellStyle name="Heading 1 2 3 2" xfId="1929"/>
    <cellStyle name="Heading 1 2 3 2 2" xfId="1930"/>
    <cellStyle name="Heading 1 2 3 2 3" xfId="1931"/>
    <cellStyle name="Heading 1 2 3 3" xfId="1932"/>
    <cellStyle name="Heading 1 2 3 4" xfId="1933"/>
    <cellStyle name="Heading 1 2 3 5" xfId="4599"/>
    <cellStyle name="Heading 1 2 4" xfId="1934"/>
    <cellStyle name="Heading 1 2 4 2" xfId="1935"/>
    <cellStyle name="Heading 1 2 4 3" xfId="1936"/>
    <cellStyle name="Heading 1 2 5" xfId="1937"/>
    <cellStyle name="Heading 1 2 5 2" xfId="1938"/>
    <cellStyle name="Heading 1 2 5 3" xfId="1939"/>
    <cellStyle name="Heading 1 2 6" xfId="1940"/>
    <cellStyle name="Heading 1 2 6 2" xfId="4600"/>
    <cellStyle name="Heading 1 2 6 3" xfId="4601"/>
    <cellStyle name="Heading 1 2 6 4" xfId="4602"/>
    <cellStyle name="Heading 1 2 7" xfId="1941"/>
    <cellStyle name="Heading 1 2_CPI" xfId="355"/>
    <cellStyle name="Heading 1 3" xfId="1942"/>
    <cellStyle name="Heading 1 3 2" xfId="1943"/>
    <cellStyle name="Heading 1 3 2 2" xfId="1944"/>
    <cellStyle name="Heading 1 3 2 3" xfId="1945"/>
    <cellStyle name="Heading 1 3 2 4" xfId="4603"/>
    <cellStyle name="Heading 1 3 2 5" xfId="4604"/>
    <cellStyle name="Heading 1 3 3" xfId="1946"/>
    <cellStyle name="Heading 1 3 4" xfId="1947"/>
    <cellStyle name="Heading 1 4" xfId="1948"/>
    <cellStyle name="Heading 1 4 2" xfId="1949"/>
    <cellStyle name="Heading 1 4 3" xfId="1950"/>
    <cellStyle name="Heading 1 5" xfId="1951"/>
    <cellStyle name="Heading 1 5 2" xfId="1952"/>
    <cellStyle name="Heading 1 5 3" xfId="1953"/>
    <cellStyle name="Heading 1 5 4" xfId="1954"/>
    <cellStyle name="Heading 1 6" xfId="1955"/>
    <cellStyle name="Heading 1 7" xfId="1956"/>
    <cellStyle name="Heading 1 8" xfId="4605"/>
    <cellStyle name="Heading 1-noindex" xfId="1957"/>
    <cellStyle name="Heading 1-noindex 2" xfId="1958"/>
    <cellStyle name="Heading 1-noindex 2 2" xfId="1959"/>
    <cellStyle name="Heading 1-noindex 2 3" xfId="1960"/>
    <cellStyle name="Heading 1-noindex 3" xfId="1961"/>
    <cellStyle name="Heading 1-noindex 3 2" xfId="1962"/>
    <cellStyle name="Heading 1-noindex 4" xfId="1963"/>
    <cellStyle name="Heading 2" xfId="3" builtinId="17" customBuiltin="1"/>
    <cellStyle name="Heading 2 2" xfId="12"/>
    <cellStyle name="Heading 2 2 2" xfId="232"/>
    <cellStyle name="Heading 2 2 2 2" xfId="1964"/>
    <cellStyle name="Heading 2 2 2 2 2" xfId="1965"/>
    <cellStyle name="Heading 2 2 2 2 3" xfId="1966"/>
    <cellStyle name="Heading 2 2 2 2 4" xfId="4606"/>
    <cellStyle name="Heading 2 2 2 3" xfId="1967"/>
    <cellStyle name="Heading 2 2 2 3 2" xfId="1968"/>
    <cellStyle name="Heading 2 2 2 3 3" xfId="1969"/>
    <cellStyle name="Heading 2 2 2 3 3 2" xfId="4607"/>
    <cellStyle name="Heading 2 2 2 3 3 3" xfId="4608"/>
    <cellStyle name="Heading 2 2 2 3 4" xfId="4609"/>
    <cellStyle name="Heading 2 2 2 3 5" xfId="4610"/>
    <cellStyle name="Heading 2 2 2 3 6" xfId="4611"/>
    <cellStyle name="Heading 2 2 2 4" xfId="1970"/>
    <cellStyle name="Heading 2 2 2 4 2" xfId="4612"/>
    <cellStyle name="Heading 2 2 2 4 3" xfId="4613"/>
    <cellStyle name="Heading 2 2 2 4 4" xfId="4614"/>
    <cellStyle name="Heading 2 2 2 5" xfId="1971"/>
    <cellStyle name="Heading 2 2 3" xfId="231"/>
    <cellStyle name="Heading 2 2 3 2" xfId="1972"/>
    <cellStyle name="Heading 2 2 3 2 2" xfId="4615"/>
    <cellStyle name="Heading 2 2 3 3" xfId="1973"/>
    <cellStyle name="Heading 2 2 3 4" xfId="4616"/>
    <cellStyle name="Heading 2 2 4" xfId="1974"/>
    <cellStyle name="Heading 2 2 4 2" xfId="1975"/>
    <cellStyle name="Heading 2 2 4 3" xfId="1976"/>
    <cellStyle name="Heading 2 2 5" xfId="1977"/>
    <cellStyle name="Heading 2 2 5 2" xfId="4617"/>
    <cellStyle name="Heading 2 2 5 3" xfId="4618"/>
    <cellStyle name="Heading 2 2 5 4" xfId="4619"/>
    <cellStyle name="Heading 2 2 6" xfId="1978"/>
    <cellStyle name="Heading 2 2_CPI" xfId="356"/>
    <cellStyle name="Heading 2 3" xfId="1979"/>
    <cellStyle name="Heading 2 3 2" xfId="1980"/>
    <cellStyle name="Heading 2 3 2 2" xfId="1981"/>
    <cellStyle name="Heading 2 3 2 3" xfId="1982"/>
    <cellStyle name="Heading 2 3 2 4" xfId="4620"/>
    <cellStyle name="Heading 2 3 2 5" xfId="4621"/>
    <cellStyle name="Heading 2 3 3" xfId="1983"/>
    <cellStyle name="Heading 2 3 4" xfId="1984"/>
    <cellStyle name="Heading 2 4" xfId="1985"/>
    <cellStyle name="Heading 2 4 2" xfId="1986"/>
    <cellStyle name="Heading 2 4 3" xfId="1987"/>
    <cellStyle name="Heading 2 5" xfId="1988"/>
    <cellStyle name="Heading 2 5 2" xfId="1989"/>
    <cellStyle name="Heading 2 5 3" xfId="1990"/>
    <cellStyle name="Heading 2 6" xfId="1991"/>
    <cellStyle name="Heading 2 7" xfId="1992"/>
    <cellStyle name="Heading 2 8" xfId="4622"/>
    <cellStyle name="Heading 3" xfId="4" builtinId="18" customBuiltin="1"/>
    <cellStyle name="Heading 3 2" xfId="47"/>
    <cellStyle name="Heading 3 2 10" xfId="4623"/>
    <cellStyle name="Heading 3 2 11" xfId="4624"/>
    <cellStyle name="Heading 3 2 12" xfId="4625"/>
    <cellStyle name="Heading 3 2 2" xfId="234"/>
    <cellStyle name="Heading 3 2 2 10" xfId="4626"/>
    <cellStyle name="Heading 3 2 2 11" xfId="4627"/>
    <cellStyle name="Heading 3 2 2 2" xfId="1993"/>
    <cellStyle name="Heading 3 2 2 2 2" xfId="1994"/>
    <cellStyle name="Heading 3 2 2 2 2 2" xfId="4628"/>
    <cellStyle name="Heading 3 2 2 2 2 2 2" xfId="4629"/>
    <cellStyle name="Heading 3 2 2 2 2 2 3" xfId="4630"/>
    <cellStyle name="Heading 3 2 2 2 2 3" xfId="4631"/>
    <cellStyle name="Heading 3 2 2 2 2 4" xfId="4632"/>
    <cellStyle name="Heading 3 2 2 2 3" xfId="1995"/>
    <cellStyle name="Heading 3 2 2 2 3 2" xfId="4633"/>
    <cellStyle name="Heading 3 2 2 2 3 2 2" xfId="4634"/>
    <cellStyle name="Heading 3 2 2 2 3 2 3" xfId="4635"/>
    <cellStyle name="Heading 3 2 2 2 3 3" xfId="4636"/>
    <cellStyle name="Heading 3 2 2 2 3 4" xfId="4637"/>
    <cellStyle name="Heading 3 2 2 2 4" xfId="4638"/>
    <cellStyle name="Heading 3 2 2 2 4 2" xfId="4639"/>
    <cellStyle name="Heading 3 2 2 2 5" xfId="4640"/>
    <cellStyle name="Heading 3 2 2 2 5 2" xfId="4641"/>
    <cellStyle name="Heading 3 2 2 2 5 3" xfId="4642"/>
    <cellStyle name="Heading 3 2 2 2 6" xfId="4643"/>
    <cellStyle name="Heading 3 2 2 2 7" xfId="4644"/>
    <cellStyle name="Heading 3 2 2 2 8" xfId="4645"/>
    <cellStyle name="Heading 3 2 2 2 9" xfId="4646"/>
    <cellStyle name="Heading 3 2 2 3" xfId="1996"/>
    <cellStyle name="Heading 3 2 2 3 2" xfId="1997"/>
    <cellStyle name="Heading 3 2 2 3 2 2" xfId="4647"/>
    <cellStyle name="Heading 3 2 2 3 2 2 2" xfId="4648"/>
    <cellStyle name="Heading 3 2 2 3 2 2 3" xfId="4649"/>
    <cellStyle name="Heading 3 2 2 3 2 3" xfId="4650"/>
    <cellStyle name="Heading 3 2 2 3 2 4" xfId="4651"/>
    <cellStyle name="Heading 3 2 2 3 3" xfId="1998"/>
    <cellStyle name="Heading 3 2 2 3 3 2" xfId="4652"/>
    <cellStyle name="Heading 3 2 2 3 3 2 2" xfId="4653"/>
    <cellStyle name="Heading 3 2 2 3 3 2 3" xfId="4654"/>
    <cellStyle name="Heading 3 2 2 3 3 3" xfId="4655"/>
    <cellStyle name="Heading 3 2 2 3 3 3 2" xfId="4656"/>
    <cellStyle name="Heading 3 2 2 3 3 4" xfId="4657"/>
    <cellStyle name="Heading 3 2 2 3 3 5" xfId="4658"/>
    <cellStyle name="Heading 3 2 2 3 3 6" xfId="4659"/>
    <cellStyle name="Heading 3 2 2 3 4" xfId="4660"/>
    <cellStyle name="Heading 3 2 2 3 4 2" xfId="4661"/>
    <cellStyle name="Heading 3 2 2 3 4 2 2" xfId="4662"/>
    <cellStyle name="Heading 3 2 2 3 4 3" xfId="4663"/>
    <cellStyle name="Heading 3 2 2 3 4 4" xfId="4664"/>
    <cellStyle name="Heading 3 2 2 3 5" xfId="4665"/>
    <cellStyle name="Heading 3 2 2 3 5 2" xfId="4666"/>
    <cellStyle name="Heading 3 2 2 3 6" xfId="4667"/>
    <cellStyle name="Heading 3 2 2 3 7" xfId="4668"/>
    <cellStyle name="Heading 3 2 2 3 8" xfId="4669"/>
    <cellStyle name="Heading 3 2 2 4" xfId="1999"/>
    <cellStyle name="Heading 3 2 2 4 2" xfId="4670"/>
    <cellStyle name="Heading 3 2 2 4 2 2" xfId="4671"/>
    <cellStyle name="Heading 3 2 2 4 2 3" xfId="4672"/>
    <cellStyle name="Heading 3 2 2 4 3" xfId="4673"/>
    <cellStyle name="Heading 3 2 2 4 4" xfId="4674"/>
    <cellStyle name="Heading 3 2 2 4 5" xfId="4675"/>
    <cellStyle name="Heading 3 2 2 5" xfId="2000"/>
    <cellStyle name="Heading 3 2 2 5 2" xfId="4676"/>
    <cellStyle name="Heading 3 2 2 5 2 2" xfId="4677"/>
    <cellStyle name="Heading 3 2 2 5 2 3" xfId="4678"/>
    <cellStyle name="Heading 3 2 2 5 3" xfId="4679"/>
    <cellStyle name="Heading 3 2 2 5 4" xfId="4680"/>
    <cellStyle name="Heading 3 2 2 6" xfId="4681"/>
    <cellStyle name="Heading 3 2 2 6 2" xfId="4682"/>
    <cellStyle name="Heading 3 2 2 7" xfId="4683"/>
    <cellStyle name="Heading 3 2 2 7 2" xfId="4684"/>
    <cellStyle name="Heading 3 2 2 7 3" xfId="4685"/>
    <cellStyle name="Heading 3 2 2 8" xfId="4686"/>
    <cellStyle name="Heading 3 2 2 9" xfId="4687"/>
    <cellStyle name="Heading 3 2 3" xfId="233"/>
    <cellStyle name="Heading 3 2 3 2" xfId="4688"/>
    <cellStyle name="Heading 3 2 3 3" xfId="4689"/>
    <cellStyle name="Heading 3 2 4" xfId="2001"/>
    <cellStyle name="Heading 3 2 4 2" xfId="2002"/>
    <cellStyle name="Heading 3 2 4 2 2" xfId="4690"/>
    <cellStyle name="Heading 3 2 4 2 2 2" xfId="4691"/>
    <cellStyle name="Heading 3 2 4 2 2 3" xfId="4692"/>
    <cellStyle name="Heading 3 2 4 2 3" xfId="4693"/>
    <cellStyle name="Heading 3 2 4 2 4" xfId="4694"/>
    <cellStyle name="Heading 3 2 4 3" xfId="2003"/>
    <cellStyle name="Heading 3 2 4 3 2" xfId="4695"/>
    <cellStyle name="Heading 3 2 4 3 2 2" xfId="4696"/>
    <cellStyle name="Heading 3 2 4 3 2 3" xfId="4697"/>
    <cellStyle name="Heading 3 2 4 3 3" xfId="4698"/>
    <cellStyle name="Heading 3 2 4 3 4" xfId="4699"/>
    <cellStyle name="Heading 3 2 4 4" xfId="4700"/>
    <cellStyle name="Heading 3 2 4 4 2" xfId="4701"/>
    <cellStyle name="Heading 3 2 4 5" xfId="4702"/>
    <cellStyle name="Heading 3 2 4 5 2" xfId="4703"/>
    <cellStyle name="Heading 3 2 4 5 3" xfId="4704"/>
    <cellStyle name="Heading 3 2 4 6" xfId="4705"/>
    <cellStyle name="Heading 3 2 4 7" xfId="4706"/>
    <cellStyle name="Heading 3 2 4 8" xfId="4707"/>
    <cellStyle name="Heading 3 2 4 9" xfId="4708"/>
    <cellStyle name="Heading 3 2 5" xfId="2004"/>
    <cellStyle name="Heading 3 2 5 2" xfId="4709"/>
    <cellStyle name="Heading 3 2 5 2 2" xfId="4710"/>
    <cellStyle name="Heading 3 2 5 2 3" xfId="4711"/>
    <cellStyle name="Heading 3 2 5 3" xfId="4712"/>
    <cellStyle name="Heading 3 2 5 4" xfId="4713"/>
    <cellStyle name="Heading 3 2 5 5" xfId="4714"/>
    <cellStyle name="Heading 3 2 6" xfId="2005"/>
    <cellStyle name="Heading 3 2 6 2" xfId="4715"/>
    <cellStyle name="Heading 3 2 6 2 2" xfId="4716"/>
    <cellStyle name="Heading 3 2 6 2 3" xfId="4717"/>
    <cellStyle name="Heading 3 2 6 3" xfId="4718"/>
    <cellStyle name="Heading 3 2 6 4" xfId="4719"/>
    <cellStyle name="Heading 3 2 7" xfId="4720"/>
    <cellStyle name="Heading 3 2 7 2" xfId="4721"/>
    <cellStyle name="Heading 3 2 8" xfId="4722"/>
    <cellStyle name="Heading 3 2 8 2" xfId="4723"/>
    <cellStyle name="Heading 3 2 8 3" xfId="4724"/>
    <cellStyle name="Heading 3 2 9" xfId="4725"/>
    <cellStyle name="Heading 3 3" xfId="2006"/>
    <cellStyle name="Heading 3 3 2" xfId="2007"/>
    <cellStyle name="Heading 3 3 2 2" xfId="4726"/>
    <cellStyle name="Heading 3 3 2 3" xfId="4727"/>
    <cellStyle name="Heading 3 3 2 4" xfId="4728"/>
    <cellStyle name="Heading 3 3 3" xfId="2008"/>
    <cellStyle name="Heading 3 4" xfId="2009"/>
    <cellStyle name="Heading 3 4 2" xfId="2010"/>
    <cellStyle name="Heading 3 4 2 2" xfId="4729"/>
    <cellStyle name="Heading 3 4 2 2 2" xfId="4730"/>
    <cellStyle name="Heading 3 4 2 2 3" xfId="4731"/>
    <cellStyle name="Heading 3 4 2 3" xfId="4732"/>
    <cellStyle name="Heading 3 4 2 4" xfId="4733"/>
    <cellStyle name="Heading 3 4 3" xfId="2011"/>
    <cellStyle name="Heading 3 4 3 2" xfId="4734"/>
    <cellStyle name="Heading 3 4 3 2 2" xfId="4735"/>
    <cellStyle name="Heading 3 4 3 2 3" xfId="4736"/>
    <cellStyle name="Heading 3 4 3 3" xfId="4737"/>
    <cellStyle name="Heading 3 4 3 4" xfId="4738"/>
    <cellStyle name="Heading 3 4 4" xfId="4739"/>
    <cellStyle name="Heading 3 4 4 2" xfId="4740"/>
    <cellStyle name="Heading 3 4 5" xfId="4741"/>
    <cellStyle name="Heading 3 4 5 2" xfId="4742"/>
    <cellStyle name="Heading 3 4 5 3" xfId="4743"/>
    <cellStyle name="Heading 3 4 6" xfId="4744"/>
    <cellStyle name="Heading 3 4 7" xfId="4745"/>
    <cellStyle name="Heading 3 4 8" xfId="4746"/>
    <cellStyle name="Heading 3 4 9" xfId="4747"/>
    <cellStyle name="Heading 3 5" xfId="2012"/>
    <cellStyle name="Heading 3 6" xfId="2013"/>
    <cellStyle name="Heading 3 7" xfId="4748"/>
    <cellStyle name="Heading 4 2" xfId="48"/>
    <cellStyle name="Heading 4 2 2" xfId="236"/>
    <cellStyle name="Heading 4 2 2 2" xfId="2014"/>
    <cellStyle name="Heading 4 2 2 2 2" xfId="2015"/>
    <cellStyle name="Heading 4 2 2 2 3" xfId="2016"/>
    <cellStyle name="Heading 4 2 2 3" xfId="2017"/>
    <cellStyle name="Heading 4 2 2 3 2" xfId="2018"/>
    <cellStyle name="Heading 4 2 2 3 3" xfId="2019"/>
    <cellStyle name="Heading 4 2 2 3 3 2" xfId="4749"/>
    <cellStyle name="Heading 4 2 2 3 3 3" xfId="4750"/>
    <cellStyle name="Heading 4 2 2 3 4" xfId="4751"/>
    <cellStyle name="Heading 4 2 2 3 5" xfId="4752"/>
    <cellStyle name="Heading 4 2 2 3 6" xfId="4753"/>
    <cellStyle name="Heading 4 2 2 4" xfId="2020"/>
    <cellStyle name="Heading 4 2 2 4 2" xfId="4754"/>
    <cellStyle name="Heading 4 2 2 4 3" xfId="4755"/>
    <cellStyle name="Heading 4 2 2 4 4" xfId="4756"/>
    <cellStyle name="Heading 4 2 2 5" xfId="2021"/>
    <cellStyle name="Heading 4 2 3" xfId="235"/>
    <cellStyle name="Heading 4 2 3 2" xfId="2022"/>
    <cellStyle name="Heading 4 2 3 3" xfId="2023"/>
    <cellStyle name="Heading 4 2 3 4" xfId="4757"/>
    <cellStyle name="Heading 4 2 4" xfId="2024"/>
    <cellStyle name="Heading 4 2 4 2" xfId="2025"/>
    <cellStyle name="Heading 4 2 4 3" xfId="2026"/>
    <cellStyle name="Heading 4 2 5" xfId="2027"/>
    <cellStyle name="Heading 4 2 5 2" xfId="4758"/>
    <cellStyle name="Heading 4 2 5 3" xfId="4759"/>
    <cellStyle name="Heading 4 2 5 4" xfId="4760"/>
    <cellStyle name="Heading 4 2 6" xfId="2028"/>
    <cellStyle name="Heading 4 3" xfId="2029"/>
    <cellStyle name="Heading 4 3 2" xfId="2030"/>
    <cellStyle name="Heading 4 3 2 2" xfId="2031"/>
    <cellStyle name="Heading 4 3 2 2 2" xfId="2032"/>
    <cellStyle name="Heading 4 3 2 2 3" xfId="2033"/>
    <cellStyle name="Heading 4 3 2 3" xfId="2034"/>
    <cellStyle name="Heading 4 3 2 4" xfId="2035"/>
    <cellStyle name="Heading 4 3 3" xfId="2036"/>
    <cellStyle name="Heading 4 3 3 2" xfId="2037"/>
    <cellStyle name="Heading 4 3 3 3" xfId="2038"/>
    <cellStyle name="Heading 4 3 4" xfId="2039"/>
    <cellStyle name="Heading 4 3 4 2" xfId="4761"/>
    <cellStyle name="Heading 4 3 4 3" xfId="4762"/>
    <cellStyle name="Heading 4 3 4 4" xfId="4763"/>
    <cellStyle name="Heading 4 3 5" xfId="2040"/>
    <cellStyle name="Heading 4 4" xfId="2041"/>
    <cellStyle name="Heading 4 4 2" xfId="2042"/>
    <cellStyle name="Heading 4 4 3" xfId="2043"/>
    <cellStyle name="Heading 4 5" xfId="2044"/>
    <cellStyle name="Heading 4 6" xfId="2045"/>
    <cellStyle name="Heavy Box" xfId="2046"/>
    <cellStyle name="Heavy Box 2" xfId="2047"/>
    <cellStyle name="Heavy Box 2 2" xfId="2048"/>
    <cellStyle name="Heavy Box 2 3" xfId="2049"/>
    <cellStyle name="Heavy Box 3" xfId="2050"/>
    <cellStyle name="Heavy Box 4" xfId="2051"/>
    <cellStyle name="Heavy Box 5" xfId="2052"/>
    <cellStyle name="hp0 -Hyperlink" xfId="2053"/>
    <cellStyle name="hp0 -Hyperlink 2" xfId="2054"/>
    <cellStyle name="hp0 -Hyperlink 3" xfId="2055"/>
    <cellStyle name="hp1 -Hyperlink" xfId="2056"/>
    <cellStyle name="hp1 -Hyperlink 2" xfId="2057"/>
    <cellStyle name="hp1 -Hyperlink 3" xfId="2058"/>
    <cellStyle name="hp2 -Hyperlink" xfId="2059"/>
    <cellStyle name="hp2 -Hyperlink 2" xfId="2060"/>
    <cellStyle name="hp2 -Hyperlink 3" xfId="2061"/>
    <cellStyle name="hp3 -Hyperlink" xfId="2062"/>
    <cellStyle name="hp3 -Hyperlink 2" xfId="2063"/>
    <cellStyle name="hp3 -Hyperlink 3" xfId="2064"/>
    <cellStyle name="Hyperlink" xfId="72" builtinId="8"/>
    <cellStyle name="Hyperlink 2" xfId="237"/>
    <cellStyle name="Hyperlink 2 2" xfId="2065"/>
    <cellStyle name="Hyperlink 2 2 2" xfId="2066"/>
    <cellStyle name="Hyperlink 2 2 2 2" xfId="2067"/>
    <cellStyle name="Hyperlink 2 2 2 3" xfId="2068"/>
    <cellStyle name="Hyperlink 2 2 2 4" xfId="2069"/>
    <cellStyle name="Hyperlink 2 2 3" xfId="2070"/>
    <cellStyle name="Hyperlink 2 2 3 2" xfId="2071"/>
    <cellStyle name="Hyperlink 2 2 3 3" xfId="2072"/>
    <cellStyle name="Hyperlink 2 3" xfId="2073"/>
    <cellStyle name="Hyperlink 2 3 2" xfId="2074"/>
    <cellStyle name="Hyperlink 2 3 3" xfId="2075"/>
    <cellStyle name="Hyperlink 2 3 4" xfId="2076"/>
    <cellStyle name="Hyperlink 2 4" xfId="2077"/>
    <cellStyle name="Hyperlink 2 4 2" xfId="2078"/>
    <cellStyle name="Hyperlink 2 4 2 2" xfId="2079"/>
    <cellStyle name="Hyperlink 2 4 2 3" xfId="2080"/>
    <cellStyle name="Hyperlink 2 4 3" xfId="2081"/>
    <cellStyle name="Hyperlink 2 4 4" xfId="2082"/>
    <cellStyle name="Hyperlink 2 5" xfId="2083"/>
    <cellStyle name="Hyperlink 2 5 2" xfId="2084"/>
    <cellStyle name="Hyperlink 2 5 3" xfId="2085"/>
    <cellStyle name="Hyperlink 2 6" xfId="2086"/>
    <cellStyle name="Hyperlink 2 7" xfId="2087"/>
    <cellStyle name="Hyperlink 2 7 2" xfId="2088"/>
    <cellStyle name="Hyperlink 2 7 3" xfId="2089"/>
    <cellStyle name="Hyperlink 2 8" xfId="2090"/>
    <cellStyle name="Hyperlink 3" xfId="238"/>
    <cellStyle name="Hyperlink 3 2" xfId="2091"/>
    <cellStyle name="Hyperlink 3 2 2" xfId="2092"/>
    <cellStyle name="Hyperlink 3 2 3" xfId="2093"/>
    <cellStyle name="Hyperlink 3 3" xfId="2094"/>
    <cellStyle name="Hyperlink 3 4" xfId="2095"/>
    <cellStyle name="Hyperlink 3 4 2" xfId="2096"/>
    <cellStyle name="Hyperlink 3 4 3" xfId="2097"/>
    <cellStyle name="Hyperlink 3 5" xfId="2098"/>
    <cellStyle name="Hyperlink 3 6" xfId="2099"/>
    <cellStyle name="Hyperlink 4" xfId="375"/>
    <cellStyle name="Hyperlink 4 2" xfId="2100"/>
    <cellStyle name="Hyperlink 4 2 2" xfId="2101"/>
    <cellStyle name="Hyperlink 4 2 3" xfId="2102"/>
    <cellStyle name="Hyperlink 4 3" xfId="2103"/>
    <cellStyle name="Hyperlink 4 4" xfId="2104"/>
    <cellStyle name="Hyperlink 4 5" xfId="4764"/>
    <cellStyle name="Hyperlink 5" xfId="2105"/>
    <cellStyle name="Hyperlink 6" xfId="2106"/>
    <cellStyle name="Hyperlink 7" xfId="4765"/>
    <cellStyle name="Hyperlink 8" xfId="4766"/>
    <cellStyle name="ic0 -InpComma" xfId="2107"/>
    <cellStyle name="ic1 -InpComma" xfId="2108"/>
    <cellStyle name="ic2 -InpComma" xfId="2109"/>
    <cellStyle name="ic3 -InpComma" xfId="2110"/>
    <cellStyle name="ic4 -InpComma" xfId="2111"/>
    <cellStyle name="idDMMY -InpDate" xfId="2112"/>
    <cellStyle name="idDMMYHM -InpDateTime" xfId="2113"/>
    <cellStyle name="idDMY -InpDate" xfId="2114"/>
    <cellStyle name="idMDY -InpDate" xfId="2115"/>
    <cellStyle name="idMMY -InpDate" xfId="2116"/>
    <cellStyle name="if0 -InpFixed" xfId="2117"/>
    <cellStyle name="if0b-InpFixedB" xfId="2118"/>
    <cellStyle name="if0-InpFixed" xfId="2119"/>
    <cellStyle name="iln -InpTableTextNoWrap" xfId="2120"/>
    <cellStyle name="ilnb-InpTableTextNoWrapB" xfId="2121"/>
    <cellStyle name="ilw -InpTableTextWrap" xfId="2122"/>
    <cellStyle name="ilw -InpTableTextWrap 2" xfId="2123"/>
    <cellStyle name="ilw -InpTableTextWrap 3" xfId="2124"/>
    <cellStyle name="imHM  -InpTime" xfId="2125"/>
    <cellStyle name="imHM24+ -InpTime" xfId="2126"/>
    <cellStyle name="Input" xfId="5" builtinId="20" customBuiltin="1"/>
    <cellStyle name="Input 2" xfId="13"/>
    <cellStyle name="Input 2 2" xfId="240"/>
    <cellStyle name="Input 2 2 2" xfId="2127"/>
    <cellStyle name="Input 2 2 2 2" xfId="2128"/>
    <cellStyle name="Input 2 2 2 2 2" xfId="2129"/>
    <cellStyle name="Input 2 2 2 2 3" xfId="2130"/>
    <cellStyle name="Input 2 2 2 3" xfId="2131"/>
    <cellStyle name="Input 2 2 2 3 2" xfId="2132"/>
    <cellStyle name="Input 2 2 2 3 3" xfId="2133"/>
    <cellStyle name="Input 2 2 2 4" xfId="2134"/>
    <cellStyle name="Input 2 2 2 5" xfId="2135"/>
    <cellStyle name="Input 2 2 3" xfId="2136"/>
    <cellStyle name="Input 2 2 3 2" xfId="2137"/>
    <cellStyle name="Input 2 2 3 2 2" xfId="4767"/>
    <cellStyle name="Input 2 2 3 3" xfId="2138"/>
    <cellStyle name="Input 2 2 3 3 2" xfId="4768"/>
    <cellStyle name="Input 2 2 3 3 3" xfId="4769"/>
    <cellStyle name="Input 2 2 3 4" xfId="4770"/>
    <cellStyle name="Input 2 2 3 5" xfId="4771"/>
    <cellStyle name="Input 2 2 3 6" xfId="4772"/>
    <cellStyle name="Input 2 2 3 7" xfId="4773"/>
    <cellStyle name="Input 2 2 4" xfId="2139"/>
    <cellStyle name="Input 2 2 4 2" xfId="2140"/>
    <cellStyle name="Input 2 2 4 3" xfId="2141"/>
    <cellStyle name="Input 2 2 5" xfId="2142"/>
    <cellStyle name="Input 2 2 5 2" xfId="2143"/>
    <cellStyle name="Input 2 2 5 3" xfId="2144"/>
    <cellStyle name="Input 2 2 6" xfId="2145"/>
    <cellStyle name="Input 2 2 6 2" xfId="4774"/>
    <cellStyle name="Input 2 2 6 3" xfId="4775"/>
    <cellStyle name="Input 2 2 6 4" xfId="4776"/>
    <cellStyle name="Input 2 2 7" xfId="2146"/>
    <cellStyle name="Input 2 2 7 2" xfId="4777"/>
    <cellStyle name="Input 2 2 7 3" xfId="4778"/>
    <cellStyle name="Input 2 2 8" xfId="4779"/>
    <cellStyle name="Input 2 2 9" xfId="4780"/>
    <cellStyle name="Input 2 3" xfId="239"/>
    <cellStyle name="Input 2 3 2" xfId="2147"/>
    <cellStyle name="Input 2 3 2 2" xfId="2148"/>
    <cellStyle name="Input 2 3 2 2 2" xfId="2149"/>
    <cellStyle name="Input 2 3 2 2 3" xfId="2150"/>
    <cellStyle name="Input 2 3 2 3" xfId="2151"/>
    <cellStyle name="Input 2 3 2 3 2" xfId="2152"/>
    <cellStyle name="Input 2 3 2 3 3" xfId="2153"/>
    <cellStyle name="Input 2 3 2 4" xfId="2154"/>
    <cellStyle name="Input 2 3 2 5" xfId="2155"/>
    <cellStyle name="Input 2 3 3" xfId="2156"/>
    <cellStyle name="Input 2 3 3 2" xfId="2157"/>
    <cellStyle name="Input 2 3 3 3" xfId="2158"/>
    <cellStyle name="Input 2 3 4" xfId="2159"/>
    <cellStyle name="Input 2 3 4 2" xfId="2160"/>
    <cellStyle name="Input 2 3 4 3" xfId="2161"/>
    <cellStyle name="Input 2 3 5" xfId="2162"/>
    <cellStyle name="Input 2 3 6" xfId="2163"/>
    <cellStyle name="Input 2 4" xfId="2164"/>
    <cellStyle name="Input 2 4 2" xfId="2165"/>
    <cellStyle name="Input 2 4 2 2" xfId="2166"/>
    <cellStyle name="Input 2 4 2 2 2" xfId="2167"/>
    <cellStyle name="Input 2 4 2 2 3" xfId="2168"/>
    <cellStyle name="Input 2 4 2 3" xfId="2169"/>
    <cellStyle name="Input 2 4 2 3 2" xfId="2170"/>
    <cellStyle name="Input 2 4 2 3 3" xfId="2171"/>
    <cellStyle name="Input 2 4 2 4" xfId="2172"/>
    <cellStyle name="Input 2 4 2 5" xfId="2173"/>
    <cellStyle name="Input 2 4 3" xfId="2174"/>
    <cellStyle name="Input 2 4 3 2" xfId="2175"/>
    <cellStyle name="Input 2 4 3 3" xfId="2176"/>
    <cellStyle name="Input 2 4 4" xfId="2177"/>
    <cellStyle name="Input 2 4 4 2" xfId="2178"/>
    <cellStyle name="Input 2 4 4 3" xfId="2179"/>
    <cellStyle name="Input 2 4 5" xfId="2180"/>
    <cellStyle name="Input 2 4 6" xfId="2181"/>
    <cellStyle name="Input 2 5" xfId="2182"/>
    <cellStyle name="Input 2 5 2" xfId="2183"/>
    <cellStyle name="Input 2 5 2 2" xfId="2184"/>
    <cellStyle name="Input 2 5 2 3" xfId="2185"/>
    <cellStyle name="Input 2 5 3" xfId="2186"/>
    <cellStyle name="Input 2 5 3 2" xfId="2187"/>
    <cellStyle name="Input 2 5 3 3" xfId="2188"/>
    <cellStyle name="Input 2 5 4" xfId="2189"/>
    <cellStyle name="Input 2 5 5" xfId="2190"/>
    <cellStyle name="Input 2 6" xfId="2191"/>
    <cellStyle name="Input 2 6 2" xfId="2192"/>
    <cellStyle name="Input 2 6 3" xfId="2193"/>
    <cellStyle name="Input 2 7" xfId="2194"/>
    <cellStyle name="Input 2 7 2" xfId="4781"/>
    <cellStyle name="Input 2 7 3" xfId="4782"/>
    <cellStyle name="Input 2 7 4" xfId="4783"/>
    <cellStyle name="Input 2 7 5" xfId="4784"/>
    <cellStyle name="Input 2 8" xfId="2195"/>
    <cellStyle name="Input 2_CPI" xfId="357"/>
    <cellStyle name="Input 3" xfId="2196"/>
    <cellStyle name="Input 3 2" xfId="2197"/>
    <cellStyle name="Input 3 2 2" xfId="4785"/>
    <cellStyle name="Input 3 2 3" xfId="4786"/>
    <cellStyle name="Input 3 2 4" xfId="4787"/>
    <cellStyle name="Input 3 3" xfId="2198"/>
    <cellStyle name="Input 4" xfId="2199"/>
    <cellStyle name="Input 4 2" xfId="2200"/>
    <cellStyle name="Input 4 2 2" xfId="2201"/>
    <cellStyle name="Input 4 2 2 2" xfId="2202"/>
    <cellStyle name="Input 4 2 2 3" xfId="2203"/>
    <cellStyle name="Input 4 2 3" xfId="2204"/>
    <cellStyle name="Input 4 2 3 2" xfId="2205"/>
    <cellStyle name="Input 4 2 3 3" xfId="2206"/>
    <cellStyle name="Input 4 2 4" xfId="2207"/>
    <cellStyle name="Input 4 2 5" xfId="2208"/>
    <cellStyle name="Input 4 3" xfId="2209"/>
    <cellStyle name="Input 4 3 2" xfId="2210"/>
    <cellStyle name="Input 4 3 3" xfId="2211"/>
    <cellStyle name="Input 4 4" xfId="2212"/>
    <cellStyle name="Input 4 4 2" xfId="2213"/>
    <cellStyle name="Input 4 4 3" xfId="2214"/>
    <cellStyle name="Input 4 5" xfId="2215"/>
    <cellStyle name="Input 4 6" xfId="2216"/>
    <cellStyle name="Input 5" xfId="2217"/>
    <cellStyle name="Input 6" xfId="2218"/>
    <cellStyle name="Input 7" xfId="4788"/>
    <cellStyle name="ip0 -InpPercent" xfId="2219"/>
    <cellStyle name="ip1 -InpPercent" xfId="2220"/>
    <cellStyle name="ip2 -InpPercent" xfId="2221"/>
    <cellStyle name="ip3 -InpPercent" xfId="2222"/>
    <cellStyle name="ir0 -InpCurr" xfId="2223"/>
    <cellStyle name="ir1 -InpCurr" xfId="2224"/>
    <cellStyle name="ir2 -InpCurr" xfId="2225"/>
    <cellStyle name="ir3 -InpCurr" xfId="2226"/>
    <cellStyle name="ir4 -InpCurr" xfId="2227"/>
    <cellStyle name="is0 -InpSideText" xfId="2228"/>
    <cellStyle name="is1 -InpSideText" xfId="2229"/>
    <cellStyle name="is2 -InpSideText" xfId="2230"/>
    <cellStyle name="is3 -InpSideText" xfId="2231"/>
    <cellStyle name="is4 -InpSideText" xfId="2232"/>
    <cellStyle name="itn -InpTopTextNoWrap" xfId="2233"/>
    <cellStyle name="itw -InpTopTextWrap" xfId="2234"/>
    <cellStyle name="Label 1" xfId="2235"/>
    <cellStyle name="Label 1 2" xfId="2236"/>
    <cellStyle name="Label 2a" xfId="2237"/>
    <cellStyle name="Label 2a 2" xfId="2238"/>
    <cellStyle name="Label 2a centre" xfId="2239"/>
    <cellStyle name="Label 2a centre 2" xfId="2240"/>
    <cellStyle name="Label 2a centre 2 2" xfId="2241"/>
    <cellStyle name="Label 2a centre 2 3" xfId="2242"/>
    <cellStyle name="Label 2a centre 3" xfId="2243"/>
    <cellStyle name="Label 2a centre 4" xfId="2244"/>
    <cellStyle name="Label 2a merge" xfId="2245"/>
    <cellStyle name="Label 2a merge 2" xfId="2246"/>
    <cellStyle name="Label 2a merge 3" xfId="2247"/>
    <cellStyle name="Label 2b" xfId="2248"/>
    <cellStyle name="Label 2b merged" xfId="2249"/>
    <cellStyle name="Line rows" xfId="4789"/>
    <cellStyle name="Line rows 2" xfId="4790"/>
    <cellStyle name="Line rows 2 2" xfId="4791"/>
    <cellStyle name="Line rows 3" xfId="4792"/>
    <cellStyle name="Line rows 3 2" xfId="4793"/>
    <cellStyle name="Link" xfId="2250"/>
    <cellStyle name="Link 2" xfId="2251"/>
    <cellStyle name="Link 2 2" xfId="2252"/>
    <cellStyle name="Link 2 3" xfId="2253"/>
    <cellStyle name="Link 3" xfId="2254"/>
    <cellStyle name="Link 4" xfId="2255"/>
    <cellStyle name="Link 5" xfId="2256"/>
    <cellStyle name="Linked Cell 2" xfId="49"/>
    <cellStyle name="Linked Cell 2 2" xfId="242"/>
    <cellStyle name="Linked Cell 2 2 2" xfId="2257"/>
    <cellStyle name="Linked Cell 2 2 2 2" xfId="2258"/>
    <cellStyle name="Linked Cell 2 2 2 3" xfId="2259"/>
    <cellStyle name="Linked Cell 2 2 3" xfId="2260"/>
    <cellStyle name="Linked Cell 2 2 3 2" xfId="2261"/>
    <cellStyle name="Linked Cell 2 2 3 3" xfId="2262"/>
    <cellStyle name="Linked Cell 2 2 3 3 2" xfId="4794"/>
    <cellStyle name="Linked Cell 2 2 3 3 3" xfId="4795"/>
    <cellStyle name="Linked Cell 2 2 3 4" xfId="4796"/>
    <cellStyle name="Linked Cell 2 2 3 5" xfId="4797"/>
    <cellStyle name="Linked Cell 2 2 3 6" xfId="4798"/>
    <cellStyle name="Linked Cell 2 2 4" xfId="2263"/>
    <cellStyle name="Linked Cell 2 2 4 2" xfId="4799"/>
    <cellStyle name="Linked Cell 2 2 4 3" xfId="4800"/>
    <cellStyle name="Linked Cell 2 2 4 4" xfId="4801"/>
    <cellStyle name="Linked Cell 2 2 5" xfId="2264"/>
    <cellStyle name="Linked Cell 2 3" xfId="241"/>
    <cellStyle name="Linked Cell 2 3 2" xfId="2265"/>
    <cellStyle name="Linked Cell 2 3 3" xfId="2266"/>
    <cellStyle name="Linked Cell 2 3 4" xfId="4802"/>
    <cellStyle name="Linked Cell 2 4" xfId="2267"/>
    <cellStyle name="Linked Cell 2 4 2" xfId="4803"/>
    <cellStyle name="Linked Cell 2 4 3" xfId="4804"/>
    <cellStyle name="Linked Cell 2 4 4" xfId="4805"/>
    <cellStyle name="Linked Cell 2 5" xfId="2268"/>
    <cellStyle name="Linked Cell 3" xfId="2269"/>
    <cellStyle name="Linked Cell 3 2" xfId="2270"/>
    <cellStyle name="Linked Cell 3 2 2" xfId="4806"/>
    <cellStyle name="Linked Cell 3 2 3" xfId="4807"/>
    <cellStyle name="Linked Cell 3 2 4" xfId="4808"/>
    <cellStyle name="Linked Cell 3 3" xfId="2271"/>
    <cellStyle name="Linked Cell 4" xfId="2272"/>
    <cellStyle name="Linked Cell 4 2" xfId="2273"/>
    <cellStyle name="Linked Cell 4 3" xfId="2274"/>
    <cellStyle name="Linked Cell 5" xfId="2275"/>
    <cellStyle name="Linked Cell 6" xfId="2276"/>
    <cellStyle name="ltn -TableTextNoWrap" xfId="2277"/>
    <cellStyle name="ltn -TableTextNoWrap 2" xfId="2278"/>
    <cellStyle name="ltw -TableTextWrap" xfId="2279"/>
    <cellStyle name="ltw -TableTextWrap 2" xfId="2280"/>
    <cellStyle name="ltw -TableTextWrap 2 2" xfId="2281"/>
    <cellStyle name="ltw -TableTextWrap 2 3" xfId="2282"/>
    <cellStyle name="ltw -TableTextWrap 3" xfId="2283"/>
    <cellStyle name="ltw -TableTextWrap 4" xfId="2284"/>
    <cellStyle name="mmm" xfId="243"/>
    <cellStyle name="Neutral 2" xfId="50"/>
    <cellStyle name="Neutral 2 2" xfId="245"/>
    <cellStyle name="Neutral 2 2 2" xfId="2285"/>
    <cellStyle name="Neutral 2 2 2 2" xfId="2286"/>
    <cellStyle name="Neutral 2 2 2 3" xfId="2287"/>
    <cellStyle name="Neutral 2 2 2 3 2" xfId="4809"/>
    <cellStyle name="Neutral 2 2 2 3 3" xfId="4810"/>
    <cellStyle name="Neutral 2 2 2 4" xfId="4811"/>
    <cellStyle name="Neutral 2 2 2 5" xfId="4812"/>
    <cellStyle name="Neutral 2 2 2 6" xfId="4813"/>
    <cellStyle name="Neutral 2 2 3" xfId="2288"/>
    <cellStyle name="Neutral 2 2 3 2" xfId="4814"/>
    <cellStyle name="Neutral 2 2 3 3" xfId="4815"/>
    <cellStyle name="Neutral 2 2 3 4" xfId="4816"/>
    <cellStyle name="Neutral 2 2 4" xfId="2289"/>
    <cellStyle name="Neutral 2 3" xfId="244"/>
    <cellStyle name="Neutral 2 3 2" xfId="2290"/>
    <cellStyle name="Neutral 2 3 3" xfId="2291"/>
    <cellStyle name="Neutral 2 4" xfId="2292"/>
    <cellStyle name="Neutral 2 4 2" xfId="2293"/>
    <cellStyle name="Neutral 2 4 3" xfId="2294"/>
    <cellStyle name="Neutral 2 5" xfId="2295"/>
    <cellStyle name="Neutral 2 5 2" xfId="2296"/>
    <cellStyle name="Neutral 2 5 3" xfId="2297"/>
    <cellStyle name="Neutral 2 6" xfId="2298"/>
    <cellStyle name="Neutral 2 6 2" xfId="4817"/>
    <cellStyle name="Neutral 2 6 3" xfId="4818"/>
    <cellStyle name="Neutral 2 6 4" xfId="4819"/>
    <cellStyle name="Neutral 2 7" xfId="2299"/>
    <cellStyle name="Neutral 3" xfId="2300"/>
    <cellStyle name="Neutral 3 2" xfId="2301"/>
    <cellStyle name="Neutral 3 2 2" xfId="4820"/>
    <cellStyle name="Neutral 3 2 3" xfId="4821"/>
    <cellStyle name="Neutral 3 2 4" xfId="4822"/>
    <cellStyle name="Neutral 3 3" xfId="2302"/>
    <cellStyle name="Neutral 4" xfId="2303"/>
    <cellStyle name="Neutral 4 2" xfId="2304"/>
    <cellStyle name="Neutral 4 3" xfId="2305"/>
    <cellStyle name="Neutral 5" xfId="2306"/>
    <cellStyle name="Neutral 6" xfId="2307"/>
    <cellStyle name="Normal" xfId="0" builtinId="0"/>
    <cellStyle name="Normal - Style1" xfId="246"/>
    <cellStyle name="Normal - Style1 2" xfId="2308"/>
    <cellStyle name="Normal - Style1 3" xfId="2309"/>
    <cellStyle name="Normal 10" xfId="51"/>
    <cellStyle name="Normal 10 2" xfId="247"/>
    <cellStyle name="Normal 10 2 2" xfId="248"/>
    <cellStyle name="Normal 10 2 2 2" xfId="2310"/>
    <cellStyle name="Normal 10 2 2 2 2" xfId="2311"/>
    <cellStyle name="Normal 10 2 2 2 3" xfId="2312"/>
    <cellStyle name="Normal 10 2 2 3" xfId="2313"/>
    <cellStyle name="Normal 10 2 2 4" xfId="2314"/>
    <cellStyle name="Normal 10 2 3" xfId="2315"/>
    <cellStyle name="Normal 10 2 3 2" xfId="2316"/>
    <cellStyle name="Normal 10 2 3 2 2" xfId="2317"/>
    <cellStyle name="Normal 10 2 3 2 3" xfId="2318"/>
    <cellStyle name="Normal 10 2 3 3" xfId="2319"/>
    <cellStyle name="Normal 10 2 3 4" xfId="2320"/>
    <cellStyle name="Normal 10 2 4" xfId="2321"/>
    <cellStyle name="Normal 10 2 4 2" xfId="2322"/>
    <cellStyle name="Normal 10 2 4 3" xfId="2323"/>
    <cellStyle name="Normal 10 2 5" xfId="2324"/>
    <cellStyle name="Normal 10 2 5 2" xfId="4823"/>
    <cellStyle name="Normal 10 2 5 3" xfId="4824"/>
    <cellStyle name="Normal 10 2 5 4" xfId="4825"/>
    <cellStyle name="Normal 10 2 6" xfId="2325"/>
    <cellStyle name="Normal 10 3" xfId="249"/>
    <cellStyle name="Normal 10 3 2" xfId="250"/>
    <cellStyle name="Normal 10 3 2 2" xfId="2326"/>
    <cellStyle name="Normal 10 3 2 3" xfId="2327"/>
    <cellStyle name="Normal 10 3 3" xfId="2328"/>
    <cellStyle name="Normal 10 3 3 2" xfId="2329"/>
    <cellStyle name="Normal 10 3 3 2 2" xfId="2330"/>
    <cellStyle name="Normal 10 3 3 2 3" xfId="2331"/>
    <cellStyle name="Normal 10 3 3 3" xfId="2332"/>
    <cellStyle name="Normal 10 3 3 3 2" xfId="4826"/>
    <cellStyle name="Normal 10 3 3 3 3" xfId="4827"/>
    <cellStyle name="Normal 10 3 3 3 4" xfId="4828"/>
    <cellStyle name="Normal 10 3 3 4" xfId="2333"/>
    <cellStyle name="Normal 10 3 3 5" xfId="4829"/>
    <cellStyle name="Normal 10 3 3 6" xfId="4830"/>
    <cellStyle name="Normal 10 3 4" xfId="2334"/>
    <cellStyle name="Normal 10 3 5" xfId="2335"/>
    <cellStyle name="Normal 10 4" xfId="2336"/>
    <cellStyle name="Normal 10 4 2" xfId="2337"/>
    <cellStyle name="Normal 10 4 2 2" xfId="2338"/>
    <cellStyle name="Normal 10 4 2 3" xfId="2339"/>
    <cellStyle name="Normal 10 4 3" xfId="2340"/>
    <cellStyle name="Normal 10 4 3 2" xfId="2341"/>
    <cellStyle name="Normal 10 4 3 3" xfId="2342"/>
    <cellStyle name="Normal 10 4 3 4" xfId="4831"/>
    <cellStyle name="Normal 10 4 4" xfId="2343"/>
    <cellStyle name="Normal 10 4 4 2" xfId="4832"/>
    <cellStyle name="Normal 10 4 4 3" xfId="4833"/>
    <cellStyle name="Normal 10 4 4 4" xfId="4834"/>
    <cellStyle name="Normal 10 4 4 5" xfId="4835"/>
    <cellStyle name="Normal 10 4 5" xfId="2344"/>
    <cellStyle name="Normal 10 4 5 2" xfId="4836"/>
    <cellStyle name="Normal 10 4 5 3" xfId="4837"/>
    <cellStyle name="Normal 10 4 6" xfId="4838"/>
    <cellStyle name="Normal 10 5" xfId="2345"/>
    <cellStyle name="Normal 10 5 2" xfId="2346"/>
    <cellStyle name="Normal 10 5 2 2" xfId="2347"/>
    <cellStyle name="Normal 10 5 2 3" xfId="2348"/>
    <cellStyle name="Normal 10 5 3" xfId="2349"/>
    <cellStyle name="Normal 10 5 4" xfId="2350"/>
    <cellStyle name="Normal 10 6" xfId="2351"/>
    <cellStyle name="Normal 10 6 2" xfId="2352"/>
    <cellStyle name="Normal 10 6 3" xfId="2353"/>
    <cellStyle name="Normal 10 6 4" xfId="4839"/>
    <cellStyle name="Normal 10 6 5" xfId="4840"/>
    <cellStyle name="Normal 10 7" xfId="2354"/>
    <cellStyle name="Normal 10 7 2" xfId="2355"/>
    <cellStyle name="Normal 10 7 3" xfId="2356"/>
    <cellStyle name="Normal 10 8" xfId="2357"/>
    <cellStyle name="Normal 10 9" xfId="2358"/>
    <cellStyle name="Normal 10_CPI 2009" xfId="364"/>
    <cellStyle name="Normal 101" xfId="2359"/>
    <cellStyle name="Normal 11" xfId="52"/>
    <cellStyle name="Normal 11 2" xfId="251"/>
    <cellStyle name="Normal 11 2 2" xfId="2360"/>
    <cellStyle name="Normal 11 2 2 2" xfId="2361"/>
    <cellStyle name="Normal 11 2 2 2 2" xfId="2362"/>
    <cellStyle name="Normal 11 2 2 2 3" xfId="2363"/>
    <cellStyle name="Normal 11 2 2 3" xfId="2364"/>
    <cellStyle name="Normal 11 2 2 4" xfId="2365"/>
    <cellStyle name="Normal 11 2 3" xfId="2366"/>
    <cellStyle name="Normal 11 2 3 2" xfId="2367"/>
    <cellStyle name="Normal 11 2 3 3" xfId="2368"/>
    <cellStyle name="Normal 11 2 4" xfId="2369"/>
    <cellStyle name="Normal 11 2 5" xfId="2370"/>
    <cellStyle name="Normal 11 3" xfId="2371"/>
    <cellStyle name="Normal 11 3 2" xfId="2372"/>
    <cellStyle name="Normal 11 3 2 2" xfId="2373"/>
    <cellStyle name="Normal 11 3 2 3" xfId="2374"/>
    <cellStyle name="Normal 11 3 3" xfId="2375"/>
    <cellStyle name="Normal 11 3 4" xfId="2376"/>
    <cellStyle name="Normal 11 4" xfId="2377"/>
    <cellStyle name="Normal 11 4 2" xfId="2378"/>
    <cellStyle name="Normal 11 4 2 2" xfId="2379"/>
    <cellStyle name="Normal 11 4 2 3" xfId="2380"/>
    <cellStyle name="Normal 11 4 3" xfId="2381"/>
    <cellStyle name="Normal 11 4 3 2" xfId="4841"/>
    <cellStyle name="Normal 11 4 3 2 2" xfId="4842"/>
    <cellStyle name="Normal 11 4 3 2 3" xfId="4843"/>
    <cellStyle name="Normal 11 4 3 3" xfId="4844"/>
    <cellStyle name="Normal 11 4 4" xfId="2382"/>
    <cellStyle name="Normal 11 4 4 2" xfId="4845"/>
    <cellStyle name="Normal 11 4 4 3" xfId="4846"/>
    <cellStyle name="Normal 11 4 4 4" xfId="4847"/>
    <cellStyle name="Normal 11 4 5" xfId="4848"/>
    <cellStyle name="Normal 11 5" xfId="2383"/>
    <cellStyle name="Normal 11 5 2" xfId="2384"/>
    <cellStyle name="Normal 11 5 3" xfId="2385"/>
    <cellStyle name="Normal 11 6" xfId="2386"/>
    <cellStyle name="Normal 11 6 2" xfId="4849"/>
    <cellStyle name="Normal 11 6 3" xfId="4850"/>
    <cellStyle name="Normal 11 6 4" xfId="4851"/>
    <cellStyle name="Normal 11 7" xfId="2387"/>
    <cellStyle name="Normal 11_CPI 2009" xfId="365"/>
    <cellStyle name="Normal 12" xfId="16"/>
    <cellStyle name="Normal 12 2" xfId="252"/>
    <cellStyle name="Normal 12 2 2" xfId="2388"/>
    <cellStyle name="Normal 12 2 2 2" xfId="2389"/>
    <cellStyle name="Normal 12 2 2 3" xfId="2390"/>
    <cellStyle name="Normal 12 2 3" xfId="2391"/>
    <cellStyle name="Normal 12 2 3 2" xfId="2392"/>
    <cellStyle name="Normal 12 2 3 3" xfId="2393"/>
    <cellStyle name="Normal 12 2 4" xfId="2394"/>
    <cellStyle name="Normal 12 2 5" xfId="2395"/>
    <cellStyle name="Normal 12 3" xfId="2396"/>
    <cellStyle name="Normal 12 3 2" xfId="2397"/>
    <cellStyle name="Normal 12 3 3" xfId="2398"/>
    <cellStyle name="Normal 12 4" xfId="2399"/>
    <cellStyle name="Normal 12 4 2" xfId="2400"/>
    <cellStyle name="Normal 12 4 3" xfId="2401"/>
    <cellStyle name="Normal 12 4 3 2" xfId="4852"/>
    <cellStyle name="Normal 12 4 3 3" xfId="4853"/>
    <cellStyle name="Normal 12 4 4" xfId="4854"/>
    <cellStyle name="Normal 12 4 4 2" xfId="4855"/>
    <cellStyle name="Normal 12 4 5" xfId="4856"/>
    <cellStyle name="Normal 12 5" xfId="2402"/>
    <cellStyle name="Normal 12 5 2" xfId="2403"/>
    <cellStyle name="Normal 12 5 3" xfId="2404"/>
    <cellStyle name="Normal 12 6" xfId="2405"/>
    <cellStyle name="Normal 12 6 2" xfId="4857"/>
    <cellStyle name="Normal 12 6 3" xfId="4858"/>
    <cellStyle name="Normal 12 6 4" xfId="4859"/>
    <cellStyle name="Normal 12 7" xfId="2406"/>
    <cellStyle name="Normal 12_CPI 2009" xfId="366"/>
    <cellStyle name="Normal 13" xfId="253"/>
    <cellStyle name="Normal 13 2" xfId="254"/>
    <cellStyle name="Normal 13 2 2" xfId="2407"/>
    <cellStyle name="Normal 13 2 2 2" xfId="2408"/>
    <cellStyle name="Normal 13 2 2 3" xfId="2409"/>
    <cellStyle name="Normal 13 2 3" xfId="2410"/>
    <cellStyle name="Normal 13 2 3 2" xfId="2411"/>
    <cellStyle name="Normal 13 2 3 3" xfId="2412"/>
    <cellStyle name="Normal 13 2 4" xfId="2413"/>
    <cellStyle name="Normal 13 2 5" xfId="2414"/>
    <cellStyle name="Normal 13 3" xfId="2415"/>
    <cellStyle name="Normal 13 3 2" xfId="2416"/>
    <cellStyle name="Normal 13 3 3" xfId="2417"/>
    <cellStyle name="Normal 13 4" xfId="2418"/>
    <cellStyle name="Normal 13 4 2" xfId="2419"/>
    <cellStyle name="Normal 13 4 3" xfId="2420"/>
    <cellStyle name="Normal 13 4 3 2" xfId="4860"/>
    <cellStyle name="Normal 13 4 3 3" xfId="4861"/>
    <cellStyle name="Normal 13 4 4" xfId="4862"/>
    <cellStyle name="Normal 13 4 4 2" xfId="4863"/>
    <cellStyle name="Normal 13 4 5" xfId="4864"/>
    <cellStyle name="Normal 13 5" xfId="2421"/>
    <cellStyle name="Normal 13 5 2" xfId="2422"/>
    <cellStyle name="Normal 13 5 3" xfId="2423"/>
    <cellStyle name="Normal 13 6" xfId="2424"/>
    <cellStyle name="Normal 13 7" xfId="2425"/>
    <cellStyle name="Normal 13_CPI 2009" xfId="367"/>
    <cellStyle name="Normal 14" xfId="255"/>
    <cellStyle name="Normal 14 2" xfId="256"/>
    <cellStyle name="Normal 14 2 2" xfId="2426"/>
    <cellStyle name="Normal 14 2 2 2" xfId="2427"/>
    <cellStyle name="Normal 14 2 2 3" xfId="2428"/>
    <cellStyle name="Normal 14 2 3" xfId="2429"/>
    <cellStyle name="Normal 14 2 3 2" xfId="2430"/>
    <cellStyle name="Normal 14 2 3 3" xfId="2431"/>
    <cellStyle name="Normal 14 2 3 3 2" xfId="4865"/>
    <cellStyle name="Normal 14 2 3 3 3" xfId="4866"/>
    <cellStyle name="Normal 14 2 3 4" xfId="4867"/>
    <cellStyle name="Normal 14 2 3 5" xfId="4868"/>
    <cellStyle name="Normal 14 2 3 6" xfId="4869"/>
    <cellStyle name="Normal 14 2 4" xfId="2432"/>
    <cellStyle name="Normal 14 2 5" xfId="2433"/>
    <cellStyle name="Normal 14 3" xfId="2434"/>
    <cellStyle name="Normal 14 3 2" xfId="2435"/>
    <cellStyle name="Normal 14 3 3" xfId="2436"/>
    <cellStyle name="Normal 14 4" xfId="2437"/>
    <cellStyle name="Normal 14 4 2" xfId="2438"/>
    <cellStyle name="Normal 14 4 3" xfId="2439"/>
    <cellStyle name="Normal 14 4 3 2" xfId="4870"/>
    <cellStyle name="Normal 14 4 3 3" xfId="4871"/>
    <cellStyle name="Normal 14 4 4" xfId="4872"/>
    <cellStyle name="Normal 14 4 4 2" xfId="4873"/>
    <cellStyle name="Normal 14 4 5" xfId="4874"/>
    <cellStyle name="Normal 14 5" xfId="2440"/>
    <cellStyle name="Normal 14 5 2" xfId="2441"/>
    <cellStyle name="Normal 14 5 3" xfId="2442"/>
    <cellStyle name="Normal 14 5 3 2" xfId="4875"/>
    <cellStyle name="Normal 14 5 3 3" xfId="4876"/>
    <cellStyle name="Normal 14 5 4" xfId="4877"/>
    <cellStyle name="Normal 14 5 5" xfId="4878"/>
    <cellStyle name="Normal 14 5 6" xfId="4879"/>
    <cellStyle name="Normal 14 6" xfId="2443"/>
    <cellStyle name="Normal 14 7" xfId="2444"/>
    <cellStyle name="Normal 14_CPI 2009" xfId="368"/>
    <cellStyle name="Normal 15" xfId="257"/>
    <cellStyle name="Normal 15 2" xfId="2445"/>
    <cellStyle name="Normal 15 2 2" xfId="2446"/>
    <cellStyle name="Normal 15 2 2 2" xfId="2447"/>
    <cellStyle name="Normal 15 2 2 3" xfId="2448"/>
    <cellStyle name="Normal 15 2 3" xfId="2449"/>
    <cellStyle name="Normal 15 2 4" xfId="2450"/>
    <cellStyle name="Normal 15 3" xfId="2451"/>
    <cellStyle name="Normal 15 3 2" xfId="2452"/>
    <cellStyle name="Normal 15 3 3" xfId="2453"/>
    <cellStyle name="Normal 15 4" xfId="2454"/>
    <cellStyle name="Normal 15 5" xfId="2455"/>
    <cellStyle name="Normal 16" xfId="2456"/>
    <cellStyle name="Normal 16 2" xfId="2457"/>
    <cellStyle name="Normal 16 2 2" xfId="2458"/>
    <cellStyle name="Normal 16 2 3" xfId="2459"/>
    <cellStyle name="Normal 16 3" xfId="2460"/>
    <cellStyle name="Normal 16 3 2" xfId="4880"/>
    <cellStyle name="Normal 16 4" xfId="2461"/>
    <cellStyle name="Normal 16 5" xfId="2462"/>
    <cellStyle name="Normal 17" xfId="2463"/>
    <cellStyle name="Normal 17 2" xfId="2464"/>
    <cellStyle name="Normal 17 2 2" xfId="2465"/>
    <cellStyle name="Normal 17 2 3" xfId="2466"/>
    <cellStyle name="Normal 17 3" xfId="2467"/>
    <cellStyle name="Normal 17 3 2" xfId="2468"/>
    <cellStyle name="Normal 17 3 3" xfId="2469"/>
    <cellStyle name="Normal 17 4" xfId="2470"/>
    <cellStyle name="Normal 17 5" xfId="2471"/>
    <cellStyle name="Normal 17 5 2" xfId="4881"/>
    <cellStyle name="Normal 17 5 3" xfId="4882"/>
    <cellStyle name="Normal 17 5 4" xfId="4883"/>
    <cellStyle name="Normal 17 6" xfId="4884"/>
    <cellStyle name="Normal 18" xfId="2472"/>
    <cellStyle name="Normal 18 2" xfId="2473"/>
    <cellStyle name="Normal 18 2 2" xfId="2474"/>
    <cellStyle name="Normal 18 2 3" xfId="2475"/>
    <cellStyle name="Normal 18 3" xfId="2476"/>
    <cellStyle name="Normal 18 3 2" xfId="4885"/>
    <cellStyle name="Normal 18 4" xfId="2477"/>
    <cellStyle name="Normal 18 5" xfId="2478"/>
    <cellStyle name="Normal 19" xfId="2479"/>
    <cellStyle name="Normal 19 2" xfId="2480"/>
    <cellStyle name="Normal 19 2 2" xfId="2481"/>
    <cellStyle name="Normal 19 2 3" xfId="2482"/>
    <cellStyle name="Normal 19 3" xfId="2483"/>
    <cellStyle name="Normal 19 4" xfId="2484"/>
    <cellStyle name="Normal 19 4 2" xfId="4886"/>
    <cellStyle name="Normal 19 4 3" xfId="4887"/>
    <cellStyle name="Normal 19 4 4" xfId="4888"/>
    <cellStyle name="Normal 19 5" xfId="4889"/>
    <cellStyle name="Normal 2" xfId="53"/>
    <cellStyle name="Normal 2 10" xfId="2485"/>
    <cellStyle name="Normal 2 10 2" xfId="2486"/>
    <cellStyle name="Normal 2 10 2 2" xfId="2487"/>
    <cellStyle name="Normal 2 10 2 3" xfId="2488"/>
    <cellStyle name="Normal 2 10 3" xfId="2489"/>
    <cellStyle name="Normal 2 10 3 2" xfId="2490"/>
    <cellStyle name="Normal 2 10 3 3" xfId="2491"/>
    <cellStyle name="Normal 2 10 4" xfId="2492"/>
    <cellStyle name="Normal 2 10 5" xfId="2493"/>
    <cellStyle name="Normal 2 11" xfId="2494"/>
    <cellStyle name="Normal 2 11 2" xfId="2495"/>
    <cellStyle name="Normal 2 11 2 2" xfId="2496"/>
    <cellStyle name="Normal 2 11 2 3" xfId="2497"/>
    <cellStyle name="Normal 2 11 3" xfId="2498"/>
    <cellStyle name="Normal 2 11 4" xfId="2499"/>
    <cellStyle name="Normal 2 11 5" xfId="2500"/>
    <cellStyle name="Normal 2 12" xfId="2501"/>
    <cellStyle name="Normal 2 12 2" xfId="2502"/>
    <cellStyle name="Normal 2 12 3" xfId="2503"/>
    <cellStyle name="Normal 2 13" xfId="2504"/>
    <cellStyle name="Normal 2 14" xfId="2505"/>
    <cellStyle name="Normal 2 2" xfId="54"/>
    <cellStyle name="Normal 2 2 10" xfId="2506"/>
    <cellStyle name="Normal 2 2 11" xfId="2507"/>
    <cellStyle name="Normal 2 2 2" xfId="258"/>
    <cellStyle name="Normal 2 2 2 2" xfId="259"/>
    <cellStyle name="Normal 2 2 2 2 2" xfId="260"/>
    <cellStyle name="Normal 2 2 2 2 2 2" xfId="2508"/>
    <cellStyle name="Normal 2 2 2 2 2 2 2" xfId="2509"/>
    <cellStyle name="Normal 2 2 2 2 2 2 3" xfId="2510"/>
    <cellStyle name="Normal 2 2 2 2 3" xfId="2511"/>
    <cellStyle name="Normal 2 2 2 2 3 2" xfId="2512"/>
    <cellStyle name="Normal 2 2 2 2 3 3" xfId="2513"/>
    <cellStyle name="Normal 2 2 2 2 4" xfId="2514"/>
    <cellStyle name="Normal 2 2 2 2 4 2" xfId="2515"/>
    <cellStyle name="Normal 2 2 2 2 4 3" xfId="2516"/>
    <cellStyle name="Normal 2 2 2 2 5" xfId="2517"/>
    <cellStyle name="Normal 2 2 2 2 5 2" xfId="2518"/>
    <cellStyle name="Normal 2 2 2 2 5 3" xfId="2519"/>
    <cellStyle name="Normal 2 2 2 3" xfId="261"/>
    <cellStyle name="Normal 2 2 2 3 2" xfId="2520"/>
    <cellStyle name="Normal 2 2 2 3 2 2" xfId="2521"/>
    <cellStyle name="Normal 2 2 2 3 2 3" xfId="2522"/>
    <cellStyle name="Normal 2 2 2 4" xfId="2523"/>
    <cellStyle name="Normal 2 2 2 4 2" xfId="2524"/>
    <cellStyle name="Normal 2 2 2 4 3" xfId="2525"/>
    <cellStyle name="Normal 2 2 2 4 4" xfId="4890"/>
    <cellStyle name="Normal 2 2 2 4 5" xfId="4891"/>
    <cellStyle name="Normal 2 2 2 5" xfId="2526"/>
    <cellStyle name="Normal 2 2 2 5 2" xfId="2527"/>
    <cellStyle name="Normal 2 2 2 5 3" xfId="2528"/>
    <cellStyle name="Normal 2 2 3" xfId="262"/>
    <cellStyle name="Normal 2 2 3 2" xfId="263"/>
    <cellStyle name="Normal 2 2 3 2 2" xfId="264"/>
    <cellStyle name="Normal 2 2 3 3" xfId="265"/>
    <cellStyle name="Normal 2 2 3 4" xfId="2529"/>
    <cellStyle name="Normal 2 2 3 4 2" xfId="2530"/>
    <cellStyle name="Normal 2 2 3 4 3" xfId="2531"/>
    <cellStyle name="Normal 2 2 4" xfId="266"/>
    <cellStyle name="Normal 2 2 4 2" xfId="267"/>
    <cellStyle name="Normal 2 2 4 2 2" xfId="268"/>
    <cellStyle name="Normal 2 2 4 3" xfId="269"/>
    <cellStyle name="Normal 2 2 4 4" xfId="2532"/>
    <cellStyle name="Normal 2 2 4 4 2" xfId="2533"/>
    <cellStyle name="Normal 2 2 4 4 3" xfId="2534"/>
    <cellStyle name="Normal 2 2 5" xfId="2535"/>
    <cellStyle name="Normal 2 2 5 2" xfId="2536"/>
    <cellStyle name="Normal 2 2 5 3" xfId="2537"/>
    <cellStyle name="Normal 2 2 5 4" xfId="2538"/>
    <cellStyle name="Normal 2 2 5 5" xfId="2539"/>
    <cellStyle name="Normal 2 2 6" xfId="2540"/>
    <cellStyle name="Normal 2 2 6 2" xfId="2541"/>
    <cellStyle name="Normal 2 2 6 2 2" xfId="2542"/>
    <cellStyle name="Normal 2 2 6 2 3" xfId="2543"/>
    <cellStyle name="Normal 2 2 6 3" xfId="2544"/>
    <cellStyle name="Normal 2 2 6 4" xfId="2545"/>
    <cellStyle name="Normal 2 2 6 5" xfId="2546"/>
    <cellStyle name="Normal 2 2 7" xfId="2547"/>
    <cellStyle name="Normal 2 2 7 2" xfId="2548"/>
    <cellStyle name="Normal 2 2 7 2 2" xfId="2549"/>
    <cellStyle name="Normal 2 2 7 2 3" xfId="2550"/>
    <cellStyle name="Normal 2 2 7 3" xfId="2551"/>
    <cellStyle name="Normal 2 2 7 4" xfId="2552"/>
    <cellStyle name="Normal 2 2 8" xfId="2553"/>
    <cellStyle name="Normal 2 2 8 2" xfId="2554"/>
    <cellStyle name="Normal 2 2 8 3" xfId="2555"/>
    <cellStyle name="Normal 2 2 8 4" xfId="4892"/>
    <cellStyle name="Normal 2 2 8 5" xfId="4893"/>
    <cellStyle name="Normal 2 2 9" xfId="2556"/>
    <cellStyle name="Normal 2 2_C03" xfId="270"/>
    <cellStyle name="Normal 2 3" xfId="271"/>
    <cellStyle name="Normal 2 3 2" xfId="272"/>
    <cellStyle name="Normal 2 3 2 2" xfId="273"/>
    <cellStyle name="Normal 2 3 2 3" xfId="2557"/>
    <cellStyle name="Normal 2 3 2 3 2" xfId="2558"/>
    <cellStyle name="Normal 2 3 2 3 3" xfId="2559"/>
    <cellStyle name="Normal 2 3 2 3 3 2" xfId="4894"/>
    <cellStyle name="Normal 2 3 2 3 3 3" xfId="4895"/>
    <cellStyle name="Normal 2 3 2 3 4" xfId="4896"/>
    <cellStyle name="Normal 2 3 2 3 5" xfId="4897"/>
    <cellStyle name="Normal 2 3 2 3 6" xfId="4898"/>
    <cellStyle name="Normal 2 3 3" xfId="274"/>
    <cellStyle name="Normal 2 3 3 2" xfId="2560"/>
    <cellStyle name="Normal 2 3 3 2 2" xfId="2561"/>
    <cellStyle name="Normal 2 3 3 2 3" xfId="2562"/>
    <cellStyle name="Normal 2 3 3 2 3 2" xfId="4899"/>
    <cellStyle name="Normal 2 3 3 2 3 3" xfId="4900"/>
    <cellStyle name="Normal 2 3 3 2 4" xfId="4901"/>
    <cellStyle name="Normal 2 3 3 2 5" xfId="4902"/>
    <cellStyle name="Normal 2 3 3 2 6" xfId="4903"/>
    <cellStyle name="Normal 2 3 3 3" xfId="2563"/>
    <cellStyle name="Normal 2 3 4" xfId="2564"/>
    <cellStyle name="Normal 2 3 4 2" xfId="2565"/>
    <cellStyle name="Normal 2 3 4 3" xfId="2566"/>
    <cellStyle name="Normal 2 3 5" xfId="2567"/>
    <cellStyle name="Normal 2 4" xfId="275"/>
    <cellStyle name="Normal 2 4 2" xfId="2568"/>
    <cellStyle name="Normal 2 4 2 2" xfId="4904"/>
    <cellStyle name="Normal 2 4 2 3" xfId="4905"/>
    <cellStyle name="Normal 2 4 2 4" xfId="4906"/>
    <cellStyle name="Normal 2 4 3" xfId="2569"/>
    <cellStyle name="Normal 2 4 4" xfId="2570"/>
    <cellStyle name="Normal 2 5" xfId="276"/>
    <cellStyle name="Normal 2 5 2" xfId="2571"/>
    <cellStyle name="Normal 2 5 3" xfId="2572"/>
    <cellStyle name="Normal 2 6" xfId="277"/>
    <cellStyle name="Normal 2 6 2" xfId="2573"/>
    <cellStyle name="Normal 2 6 3" xfId="2574"/>
    <cellStyle name="Normal 2 7" xfId="278"/>
    <cellStyle name="Normal 2 7 2" xfId="2575"/>
    <cellStyle name="Normal 2 7 2 2" xfId="2576"/>
    <cellStyle name="Normal 2 7 2 2 2" xfId="2577"/>
    <cellStyle name="Normal 2 7 2 2 3" xfId="2578"/>
    <cellStyle name="Normal 2 7 2 2 4" xfId="4907"/>
    <cellStyle name="Normal 2 7 2 2 5" xfId="4908"/>
    <cellStyle name="Normal 2 7 2 3" xfId="2579"/>
    <cellStyle name="Normal 2 7 2 3 2" xfId="2580"/>
    <cellStyle name="Normal 2 7 2 3 3" xfId="2581"/>
    <cellStyle name="Normal 2 7 2 3 4" xfId="4909"/>
    <cellStyle name="Normal 2 7 2 3 5" xfId="4910"/>
    <cellStyle name="Normal 2 7 2 4" xfId="2582"/>
    <cellStyle name="Normal 2 7 2 4 2" xfId="2583"/>
    <cellStyle name="Normal 2 7 2 4 3" xfId="2584"/>
    <cellStyle name="Normal 2 7 2 5" xfId="2585"/>
    <cellStyle name="Normal 2 7 2 6" xfId="2586"/>
    <cellStyle name="Normal 2 7 2 7" xfId="2587"/>
    <cellStyle name="Normal 2 7 2 8" xfId="4911"/>
    <cellStyle name="Normal 2 7 2 9" xfId="4912"/>
    <cellStyle name="Normal 2 7 3" xfId="2588"/>
    <cellStyle name="Normal 2 7 3 2" xfId="2589"/>
    <cellStyle name="Normal 2 7 3 3" xfId="2590"/>
    <cellStyle name="Normal 2 7 4" xfId="2591"/>
    <cellStyle name="Normal 2 7 4 2" xfId="2592"/>
    <cellStyle name="Normal 2 7 4 3" xfId="2593"/>
    <cellStyle name="Normal 2 7 5" xfId="2594"/>
    <cellStyle name="Normal 2 7 5 2" xfId="2595"/>
    <cellStyle name="Normal 2 7 5 3" xfId="2596"/>
    <cellStyle name="Normal 2 7 6" xfId="2597"/>
    <cellStyle name="Normal 2 7 7" xfId="2598"/>
    <cellStyle name="Normal 2 7 8" xfId="2599"/>
    <cellStyle name="Normal 2 8" xfId="279"/>
    <cellStyle name="Normal 2 8 2" xfId="2600"/>
    <cellStyle name="Normal 2 8 2 2" xfId="2601"/>
    <cellStyle name="Normal 2 8 2 3" xfId="2602"/>
    <cellStyle name="Normal 2 8 2 3 2" xfId="4913"/>
    <cellStyle name="Normal 2 8 2 3 3" xfId="4914"/>
    <cellStyle name="Normal 2 8 2 3 4" xfId="4915"/>
    <cellStyle name="Normal 2 8 2 4" xfId="2603"/>
    <cellStyle name="Normal 2 8 2 5" xfId="4916"/>
    <cellStyle name="Normal 2 8 2 6" xfId="4917"/>
    <cellStyle name="Normal 2 8 3" xfId="2604"/>
    <cellStyle name="Normal 2 8 4" xfId="2605"/>
    <cellStyle name="Normal 2 9" xfId="280"/>
    <cellStyle name="Normal 2 9 2" xfId="2606"/>
    <cellStyle name="Normal 2 9 2 2" xfId="2607"/>
    <cellStyle name="Normal 2 9 2 3" xfId="2608"/>
    <cellStyle name="Normal 2 9 2 4" xfId="2609"/>
    <cellStyle name="Normal 2 9 3" xfId="2610"/>
    <cellStyle name="Normal 2 9 3 2" xfId="2611"/>
    <cellStyle name="Normal 2 9 3 3" xfId="2612"/>
    <cellStyle name="Normal 2 9 3 3 2" xfId="4918"/>
    <cellStyle name="Normal 2 9 3 3 3" xfId="4919"/>
    <cellStyle name="Normal 2 9 3 4" xfId="4920"/>
    <cellStyle name="Normal 2 9 3 5" xfId="4921"/>
    <cellStyle name="Normal 2 9 3 6" xfId="4922"/>
    <cellStyle name="Normal 2 9 4" xfId="2613"/>
    <cellStyle name="Normal 2 9 5" xfId="2614"/>
    <cellStyle name="Normal 2_C03" xfId="281"/>
    <cellStyle name="Normal 20" xfId="2615"/>
    <cellStyle name="Normal 20 2" xfId="2616"/>
    <cellStyle name="Normal 20 2 2" xfId="2617"/>
    <cellStyle name="Normal 20 2 3" xfId="2618"/>
    <cellStyle name="Normal 20 3" xfId="2619"/>
    <cellStyle name="Normal 20 4" xfId="2620"/>
    <cellStyle name="Normal 21" xfId="2621"/>
    <cellStyle name="Normal 21 2" xfId="2622"/>
    <cellStyle name="Normal 21 2 2" xfId="2623"/>
    <cellStyle name="Normal 21 2 3" xfId="2624"/>
    <cellStyle name="Normal 21 3" xfId="2625"/>
    <cellStyle name="Normal 21 3 2" xfId="2626"/>
    <cellStyle name="Normal 21 3 3" xfId="2627"/>
    <cellStyle name="Normal 21 4" xfId="2628"/>
    <cellStyle name="Normal 21 4 2" xfId="4923"/>
    <cellStyle name="Normal 21 4 3" xfId="4924"/>
    <cellStyle name="Normal 21 4 4" xfId="4925"/>
    <cellStyle name="Normal 21 4 5" xfId="4926"/>
    <cellStyle name="Normal 21 5" xfId="2629"/>
    <cellStyle name="Normal 22" xfId="2630"/>
    <cellStyle name="Normal 22 2" xfId="2631"/>
    <cellStyle name="Normal 22 2 2" xfId="2632"/>
    <cellStyle name="Normal 22 2 3" xfId="2633"/>
    <cellStyle name="Normal 22 3" xfId="2634"/>
    <cellStyle name="Normal 22 3 2" xfId="2635"/>
    <cellStyle name="Normal 22 3 3" xfId="2636"/>
    <cellStyle name="Normal 22 4" xfId="2637"/>
    <cellStyle name="Normal 22 4 2" xfId="4927"/>
    <cellStyle name="Normal 22 4 3" xfId="4928"/>
    <cellStyle name="Normal 22 4 4" xfId="4929"/>
    <cellStyle name="Normal 22 4 5" xfId="4930"/>
    <cellStyle name="Normal 22 5" xfId="2638"/>
    <cellStyle name="Normal 23" xfId="2639"/>
    <cellStyle name="Normal 23 2" xfId="2640"/>
    <cellStyle name="Normal 23 2 2" xfId="2641"/>
    <cellStyle name="Normal 23 2 3" xfId="2642"/>
    <cellStyle name="Normal 23 3" xfId="2643"/>
    <cellStyle name="Normal 23 4" xfId="2644"/>
    <cellStyle name="Normal 23 4 2" xfId="4931"/>
    <cellStyle name="Normal 23 4 3" xfId="4932"/>
    <cellStyle name="Normal 23 4 4" xfId="4933"/>
    <cellStyle name="Normal 23 5" xfId="4934"/>
    <cellStyle name="Normal 24" xfId="2645"/>
    <cellStyle name="Normal 24 2" xfId="2646"/>
    <cellStyle name="Normal 24 3" xfId="2647"/>
    <cellStyle name="Normal 25" xfId="2648"/>
    <cellStyle name="Normal 25 2" xfId="2649"/>
    <cellStyle name="Normal 25 3" xfId="2650"/>
    <cellStyle name="Normal 26" xfId="2651"/>
    <cellStyle name="Normal 26 2" xfId="2652"/>
    <cellStyle name="Normal 26 3" xfId="2653"/>
    <cellStyle name="Normal 27" xfId="2654"/>
    <cellStyle name="Normal 27 2" xfId="2655"/>
    <cellStyle name="Normal 27 3" xfId="2656"/>
    <cellStyle name="Normal 28" xfId="2657"/>
    <cellStyle name="Normal 28 2" xfId="2658"/>
    <cellStyle name="Normal 28 3" xfId="2659"/>
    <cellStyle name="Normal 29" xfId="2660"/>
    <cellStyle name="Normal 29 2" xfId="2661"/>
    <cellStyle name="Normal 29 3" xfId="2662"/>
    <cellStyle name="Normal 3" xfId="55"/>
    <cellStyle name="Normal 3 10" xfId="2663"/>
    <cellStyle name="Normal 3 10 2" xfId="2664"/>
    <cellStyle name="Normal 3 10 3" xfId="2665"/>
    <cellStyle name="Normal 3 11" xfId="2666"/>
    <cellStyle name="Normal 3 11 2" xfId="2667"/>
    <cellStyle name="Normal 3 11 3" xfId="2668"/>
    <cellStyle name="Normal 3 12" xfId="2669"/>
    <cellStyle name="Normal 3 13" xfId="2670"/>
    <cellStyle name="Normal 3 2" xfId="56"/>
    <cellStyle name="Normal 3 2 2" xfId="283"/>
    <cellStyle name="Normal 3 2 2 2" xfId="284"/>
    <cellStyle name="Normal 3 2 2 2 2" xfId="2671"/>
    <cellStyle name="Normal 3 2 2 2 3" xfId="2672"/>
    <cellStyle name="Normal 3 2 2 3" xfId="2673"/>
    <cellStyle name="Normal 3 2 2 3 2" xfId="2674"/>
    <cellStyle name="Normal 3 2 2 3 3" xfId="2675"/>
    <cellStyle name="Normal 3 2 2 3 3 2" xfId="4935"/>
    <cellStyle name="Normal 3 2 2 3 3 3" xfId="4936"/>
    <cellStyle name="Normal 3 2 2 3 4" xfId="4937"/>
    <cellStyle name="Normal 3 2 2 3 5" xfId="4938"/>
    <cellStyle name="Normal 3 2 2 3 6" xfId="4939"/>
    <cellStyle name="Normal 3 2 2 4" xfId="2676"/>
    <cellStyle name="Normal 3 2 2 5" xfId="2677"/>
    <cellStyle name="Normal 3 2 2 6" xfId="5515"/>
    <cellStyle name="Normal 3 2 2_CPI" xfId="358"/>
    <cellStyle name="Normal 3 2 3" xfId="282"/>
    <cellStyle name="Normal 3 2 3 2" xfId="2678"/>
    <cellStyle name="Normal 3 2 3 2 2" xfId="2679"/>
    <cellStyle name="Normal 3 2 3 2 3" xfId="2680"/>
    <cellStyle name="Normal 3 2 3 3" xfId="2681"/>
    <cellStyle name="Normal 3 2 3 3 2" xfId="2682"/>
    <cellStyle name="Normal 3 2 3 3 3" xfId="2683"/>
    <cellStyle name="Normal 3 2 3 4" xfId="2684"/>
    <cellStyle name="Normal 3 2 3 5" xfId="2685"/>
    <cellStyle name="Normal 3 2 3 6" xfId="2686"/>
    <cellStyle name="Normal 3 2 3 7" xfId="4940"/>
    <cellStyle name="Normal 3 2 4" xfId="2687"/>
    <cellStyle name="Normal 3 2 4 2" xfId="2688"/>
    <cellStyle name="Normal 3 2 4 3" xfId="2689"/>
    <cellStyle name="Normal 3 2 5" xfId="2690"/>
    <cellStyle name="Normal 3 2 6" xfId="2691"/>
    <cellStyle name="Normal 3 2 7" xfId="4941"/>
    <cellStyle name="Normal 3 3" xfId="285"/>
    <cellStyle name="Normal 3 3 2" xfId="286"/>
    <cellStyle name="Normal 3 3 2 2" xfId="2692"/>
    <cellStyle name="Normal 3 3 2 3" xfId="2693"/>
    <cellStyle name="Normal 3 3 2 4" xfId="2694"/>
    <cellStyle name="Normal 3 3 3" xfId="287"/>
    <cellStyle name="Normal 3 3 3 2" xfId="2695"/>
    <cellStyle name="Normal 3 3 3 2 2" xfId="2696"/>
    <cellStyle name="Normal 3 3 3 2 3" xfId="2697"/>
    <cellStyle name="Normal 3 3 3 2 3 2" xfId="4942"/>
    <cellStyle name="Normal 3 3 3 2 3 3" xfId="4943"/>
    <cellStyle name="Normal 3 3 3 2 4" xfId="4944"/>
    <cellStyle name="Normal 3 3 3 2 5" xfId="4945"/>
    <cellStyle name="Normal 3 3 3 2 6" xfId="4946"/>
    <cellStyle name="Normal 3 3 3 3" xfId="2698"/>
    <cellStyle name="Normal 3 3 3 4" xfId="2699"/>
    <cellStyle name="Normal 3 3 4" xfId="2700"/>
    <cellStyle name="Normal 3 3 4 2" xfId="2701"/>
    <cellStyle name="Normal 3 3 4 3" xfId="2702"/>
    <cellStyle name="Normal 3 3 5" xfId="2703"/>
    <cellStyle name="Normal 3 3 5 2" xfId="4947"/>
    <cellStyle name="Normal 3 3 5 3" xfId="4948"/>
    <cellStyle name="Normal 3 3 5 4" xfId="4949"/>
    <cellStyle name="Normal 3 3 6" xfId="2704"/>
    <cellStyle name="Normal 3 3 7" xfId="2705"/>
    <cellStyle name="Normal 3 3 8" xfId="5516"/>
    <cellStyle name="Normal 3 3_CPI" xfId="359"/>
    <cellStyle name="Normal 3 4" xfId="288"/>
    <cellStyle name="Normal 3 4 2" xfId="2706"/>
    <cellStyle name="Normal 3 4 2 2" xfId="4950"/>
    <cellStyle name="Normal 3 4 2 3" xfId="4951"/>
    <cellStyle name="Normal 3 4 2 4" xfId="4952"/>
    <cellStyle name="Normal 3 4 3" xfId="2707"/>
    <cellStyle name="Normal 3 5" xfId="289"/>
    <cellStyle name="Normal 3 5 2" xfId="290"/>
    <cellStyle name="Normal 3 5 2 2" xfId="2708"/>
    <cellStyle name="Normal 3 5 2 3" xfId="2709"/>
    <cellStyle name="Normal 3 5 3" xfId="2710"/>
    <cellStyle name="Normal 3 5 3 2" xfId="2711"/>
    <cellStyle name="Normal 3 5 3 3" xfId="2712"/>
    <cellStyle name="Normal 3 5 3 3 2" xfId="4953"/>
    <cellStyle name="Normal 3 5 3 3 3" xfId="4954"/>
    <cellStyle name="Normal 3 5 3 4" xfId="4955"/>
    <cellStyle name="Normal 3 5 3 5" xfId="4956"/>
    <cellStyle name="Normal 3 5 3 6" xfId="4957"/>
    <cellStyle name="Normal 3 5 4" xfId="2713"/>
    <cellStyle name="Normal 3 5 5" xfId="2714"/>
    <cellStyle name="Normal 3 5 6" xfId="2715"/>
    <cellStyle name="Normal 3 6" xfId="291"/>
    <cellStyle name="Normal 3 6 2" xfId="292"/>
    <cellStyle name="Normal 3 6 2 2" xfId="2716"/>
    <cellStyle name="Normal 3 6 2 3" xfId="2717"/>
    <cellStyle name="Normal 3 6 3" xfId="2718"/>
    <cellStyle name="Normal 3 6 3 2" xfId="2719"/>
    <cellStyle name="Normal 3 6 3 2 2" xfId="2720"/>
    <cellStyle name="Normal 3 6 3 2 3" xfId="2721"/>
    <cellStyle name="Normal 3 6 3 3" xfId="2722"/>
    <cellStyle name="Normal 3 6 3 4" xfId="2723"/>
    <cellStyle name="Normal 3 6 4" xfId="2724"/>
    <cellStyle name="Normal 3 6 5" xfId="2725"/>
    <cellStyle name="Normal 3 7" xfId="2726"/>
    <cellStyle name="Normal 3 7 2" xfId="2727"/>
    <cellStyle name="Normal 3 7 2 2" xfId="2728"/>
    <cellStyle name="Normal 3 7 2 3" xfId="2729"/>
    <cellStyle name="Normal 3 7 3" xfId="2730"/>
    <cellStyle name="Normal 3 7 3 2" xfId="2731"/>
    <cellStyle name="Normal 3 7 3 3" xfId="2732"/>
    <cellStyle name="Normal 3 7 4" xfId="2733"/>
    <cellStyle name="Normal 3 7 5" xfId="2734"/>
    <cellStyle name="Normal 3 8" xfId="2735"/>
    <cellStyle name="Normal 3 8 2" xfId="2736"/>
    <cellStyle name="Normal 3 8 3" xfId="2737"/>
    <cellStyle name="Normal 3 9" xfId="2738"/>
    <cellStyle name="Normal 3 9 2" xfId="2739"/>
    <cellStyle name="Normal 3 9 3" xfId="2740"/>
    <cellStyle name="Normal 3_CPI 2009" xfId="369"/>
    <cellStyle name="Normal 30" xfId="293"/>
    <cellStyle name="Normal 30 2" xfId="2741"/>
    <cellStyle name="Normal 30 3" xfId="2742"/>
    <cellStyle name="Normal 31" xfId="294"/>
    <cellStyle name="Normal 31 2" xfId="2743"/>
    <cellStyle name="Normal 31 3" xfId="2744"/>
    <cellStyle name="Normal 32" xfId="2745"/>
    <cellStyle name="Normal 32 2" xfId="2746"/>
    <cellStyle name="Normal 32 3" xfId="2747"/>
    <cellStyle name="Normal 33" xfId="2748"/>
    <cellStyle name="Normal 33 2" xfId="2749"/>
    <cellStyle name="Normal 33 3" xfId="2750"/>
    <cellStyle name="Normal 34" xfId="2751"/>
    <cellStyle name="Normal 34 2" xfId="2752"/>
    <cellStyle name="Normal 34 3" xfId="2753"/>
    <cellStyle name="Normal 35" xfId="2754"/>
    <cellStyle name="Normal 35 2" xfId="2755"/>
    <cellStyle name="Normal 35 3" xfId="2756"/>
    <cellStyle name="Normal 36" xfId="2757"/>
    <cellStyle name="Normal 36 2" xfId="2758"/>
    <cellStyle name="Normal 36 3" xfId="2759"/>
    <cellStyle name="Normal 37" xfId="2760"/>
    <cellStyle name="Normal 37 2" xfId="2761"/>
    <cellStyle name="Normal 37 3" xfId="2762"/>
    <cellStyle name="Normal 38" xfId="2763"/>
    <cellStyle name="Normal 38 2" xfId="2764"/>
    <cellStyle name="Normal 38 3" xfId="2765"/>
    <cellStyle name="Normal 39" xfId="2766"/>
    <cellStyle name="Normal 39 2" xfId="2767"/>
    <cellStyle name="Normal 39 3" xfId="2768"/>
    <cellStyle name="Normal 39 3 2" xfId="4958"/>
    <cellStyle name="Normal 39 3 3" xfId="4959"/>
    <cellStyle name="Normal 39 4" xfId="4960"/>
    <cellStyle name="Normal 39 4 2" xfId="4961"/>
    <cellStyle name="Normal 39 5" xfId="4962"/>
    <cellStyle name="Normal 4" xfId="57"/>
    <cellStyle name="Normal 4 10" xfId="2769"/>
    <cellStyle name="Normal 4 10 2" xfId="2770"/>
    <cellStyle name="Normal 4 10 2 2" xfId="2771"/>
    <cellStyle name="Normal 4 10 2 3" xfId="2772"/>
    <cellStyle name="Normal 4 10 3" xfId="2773"/>
    <cellStyle name="Normal 4 10 4" xfId="2774"/>
    <cellStyle name="Normal 4 11" xfId="2775"/>
    <cellStyle name="Normal 4 11 2" xfId="2776"/>
    <cellStyle name="Normal 4 11 3" xfId="2777"/>
    <cellStyle name="Normal 4 11 4" xfId="4963"/>
    <cellStyle name="Normal 4 11 5" xfId="4964"/>
    <cellStyle name="Normal 4 12" xfId="2778"/>
    <cellStyle name="Normal 4 13" xfId="2779"/>
    <cellStyle name="Normal 4 14" xfId="2780"/>
    <cellStyle name="Normal 4 15" xfId="2781"/>
    <cellStyle name="Normal 4 2" xfId="58"/>
    <cellStyle name="Normal 4 2 10" xfId="2782"/>
    <cellStyle name="Normal 4 2 2" xfId="295"/>
    <cellStyle name="Normal 4 2 2 2" xfId="2783"/>
    <cellStyle name="Normal 4 2 2 2 2" xfId="2784"/>
    <cellStyle name="Normal 4 2 2 2 2 2" xfId="2785"/>
    <cellStyle name="Normal 4 2 2 2 2 3" xfId="2786"/>
    <cellStyle name="Normal 4 2 2 2 3" xfId="2787"/>
    <cellStyle name="Normal 4 2 2 2 3 2" xfId="2788"/>
    <cellStyle name="Normal 4 2 2 2 3 3" xfId="2789"/>
    <cellStyle name="Normal 4 2 2 2 4" xfId="2790"/>
    <cellStyle name="Normal 4 2 2 2 4 2" xfId="2791"/>
    <cellStyle name="Normal 4 2 2 2 4 3" xfId="2792"/>
    <cellStyle name="Normal 4 2 2 2 5" xfId="2793"/>
    <cellStyle name="Normal 4 2 2 2 6" xfId="2794"/>
    <cellStyle name="Normal 4 2 2 3" xfId="2795"/>
    <cellStyle name="Normal 4 2 2 3 2" xfId="2796"/>
    <cellStyle name="Normal 4 2 2 3 3" xfId="2797"/>
    <cellStyle name="Normal 4 2 2 4" xfId="2798"/>
    <cellStyle name="Normal 4 2 2 4 2" xfId="2799"/>
    <cellStyle name="Normal 4 2 2 4 3" xfId="2800"/>
    <cellStyle name="Normal 4 2 2 5" xfId="2801"/>
    <cellStyle name="Normal 4 2 2 5 2" xfId="2802"/>
    <cellStyle name="Normal 4 2 2 5 3" xfId="2803"/>
    <cellStyle name="Normal 4 2 2 6" xfId="2804"/>
    <cellStyle name="Normal 4 2 2 7" xfId="2805"/>
    <cellStyle name="Normal 4 2 3" xfId="296"/>
    <cellStyle name="Normal 4 2 3 2" xfId="2806"/>
    <cellStyle name="Normal 4 2 3 2 2" xfId="2807"/>
    <cellStyle name="Normal 4 2 3 2 3" xfId="2808"/>
    <cellStyle name="Normal 4 2 3 2 3 2" xfId="4965"/>
    <cellStyle name="Normal 4 2 3 2 3 3" xfId="4966"/>
    <cellStyle name="Normal 4 2 3 2 3 4" xfId="4967"/>
    <cellStyle name="Normal 4 2 3 2 4" xfId="2809"/>
    <cellStyle name="Normal 4 2 3 2 5" xfId="4968"/>
    <cellStyle name="Normal 4 2 3 2 6" xfId="4969"/>
    <cellStyle name="Normal 4 2 3 3" xfId="2810"/>
    <cellStyle name="Normal 4 2 3 4" xfId="2811"/>
    <cellStyle name="Normal 4 2 4" xfId="2812"/>
    <cellStyle name="Normal 4 2 4 2" xfId="2813"/>
    <cellStyle name="Normal 4 2 4 2 2" xfId="2814"/>
    <cellStyle name="Normal 4 2 4 2 3" xfId="2815"/>
    <cellStyle name="Normal 4 2 4 3" xfId="2816"/>
    <cellStyle name="Normal 4 2 4 4" xfId="2817"/>
    <cellStyle name="Normal 4 2 5" xfId="2818"/>
    <cellStyle name="Normal 4 2 5 2" xfId="2819"/>
    <cellStyle name="Normal 4 2 5 3" xfId="2820"/>
    <cellStyle name="Normal 4 2 6" xfId="2821"/>
    <cellStyle name="Normal 4 2 6 2" xfId="2822"/>
    <cellStyle name="Normal 4 2 6 3" xfId="2823"/>
    <cellStyle name="Normal 4 2 6 4" xfId="4970"/>
    <cellStyle name="Normal 4 2 6 5" xfId="4971"/>
    <cellStyle name="Normal 4 2 7" xfId="2824"/>
    <cellStyle name="Normal 4 2 7 2" xfId="2825"/>
    <cellStyle name="Normal 4 2 7 3" xfId="2826"/>
    <cellStyle name="Normal 4 2 8" xfId="2827"/>
    <cellStyle name="Normal 4 2 8 2" xfId="2828"/>
    <cellStyle name="Normal 4 2 8 3" xfId="2829"/>
    <cellStyle name="Normal 4 2 9" xfId="2830"/>
    <cellStyle name="Normal 4 2_output data 08 to 10" xfId="297"/>
    <cellStyle name="Normal 4 3" xfId="298"/>
    <cellStyle name="Normal 4 3 2" xfId="2831"/>
    <cellStyle name="Normal 4 3 2 2" xfId="2832"/>
    <cellStyle name="Normal 4 3 2 2 2" xfId="2833"/>
    <cellStyle name="Normal 4 3 2 2 3" xfId="2834"/>
    <cellStyle name="Normal 4 3 2 3" xfId="2835"/>
    <cellStyle name="Normal 4 3 2 4" xfId="2836"/>
    <cellStyle name="Normal 4 3 3" xfId="2837"/>
    <cellStyle name="Normal 4 3 4" xfId="2838"/>
    <cellStyle name="Normal 4 3 5" xfId="2839"/>
    <cellStyle name="Normal 4 3 6" xfId="2840"/>
    <cellStyle name="Normal 4 4" xfId="299"/>
    <cellStyle name="Normal 4 4 2" xfId="300"/>
    <cellStyle name="Normal 4 4 3" xfId="2841"/>
    <cellStyle name="Normal 4 4 3 2" xfId="2842"/>
    <cellStyle name="Normal 4 4 3 3" xfId="2843"/>
    <cellStyle name="Normal 4 5" xfId="2844"/>
    <cellStyle name="Normal 4 5 2" xfId="2845"/>
    <cellStyle name="Normal 4 5 2 2" xfId="2846"/>
    <cellStyle name="Normal 4 5 2 3" xfId="2847"/>
    <cellStyle name="Normal 4 5 3" xfId="2848"/>
    <cellStyle name="Normal 4 5 4" xfId="2849"/>
    <cellStyle name="Normal 4 6" xfId="2850"/>
    <cellStyle name="Normal 4 6 2" xfId="2851"/>
    <cellStyle name="Normal 4 6 2 2" xfId="2852"/>
    <cellStyle name="Normal 4 6 2 3" xfId="2853"/>
    <cellStyle name="Normal 4 6 3" xfId="2854"/>
    <cellStyle name="Normal 4 6 4" xfId="2855"/>
    <cellStyle name="Normal 4 7" xfId="2856"/>
    <cellStyle name="Normal 4 7 2" xfId="2857"/>
    <cellStyle name="Normal 4 7 2 2" xfId="2858"/>
    <cellStyle name="Normal 4 7 2 2 2" xfId="2859"/>
    <cellStyle name="Normal 4 7 2 2 3" xfId="2860"/>
    <cellStyle name="Normal 4 7 2 3" xfId="2861"/>
    <cellStyle name="Normal 4 7 2 3 2" xfId="2862"/>
    <cellStyle name="Normal 4 7 2 3 3" xfId="2863"/>
    <cellStyle name="Normal 4 7 2 4" xfId="2864"/>
    <cellStyle name="Normal 4 7 2 4 2" xfId="2865"/>
    <cellStyle name="Normal 4 7 2 4 3" xfId="2866"/>
    <cellStyle name="Normal 4 7 2 5" xfId="2867"/>
    <cellStyle name="Normal 4 7 2 6" xfId="2868"/>
    <cellStyle name="Normal 4 7 3" xfId="2869"/>
    <cellStyle name="Normal 4 7 3 2" xfId="2870"/>
    <cellStyle name="Normal 4 7 3 3" xfId="2871"/>
    <cellStyle name="Normal 4 7 4" xfId="2872"/>
    <cellStyle name="Normal 4 7 4 2" xfId="2873"/>
    <cellStyle name="Normal 4 7 4 3" xfId="2874"/>
    <cellStyle name="Normal 4 7 5" xfId="2875"/>
    <cellStyle name="Normal 4 7 5 2" xfId="2876"/>
    <cellStyle name="Normal 4 7 5 3" xfId="2877"/>
    <cellStyle name="Normal 4 7 6" xfId="2878"/>
    <cellStyle name="Normal 4 7 7" xfId="2879"/>
    <cellStyle name="Normal 4 8" xfId="2880"/>
    <cellStyle name="Normal 4 8 2" xfId="2881"/>
    <cellStyle name="Normal 4 8 2 2" xfId="2882"/>
    <cellStyle name="Normal 4 8 2 3" xfId="2883"/>
    <cellStyle name="Normal 4 8 3" xfId="2884"/>
    <cellStyle name="Normal 4 8 4" xfId="2885"/>
    <cellStyle name="Normal 4 9" xfId="2886"/>
    <cellStyle name="Normal 4 9 2" xfId="2887"/>
    <cellStyle name="Normal 4 9 2 2" xfId="2888"/>
    <cellStyle name="Normal 4 9 2 3" xfId="2889"/>
    <cellStyle name="Normal 4 9 3" xfId="2890"/>
    <cellStyle name="Normal 4 9 4" xfId="2891"/>
    <cellStyle name="Normal 4_CPI 2009" xfId="370"/>
    <cellStyle name="Normal 40" xfId="2892"/>
    <cellStyle name="Normal 40 2" xfId="2893"/>
    <cellStyle name="Normal 40 3" xfId="2894"/>
    <cellStyle name="Normal 40 4" xfId="4972"/>
    <cellStyle name="Normal 40 5" xfId="4973"/>
    <cellStyle name="Normal 41" xfId="2895"/>
    <cellStyle name="Normal 41 2" xfId="2896"/>
    <cellStyle name="Normal 41 3" xfId="2897"/>
    <cellStyle name="Normal 41 4" xfId="4974"/>
    <cellStyle name="Normal 41 5" xfId="4975"/>
    <cellStyle name="Normal 42" xfId="2898"/>
    <cellStyle name="Normal 42 2" xfId="2899"/>
    <cellStyle name="Normal 42 3" xfId="2900"/>
    <cellStyle name="Normal 42 4" xfId="4976"/>
    <cellStyle name="Normal 42 5" xfId="4977"/>
    <cellStyle name="Normal 43" xfId="2901"/>
    <cellStyle name="Normal 43 2" xfId="2902"/>
    <cellStyle name="Normal 43 3" xfId="2903"/>
    <cellStyle name="Normal 44" xfId="2904"/>
    <cellStyle name="Normal 45" xfId="2905"/>
    <cellStyle name="Normal 46" xfId="2906"/>
    <cellStyle name="Normal 47" xfId="2907"/>
    <cellStyle name="Normal 48" xfId="2908"/>
    <cellStyle name="Normal 49" xfId="2909"/>
    <cellStyle name="Normal 5" xfId="59"/>
    <cellStyle name="Normal 5 2" xfId="60"/>
    <cellStyle name="Normal 5 2 2" xfId="2910"/>
    <cellStyle name="Normal 5 2 2 2" xfId="2911"/>
    <cellStyle name="Normal 5 2 2 3" xfId="2912"/>
    <cellStyle name="Normal 5 2 3" xfId="2913"/>
    <cellStyle name="Normal 5 2 4" xfId="2914"/>
    <cellStyle name="Normal 5 2 5" xfId="2915"/>
    <cellStyle name="Normal 5 3" xfId="301"/>
    <cellStyle name="Normal 5 3 2" xfId="2916"/>
    <cellStyle name="Normal 5 3 2 2" xfId="2917"/>
    <cellStyle name="Normal 5 3 2 2 2" xfId="2918"/>
    <cellStyle name="Normal 5 3 2 2 3" xfId="2919"/>
    <cellStyle name="Normal 5 3 2 3" xfId="2920"/>
    <cellStyle name="Normal 5 3 2 4" xfId="2921"/>
    <cellStyle name="Normal 5 3 3" xfId="2922"/>
    <cellStyle name="Normal 5 3 4" xfId="2923"/>
    <cellStyle name="Normal 5 3 4 2" xfId="2924"/>
    <cellStyle name="Normal 5 3 4 3" xfId="2925"/>
    <cellStyle name="Normal 5 3 5" xfId="2926"/>
    <cellStyle name="Normal 5 3 6" xfId="2927"/>
    <cellStyle name="Normal 5 3 7" xfId="2928"/>
    <cellStyle name="Normal 5 4" xfId="302"/>
    <cellStyle name="Normal 5 4 2" xfId="303"/>
    <cellStyle name="Normal 5 4 3" xfId="2929"/>
    <cellStyle name="Normal 5 4 3 2" xfId="2930"/>
    <cellStyle name="Normal 5 4 3 2 2" xfId="2931"/>
    <cellStyle name="Normal 5 4 3 2 3" xfId="2932"/>
    <cellStyle name="Normal 5 4 3 3" xfId="2933"/>
    <cellStyle name="Normal 5 4 3 3 2" xfId="4978"/>
    <cellStyle name="Normal 5 4 3 3 3" xfId="4979"/>
    <cellStyle name="Normal 5 4 3 3 4" xfId="4980"/>
    <cellStyle name="Normal 5 4 3 4" xfId="2934"/>
    <cellStyle name="Normal 5 4 3 5" xfId="4981"/>
    <cellStyle name="Normal 5 4 3 6" xfId="4982"/>
    <cellStyle name="Normal 5 5" xfId="2935"/>
    <cellStyle name="Normal 5 5 2" xfId="2936"/>
    <cellStyle name="Normal 5 5 3" xfId="2937"/>
    <cellStyle name="Normal 5 6" xfId="2938"/>
    <cellStyle name="Normal 5 6 2" xfId="2939"/>
    <cellStyle name="Normal 5 6 3" xfId="2940"/>
    <cellStyle name="Normal 5 6 4" xfId="4983"/>
    <cellStyle name="Normal 5 6 5" xfId="4984"/>
    <cellStyle name="Normal 5 7" xfId="2941"/>
    <cellStyle name="Normal 5 7 2" xfId="2942"/>
    <cellStyle name="Normal 5 7 3" xfId="2943"/>
    <cellStyle name="Normal 5 8" xfId="2944"/>
    <cellStyle name="Normal 5 9" xfId="2945"/>
    <cellStyle name="Normal 5_CPI 2009" xfId="371"/>
    <cellStyle name="Normal 50" xfId="2946"/>
    <cellStyle name="Normal 51" xfId="2947"/>
    <cellStyle name="Normal 51 2" xfId="4985"/>
    <cellStyle name="Normal 51 3" xfId="4986"/>
    <cellStyle name="Normal 52" xfId="2948"/>
    <cellStyle name="Normal 52 2" xfId="4987"/>
    <cellStyle name="Normal 52 3" xfId="4988"/>
    <cellStyle name="Normal 53" xfId="4989"/>
    <cellStyle name="Normal 54" xfId="4990"/>
    <cellStyle name="Normal 55" xfId="2949"/>
    <cellStyle name="Normal 55 2" xfId="2950"/>
    <cellStyle name="Normal 55 3" xfId="2951"/>
    <cellStyle name="Normal 56" xfId="2952"/>
    <cellStyle name="Normal 56 2" xfId="2953"/>
    <cellStyle name="Normal 56 3" xfId="2954"/>
    <cellStyle name="Normal 57" xfId="4991"/>
    <cellStyle name="Normal 58" xfId="4992"/>
    <cellStyle name="Normal 59" xfId="4993"/>
    <cellStyle name="Normal 6" xfId="61"/>
    <cellStyle name="Normal 6 2" xfId="62"/>
    <cellStyle name="Normal 6 2 2" xfId="304"/>
    <cellStyle name="Normal 6 2 2 2" xfId="2955"/>
    <cellStyle name="Normal 6 2 2 2 2" xfId="2956"/>
    <cellStyle name="Normal 6 2 2 2 3" xfId="2957"/>
    <cellStyle name="Normal 6 2 2 2 3 2" xfId="4994"/>
    <cellStyle name="Normal 6 2 2 2 3 3" xfId="4995"/>
    <cellStyle name="Normal 6 2 2 2 4" xfId="4996"/>
    <cellStyle name="Normal 6 2 2 2 5" xfId="4997"/>
    <cellStyle name="Normal 6 2 2 2 6" xfId="4998"/>
    <cellStyle name="Normal 6 2 2 3" xfId="2958"/>
    <cellStyle name="Normal 6 2 2 4" xfId="2959"/>
    <cellStyle name="Normal 6 2 3" xfId="2960"/>
    <cellStyle name="Normal 6 2 3 2" xfId="2961"/>
    <cellStyle name="Normal 6 2 3 2 2" xfId="2962"/>
    <cellStyle name="Normal 6 2 3 2 3" xfId="2963"/>
    <cellStyle name="Normal 6 2 3 3" xfId="2964"/>
    <cellStyle name="Normal 6 2 3 4" xfId="2965"/>
    <cellStyle name="Normal 6 2 4" xfId="2966"/>
    <cellStyle name="Normal 6 2 4 2" xfId="4999"/>
    <cellStyle name="Normal 6 2 4 3" xfId="5000"/>
    <cellStyle name="Normal 6 2 4 4" xfId="5001"/>
    <cellStyle name="Normal 6 2 5" xfId="2967"/>
    <cellStyle name="Normal 6 2 6" xfId="2968"/>
    <cellStyle name="Normal 6 3" xfId="305"/>
    <cellStyle name="Normal 6 3 2" xfId="2969"/>
    <cellStyle name="Normal 6 3 2 2" xfId="2970"/>
    <cellStyle name="Normal 6 3 2 2 2" xfId="2971"/>
    <cellStyle name="Normal 6 3 2 2 3" xfId="2972"/>
    <cellStyle name="Normal 6 3 2 3" xfId="2973"/>
    <cellStyle name="Normal 6 3 2 3 2" xfId="5002"/>
    <cellStyle name="Normal 6 3 2 3 3" xfId="5003"/>
    <cellStyle name="Normal 6 3 2 3 4" xfId="5004"/>
    <cellStyle name="Normal 6 3 2 4" xfId="2974"/>
    <cellStyle name="Normal 6 3 2 5" xfId="5005"/>
    <cellStyle name="Normal 6 3 2 6" xfId="5006"/>
    <cellStyle name="Normal 6 3 3" xfId="2975"/>
    <cellStyle name="Normal 6 3 4" xfId="2976"/>
    <cellStyle name="Normal 6 4" xfId="2977"/>
    <cellStyle name="Normal 6 4 2" xfId="2978"/>
    <cellStyle name="Normal 6 4 2 2" xfId="2979"/>
    <cellStyle name="Normal 6 4 2 3" xfId="2980"/>
    <cellStyle name="Normal 6 4 3" xfId="2981"/>
    <cellStyle name="Normal 6 4 3 2" xfId="2982"/>
    <cellStyle name="Normal 6 4 3 3" xfId="2983"/>
    <cellStyle name="Normal 6 4 4" xfId="2984"/>
    <cellStyle name="Normal 6 4 5" xfId="2985"/>
    <cellStyle name="Normal 6 5" xfId="2986"/>
    <cellStyle name="Normal 6 5 2" xfId="2987"/>
    <cellStyle name="Normal 6 5 3" xfId="2988"/>
    <cellStyle name="Normal 6 5 4" xfId="5007"/>
    <cellStyle name="Normal 6 5 5" xfId="5008"/>
    <cellStyle name="Normal 6 6" xfId="2989"/>
    <cellStyle name="Normal 6 6 2" xfId="2990"/>
    <cellStyle name="Normal 6 6 3" xfId="2991"/>
    <cellStyle name="Normal 6 7" xfId="2992"/>
    <cellStyle name="Normal 6 7 2" xfId="2993"/>
    <cellStyle name="Normal 6 7 3" xfId="2994"/>
    <cellStyle name="Normal 6 8" xfId="2995"/>
    <cellStyle name="Normal 6 9" xfId="2996"/>
    <cellStyle name="Normal 6_CPI 2009" xfId="372"/>
    <cellStyle name="Normal 60" xfId="5009"/>
    <cellStyle name="Normal 61" xfId="5517"/>
    <cellStyle name="Normal 62" xfId="5518"/>
    <cellStyle name="Normal 7" xfId="63"/>
    <cellStyle name="Normal 7 2" xfId="64"/>
    <cellStyle name="Normal 7 2 2" xfId="306"/>
    <cellStyle name="Normal 7 2 2 2" xfId="2997"/>
    <cellStyle name="Normal 7 2 2 2 2" xfId="2998"/>
    <cellStyle name="Normal 7 2 2 2 3" xfId="2999"/>
    <cellStyle name="Normal 7 2 2 2 3 2" xfId="5010"/>
    <cellStyle name="Normal 7 2 2 2 3 3" xfId="5011"/>
    <cellStyle name="Normal 7 2 2 2 4" xfId="5012"/>
    <cellStyle name="Normal 7 2 2 2 5" xfId="5013"/>
    <cellStyle name="Normal 7 2 2 2 6" xfId="5014"/>
    <cellStyle name="Normal 7 2 2 3" xfId="3000"/>
    <cellStyle name="Normal 7 2 2 4" xfId="3001"/>
    <cellStyle name="Normal 7 2 3" xfId="3002"/>
    <cellStyle name="Normal 7 2 3 2" xfId="3003"/>
    <cellStyle name="Normal 7 2 3 2 2" xfId="3004"/>
    <cellStyle name="Normal 7 2 3 2 3" xfId="3005"/>
    <cellStyle name="Normal 7 2 3 3" xfId="3006"/>
    <cellStyle name="Normal 7 2 3 4" xfId="3007"/>
    <cellStyle name="Normal 7 2 4" xfId="3008"/>
    <cellStyle name="Normal 7 2 4 2" xfId="5015"/>
    <cellStyle name="Normal 7 2 4 3" xfId="5016"/>
    <cellStyle name="Normal 7 2 4 4" xfId="5017"/>
    <cellStyle name="Normal 7 2 5" xfId="3009"/>
    <cellStyle name="Normal 7 3" xfId="65"/>
    <cellStyle name="Normal 7 3 2" xfId="307"/>
    <cellStyle name="Normal 7 3 2 2" xfId="3010"/>
    <cellStyle name="Normal 7 3 2 2 2" xfId="3011"/>
    <cellStyle name="Normal 7 3 2 2 3" xfId="3012"/>
    <cellStyle name="Normal 7 3 2 2 3 2" xfId="5018"/>
    <cellStyle name="Normal 7 3 2 2 3 3" xfId="5019"/>
    <cellStyle name="Normal 7 3 2 2 4" xfId="5020"/>
    <cellStyle name="Normal 7 3 2 2 5" xfId="5021"/>
    <cellStyle name="Normal 7 3 2 2 6" xfId="5022"/>
    <cellStyle name="Normal 7 3 2 3" xfId="3013"/>
    <cellStyle name="Normal 7 3 2 4" xfId="3014"/>
    <cellStyle name="Normal 7 3 3" xfId="3015"/>
    <cellStyle name="Normal 7 3 3 2" xfId="3016"/>
    <cellStyle name="Normal 7 3 3 2 2" xfId="3017"/>
    <cellStyle name="Normal 7 3 3 2 3" xfId="3018"/>
    <cellStyle name="Normal 7 3 3 3" xfId="3019"/>
    <cellStyle name="Normal 7 3 3 4" xfId="3020"/>
    <cellStyle name="Normal 7 3 4" xfId="3021"/>
    <cellStyle name="Normal 7 3 5" xfId="3022"/>
    <cellStyle name="Normal 7 4" xfId="308"/>
    <cellStyle name="Normal 7 4 2" xfId="3023"/>
    <cellStyle name="Normal 7 4 2 2" xfId="3024"/>
    <cellStyle name="Normal 7 4 2 3" xfId="3025"/>
    <cellStyle name="Normal 7 4 3" xfId="3026"/>
    <cellStyle name="Normal 7 4 4" xfId="3027"/>
    <cellStyle name="Normal 7 4 5" xfId="5519"/>
    <cellStyle name="Normal 7 5" xfId="309"/>
    <cellStyle name="Normal 7 5 2" xfId="3028"/>
    <cellStyle name="Normal 7 5 2 2" xfId="3029"/>
    <cellStyle name="Normal 7 5 2 2 2" xfId="3030"/>
    <cellStyle name="Normal 7 5 2 2 3" xfId="3031"/>
    <cellStyle name="Normal 7 5 2 3" xfId="3032"/>
    <cellStyle name="Normal 7 5 2 3 2" xfId="5023"/>
    <cellStyle name="Normal 7 5 2 3 3" xfId="5024"/>
    <cellStyle name="Normal 7 5 2 3 4" xfId="5025"/>
    <cellStyle name="Normal 7 5 2 4" xfId="3033"/>
    <cellStyle name="Normal 7 5 2 5" xfId="5026"/>
    <cellStyle name="Normal 7 5 2 6" xfId="5027"/>
    <cellStyle name="Normal 7 5 3" xfId="3034"/>
    <cellStyle name="Normal 7 5 4" xfId="3035"/>
    <cellStyle name="Normal 7 6" xfId="3036"/>
    <cellStyle name="Normal 7 6 2" xfId="3037"/>
    <cellStyle name="Normal 7 6 2 2" xfId="3038"/>
    <cellStyle name="Normal 7 6 2 3" xfId="3039"/>
    <cellStyle name="Normal 7 6 3" xfId="3040"/>
    <cellStyle name="Normal 7 6 4" xfId="3041"/>
    <cellStyle name="Normal 7 6 5" xfId="3042"/>
    <cellStyle name="Normal 7 7" xfId="3043"/>
    <cellStyle name="Normal 7 7 2" xfId="3044"/>
    <cellStyle name="Normal 7 7 3" xfId="3045"/>
    <cellStyle name="Normal 7 8" xfId="3046"/>
    <cellStyle name="Normal 7 9" xfId="3047"/>
    <cellStyle name="Normal 7_CPI 2009" xfId="373"/>
    <cellStyle name="Normal 8" xfId="66"/>
    <cellStyle name="Normal 8 2" xfId="310"/>
    <cellStyle name="Normal 8 2 2" xfId="3048"/>
    <cellStyle name="Normal 8 2 2 2" xfId="3049"/>
    <cellStyle name="Normal 8 2 2 2 2" xfId="3050"/>
    <cellStyle name="Normal 8 2 2 2 3" xfId="3051"/>
    <cellStyle name="Normal 8 2 2 3" xfId="3052"/>
    <cellStyle name="Normal 8 2 2 3 2" xfId="5028"/>
    <cellStyle name="Normal 8 2 2 3 3" xfId="5029"/>
    <cellStyle name="Normal 8 2 2 3 4" xfId="5030"/>
    <cellStyle name="Normal 8 2 2 4" xfId="3053"/>
    <cellStyle name="Normal 8 2 2 5" xfId="5031"/>
    <cellStyle name="Normal 8 2 2 6" xfId="5032"/>
    <cellStyle name="Normal 8 2 3" xfId="3054"/>
    <cellStyle name="Normal 8 2 4" xfId="3055"/>
    <cellStyle name="Normal 8 3" xfId="3056"/>
    <cellStyle name="Normal 8 3 2" xfId="3057"/>
    <cellStyle name="Normal 8 3 2 2" xfId="3058"/>
    <cellStyle name="Normal 8 3 2 2 2" xfId="3059"/>
    <cellStyle name="Normal 8 3 2 2 3" xfId="3060"/>
    <cellStyle name="Normal 8 3 2 3" xfId="3061"/>
    <cellStyle name="Normal 8 3 2 4" xfId="3062"/>
    <cellStyle name="Normal 8 3 3" xfId="3063"/>
    <cellStyle name="Normal 8 3 3 2" xfId="3064"/>
    <cellStyle name="Normal 8 3 3 3" xfId="3065"/>
    <cellStyle name="Normal 8 3 4" xfId="3066"/>
    <cellStyle name="Normal 8 3 4 2" xfId="3067"/>
    <cellStyle name="Normal 8 3 4 3" xfId="3068"/>
    <cellStyle name="Normal 8 3 4 3 2" xfId="5033"/>
    <cellStyle name="Normal 8 3 4 3 3" xfId="5034"/>
    <cellStyle name="Normal 8 3 4 4" xfId="5035"/>
    <cellStyle name="Normal 8 3 4 4 2" xfId="5036"/>
    <cellStyle name="Normal 8 3 4 5" xfId="5037"/>
    <cellStyle name="Normal 8 3 5" xfId="3069"/>
    <cellStyle name="Normal 8 3 5 2" xfId="3070"/>
    <cellStyle name="Normal 8 3 5 3" xfId="3071"/>
    <cellStyle name="Normal 8 3 6" xfId="3072"/>
    <cellStyle name="Normal 8 3 6 2" xfId="3073"/>
    <cellStyle name="Normal 8 3 6 3" xfId="3074"/>
    <cellStyle name="Normal 8 3 7" xfId="3075"/>
    <cellStyle name="Normal 8 3 8" xfId="3076"/>
    <cellStyle name="Normal 8 4" xfId="3077"/>
    <cellStyle name="Normal 8 4 2" xfId="3078"/>
    <cellStyle name="Normal 8 4 2 2" xfId="3079"/>
    <cellStyle name="Normal 8 4 2 3" xfId="3080"/>
    <cellStyle name="Normal 8 4 3" xfId="3081"/>
    <cellStyle name="Normal 8 4 3 2" xfId="3082"/>
    <cellStyle name="Normal 8 4 3 3" xfId="3083"/>
    <cellStyle name="Normal 8 4 4" xfId="3084"/>
    <cellStyle name="Normal 8 4 5" xfId="3085"/>
    <cellStyle name="Normal 8 5" xfId="3086"/>
    <cellStyle name="Normal 8 5 2" xfId="3087"/>
    <cellStyle name="Normal 8 5 2 2" xfId="3088"/>
    <cellStyle name="Normal 8 5 2 3" xfId="3089"/>
    <cellStyle name="Normal 8 5 3" xfId="3090"/>
    <cellStyle name="Normal 8 5 4" xfId="3091"/>
    <cellStyle name="Normal 8 6" xfId="3092"/>
    <cellStyle name="Normal 8 6 2" xfId="3093"/>
    <cellStyle name="Normal 8 6 3" xfId="3094"/>
    <cellStyle name="Normal 8 6 4" xfId="5038"/>
    <cellStyle name="Normal 8 6 5" xfId="5039"/>
    <cellStyle name="Normal 8 7" xfId="3095"/>
    <cellStyle name="Normal 8 7 2" xfId="3096"/>
    <cellStyle name="Normal 8 7 3" xfId="3097"/>
    <cellStyle name="Normal 8 8" xfId="3098"/>
    <cellStyle name="Normal 8 9" xfId="3099"/>
    <cellStyle name="Normal 8_CPI 2009" xfId="374"/>
    <cellStyle name="Normal 9" xfId="15"/>
    <cellStyle name="Normal 9 10" xfId="3100"/>
    <cellStyle name="Normal 9 2" xfId="311"/>
    <cellStyle name="Normal 9 2 2" xfId="3101"/>
    <cellStyle name="Normal 9 2 3" xfId="3102"/>
    <cellStyle name="Normal 9 2 4" xfId="3103"/>
    <cellStyle name="Normal 9 2 5" xfId="5040"/>
    <cellStyle name="Normal 9 2 6" xfId="5041"/>
    <cellStyle name="Normal 9 2 7" xfId="5042"/>
    <cellStyle name="Normal 9 2 8" xfId="5520"/>
    <cellStyle name="Normal 9 3" xfId="361"/>
    <cellStyle name="Normal 9 3 2" xfId="3104"/>
    <cellStyle name="Normal 9 3 3" xfId="3105"/>
    <cellStyle name="Normal 9 3 4" xfId="3106"/>
    <cellStyle name="Normal 9 3 5" xfId="5043"/>
    <cellStyle name="Normal 9 3 6" xfId="5044"/>
    <cellStyle name="Normal 9 3 7" xfId="5045"/>
    <cellStyle name="Normal 9 4" xfId="362"/>
    <cellStyle name="Normal 9 4 2" xfId="3107"/>
    <cellStyle name="Normal 9 4 3" xfId="3108"/>
    <cellStyle name="Normal 9 4 4" xfId="5046"/>
    <cellStyle name="Normal 9 5" xfId="363"/>
    <cellStyle name="Normal 9 5 2" xfId="3109"/>
    <cellStyle name="Normal 9 5 3" xfId="3110"/>
    <cellStyle name="Normal 9 5 4" xfId="5047"/>
    <cellStyle name="Normal 9 6" xfId="3111"/>
    <cellStyle name="Normal 9 6 2" xfId="3112"/>
    <cellStyle name="Normal 9 6 3" xfId="3113"/>
    <cellStyle name="Normal 9 7" xfId="3114"/>
    <cellStyle name="Normal 9 7 2" xfId="3115"/>
    <cellStyle name="Normal 9 7 3" xfId="3116"/>
    <cellStyle name="Normal 9 8" xfId="3117"/>
    <cellStyle name="Normal 9 9" xfId="3118"/>
    <cellStyle name="Normal 9_CPI" xfId="360"/>
    <cellStyle name="Normal_Chapter 4_data 2" xfId="353"/>
    <cellStyle name="Note 2" xfId="67"/>
    <cellStyle name="Note 2 2" xfId="313"/>
    <cellStyle name="Note 2 2 2" xfId="314"/>
    <cellStyle name="Note 2 2 2 2" xfId="3119"/>
    <cellStyle name="Note 2 2 2 2 2" xfId="3120"/>
    <cellStyle name="Note 2 2 2 2 2 2" xfId="5048"/>
    <cellStyle name="Note 2 2 2 2 3" xfId="3121"/>
    <cellStyle name="Note 2 2 2 2 3 2" xfId="5049"/>
    <cellStyle name="Note 2 2 2 2 3 3" xfId="5050"/>
    <cellStyle name="Note 2 2 2 2 3 4" xfId="5051"/>
    <cellStyle name="Note 2 2 2 2 4" xfId="5052"/>
    <cellStyle name="Note 2 2 2 2 5" xfId="5053"/>
    <cellStyle name="Note 2 2 2 2 6" xfId="5054"/>
    <cellStyle name="Note 2 2 2 2 7" xfId="5055"/>
    <cellStyle name="Note 2 2 2 3" xfId="3122"/>
    <cellStyle name="Note 2 2 2 3 2" xfId="3123"/>
    <cellStyle name="Note 2 2 2 3 3" xfId="3124"/>
    <cellStyle name="Note 2 2 2 4" xfId="3125"/>
    <cellStyle name="Note 2 2 2 5" xfId="3126"/>
    <cellStyle name="Note 2 2 3" xfId="3127"/>
    <cellStyle name="Note 2 2 3 2" xfId="3128"/>
    <cellStyle name="Note 2 2 3 2 2" xfId="5056"/>
    <cellStyle name="Note 2 2 3 3" xfId="3129"/>
    <cellStyle name="Note 2 2 3 3 2" xfId="5057"/>
    <cellStyle name="Note 2 2 3 3 3" xfId="5058"/>
    <cellStyle name="Note 2 2 3 3 4" xfId="5059"/>
    <cellStyle name="Note 2 2 3 4" xfId="5060"/>
    <cellStyle name="Note 2 2 3 5" xfId="5061"/>
    <cellStyle name="Note 2 2 3 6" xfId="5062"/>
    <cellStyle name="Note 2 2 3 7" xfId="5063"/>
    <cellStyle name="Note 2 2 4" xfId="3130"/>
    <cellStyle name="Note 2 2 4 2" xfId="3131"/>
    <cellStyle name="Note 2 2 4 3" xfId="3132"/>
    <cellStyle name="Note 2 2 5" xfId="3133"/>
    <cellStyle name="Note 2 2 6" xfId="3134"/>
    <cellStyle name="Note 2 3" xfId="315"/>
    <cellStyle name="Note 2 3 2" xfId="3135"/>
    <cellStyle name="Note 2 3 2 2" xfId="3136"/>
    <cellStyle name="Note 2 3 2 2 2" xfId="3137"/>
    <cellStyle name="Note 2 3 2 2 3" xfId="3138"/>
    <cellStyle name="Note 2 3 2 3" xfId="3139"/>
    <cellStyle name="Note 2 3 2 4" xfId="3140"/>
    <cellStyle name="Note 2 3 3" xfId="3141"/>
    <cellStyle name="Note 2 3 3 2" xfId="3142"/>
    <cellStyle name="Note 2 3 3 2 2" xfId="5064"/>
    <cellStyle name="Note 2 3 3 3" xfId="3143"/>
    <cellStyle name="Note 2 3 3 3 2" xfId="5065"/>
    <cellStyle name="Note 2 3 3 3 3" xfId="5066"/>
    <cellStyle name="Note 2 3 3 3 4" xfId="5067"/>
    <cellStyle name="Note 2 3 3 4" xfId="5068"/>
    <cellStyle name="Note 2 3 3 5" xfId="5069"/>
    <cellStyle name="Note 2 3 3 6" xfId="5070"/>
    <cellStyle name="Note 2 3 3 7" xfId="5071"/>
    <cellStyle name="Note 2 3 4" xfId="3144"/>
    <cellStyle name="Note 2 3 4 2" xfId="3145"/>
    <cellStyle name="Note 2 3 4 3" xfId="3146"/>
    <cellStyle name="Note 2 3 5" xfId="3147"/>
    <cellStyle name="Note 2 3 5 2" xfId="5072"/>
    <cellStyle name="Note 2 3 5 3" xfId="5073"/>
    <cellStyle name="Note 2 3 5 4" xfId="5074"/>
    <cellStyle name="Note 2 3 6" xfId="3148"/>
    <cellStyle name="Note 2 3 6 2" xfId="5075"/>
    <cellStyle name="Note 2 3 6 3" xfId="5076"/>
    <cellStyle name="Note 2 3 7" xfId="5077"/>
    <cellStyle name="Note 2 4" xfId="312"/>
    <cellStyle name="Note 2 4 2" xfId="3149"/>
    <cellStyle name="Note 2 4 2 2" xfId="3150"/>
    <cellStyle name="Note 2 4 2 2 2" xfId="3151"/>
    <cellStyle name="Note 2 4 2 2 3" xfId="3152"/>
    <cellStyle name="Note 2 4 2 3" xfId="3153"/>
    <cellStyle name="Note 2 4 2 4" xfId="3154"/>
    <cellStyle name="Note 2 4 3" xfId="3155"/>
    <cellStyle name="Note 2 4 3 2" xfId="3156"/>
    <cellStyle name="Note 2 4 3 3" xfId="3157"/>
    <cellStyle name="Note 2 4 4" xfId="3158"/>
    <cellStyle name="Note 2 4 5" xfId="3159"/>
    <cellStyle name="Note 2 5" xfId="3160"/>
    <cellStyle name="Note 2 5 2" xfId="3161"/>
    <cellStyle name="Note 2 5 2 2" xfId="3162"/>
    <cellStyle name="Note 2 5 2 3" xfId="3163"/>
    <cellStyle name="Note 2 5 3" xfId="3164"/>
    <cellStyle name="Note 2 5 4" xfId="3165"/>
    <cellStyle name="Note 2 6" xfId="3166"/>
    <cellStyle name="Note 2 6 2" xfId="3167"/>
    <cellStyle name="Note 2 6 3" xfId="3168"/>
    <cellStyle name="Note 2 7" xfId="3169"/>
    <cellStyle name="Note 2 8" xfId="3170"/>
    <cellStyle name="Note 3" xfId="316"/>
    <cellStyle name="Note 3 2" xfId="317"/>
    <cellStyle name="Note 3 2 2" xfId="3171"/>
    <cellStyle name="Note 3 2 2 2" xfId="3172"/>
    <cellStyle name="Note 3 2 2 3" xfId="3173"/>
    <cellStyle name="Note 3 2 2 3 2" xfId="5078"/>
    <cellStyle name="Note 3 2 2 3 3" xfId="5079"/>
    <cellStyle name="Note 3 2 2 3 4" xfId="5080"/>
    <cellStyle name="Note 3 2 2 4" xfId="5081"/>
    <cellStyle name="Note 3 2 2 5" xfId="5082"/>
    <cellStyle name="Note 3 2 2 6" xfId="5083"/>
    <cellStyle name="Note 3 2 3" xfId="3174"/>
    <cellStyle name="Note 3 2 4" xfId="3175"/>
    <cellStyle name="Note 3 3" xfId="3176"/>
    <cellStyle name="Note 3 3 2" xfId="3177"/>
    <cellStyle name="Note 3 3 3" xfId="3178"/>
    <cellStyle name="Note 3 3 3 2" xfId="5084"/>
    <cellStyle name="Note 3 3 3 3" xfId="5085"/>
    <cellStyle name="Note 3 3 3 4" xfId="5086"/>
    <cellStyle name="Note 3 3 4" xfId="5087"/>
    <cellStyle name="Note 3 3 5" xfId="5088"/>
    <cellStyle name="Note 3 3 6" xfId="5089"/>
    <cellStyle name="Note 3 4" xfId="3179"/>
    <cellStyle name="Note 3 5" xfId="3180"/>
    <cellStyle name="Note 4" xfId="3181"/>
    <cellStyle name="Note 4 2" xfId="3182"/>
    <cellStyle name="Note 4 2 2" xfId="3183"/>
    <cellStyle name="Note 4 2 2 2" xfId="3184"/>
    <cellStyle name="Note 4 2 2 3" xfId="3185"/>
    <cellStyle name="Note 4 2 3" xfId="3186"/>
    <cellStyle name="Note 4 2 4" xfId="3187"/>
    <cellStyle name="Note 4 3" xfId="3188"/>
    <cellStyle name="Note 4 3 2" xfId="3189"/>
    <cellStyle name="Note 4 3 3" xfId="3190"/>
    <cellStyle name="Note 4 4" xfId="3191"/>
    <cellStyle name="Note 4 5" xfId="3192"/>
    <cellStyle name="Note 5" xfId="3193"/>
    <cellStyle name="Note 5 2" xfId="3194"/>
    <cellStyle name="Note 5 2 2" xfId="3195"/>
    <cellStyle name="Note 5 2 2 2" xfId="3196"/>
    <cellStyle name="Note 5 2 2 3" xfId="3197"/>
    <cellStyle name="Note 5 2 3" xfId="3198"/>
    <cellStyle name="Note 5 2 3 2" xfId="3199"/>
    <cellStyle name="Note 5 2 3 3" xfId="3200"/>
    <cellStyle name="Note 5 2 4" xfId="3201"/>
    <cellStyle name="Note 5 2 4 2" xfId="5090"/>
    <cellStyle name="Note 5 2 4 2 2" xfId="5091"/>
    <cellStyle name="Note 5 2 4 3" xfId="5092"/>
    <cellStyle name="Note 5 2 5" xfId="3202"/>
    <cellStyle name="Note 5 2 5 2" xfId="5093"/>
    <cellStyle name="Note 5 2 5 3" xfId="5094"/>
    <cellStyle name="Note 5 2 6" xfId="5095"/>
    <cellStyle name="Note 5 2 7" xfId="5096"/>
    <cellStyle name="Note 5 3" xfId="3203"/>
    <cellStyle name="Note 5 3 2" xfId="3204"/>
    <cellStyle name="Note 5 3 3" xfId="3205"/>
    <cellStyle name="Note 5 4" xfId="3206"/>
    <cellStyle name="Note 5 4 2" xfId="3207"/>
    <cellStyle name="Note 5 4 3" xfId="3208"/>
    <cellStyle name="Note 5 5" xfId="3209"/>
    <cellStyle name="Note 5 5 2" xfId="5097"/>
    <cellStyle name="Note 5 5 2 2" xfId="5098"/>
    <cellStyle name="Note 5 5 3" xfId="5099"/>
    <cellStyle name="Note 5 6" xfId="3210"/>
    <cellStyle name="Note 5 6 2" xfId="5100"/>
    <cellStyle name="Note 5 6 3" xfId="5101"/>
    <cellStyle name="Note 5 7" xfId="5102"/>
    <cellStyle name="Note 5 8" xfId="5103"/>
    <cellStyle name="Note 6" xfId="3211"/>
    <cellStyle name="Note 6 2" xfId="5104"/>
    <cellStyle name="Note 7" xfId="3212"/>
    <cellStyle name="notes" xfId="318"/>
    <cellStyle name="notes 2" xfId="3213"/>
    <cellStyle name="notes 3" xfId="3214"/>
    <cellStyle name="Output 2" xfId="68"/>
    <cellStyle name="Output 2 2" xfId="320"/>
    <cellStyle name="Output 2 2 2" xfId="3215"/>
    <cellStyle name="Output 2 2 2 2" xfId="3216"/>
    <cellStyle name="Output 2 2 2 2 2" xfId="3217"/>
    <cellStyle name="Output 2 2 2 2 2 2" xfId="5105"/>
    <cellStyle name="Output 2 2 2 2 3" xfId="3218"/>
    <cellStyle name="Output 2 2 2 3" xfId="3219"/>
    <cellStyle name="Output 2 2 2 3 2" xfId="5106"/>
    <cellStyle name="Output 2 2 2 4" xfId="3220"/>
    <cellStyle name="Output 2 2 3" xfId="3221"/>
    <cellStyle name="Output 2 2 3 2" xfId="3222"/>
    <cellStyle name="Output 2 2 3 2 2" xfId="5107"/>
    <cellStyle name="Output 2 2 3 2 2 2" xfId="5108"/>
    <cellStyle name="Output 2 2 3 3" xfId="3223"/>
    <cellStyle name="Output 2 2 3 3 2" xfId="5109"/>
    <cellStyle name="Output 2 2 3 3 3" xfId="5110"/>
    <cellStyle name="Output 2 2 3 3 4" xfId="5111"/>
    <cellStyle name="Output 2 2 3 4" xfId="5112"/>
    <cellStyle name="Output 2 2 3 4 2" xfId="5113"/>
    <cellStyle name="Output 2 2 3 5" xfId="5114"/>
    <cellStyle name="Output 2 2 3 6" xfId="5115"/>
    <cellStyle name="Output 2 2 3 7" xfId="5116"/>
    <cellStyle name="Output 2 2 4" xfId="3224"/>
    <cellStyle name="Output 2 2 4 2" xfId="3225"/>
    <cellStyle name="Output 2 2 4 2 2" xfId="5117"/>
    <cellStyle name="Output 2 2 4 3" xfId="3226"/>
    <cellStyle name="Output 2 2 5" xfId="3227"/>
    <cellStyle name="Output 2 2 5 2" xfId="3228"/>
    <cellStyle name="Output 2 2 5 2 2" xfId="5118"/>
    <cellStyle name="Output 2 2 5 3" xfId="3229"/>
    <cellStyle name="Output 2 2 6" xfId="3230"/>
    <cellStyle name="Output 2 2 6 2" xfId="5119"/>
    <cellStyle name="Output 2 2 6 3" xfId="5120"/>
    <cellStyle name="Output 2 2 6 4" xfId="5121"/>
    <cellStyle name="Output 2 2 7" xfId="3231"/>
    <cellStyle name="Output 2 2 7 2" xfId="5122"/>
    <cellStyle name="Output 2 2 7 3" xfId="5123"/>
    <cellStyle name="Output 2 2 7 4" xfId="5124"/>
    <cellStyle name="Output 2 2 8" xfId="5125"/>
    <cellStyle name="Output 2 2 8 2" xfId="5126"/>
    <cellStyle name="Output 2 2 9" xfId="5127"/>
    <cellStyle name="Output 2 3" xfId="319"/>
    <cellStyle name="Output 2 3 2" xfId="3232"/>
    <cellStyle name="Output 2 3 2 2" xfId="3233"/>
    <cellStyle name="Output 2 3 2 2 2" xfId="3234"/>
    <cellStyle name="Output 2 3 2 2 2 2" xfId="5128"/>
    <cellStyle name="Output 2 3 2 2 3" xfId="3235"/>
    <cellStyle name="Output 2 3 2 3" xfId="3236"/>
    <cellStyle name="Output 2 3 2 3 2" xfId="5129"/>
    <cellStyle name="Output 2 3 2 4" xfId="3237"/>
    <cellStyle name="Output 2 3 3" xfId="3238"/>
    <cellStyle name="Output 2 3 3 2" xfId="3239"/>
    <cellStyle name="Output 2 3 3 2 2" xfId="5130"/>
    <cellStyle name="Output 2 3 3 3" xfId="3240"/>
    <cellStyle name="Output 2 3 4" xfId="3241"/>
    <cellStyle name="Output 2 3 4 2" xfId="3242"/>
    <cellStyle name="Output 2 3 4 2 2" xfId="5131"/>
    <cellStyle name="Output 2 3 4 3" xfId="3243"/>
    <cellStyle name="Output 2 3 5" xfId="3244"/>
    <cellStyle name="Output 2 3 5 2" xfId="5132"/>
    <cellStyle name="Output 2 3 6" xfId="3245"/>
    <cellStyle name="Output 2 4" xfId="3246"/>
    <cellStyle name="Output 2 4 2" xfId="3247"/>
    <cellStyle name="Output 2 4 2 2" xfId="3248"/>
    <cellStyle name="Output 2 4 2 2 2" xfId="3249"/>
    <cellStyle name="Output 2 4 2 2 2 2" xfId="5133"/>
    <cellStyle name="Output 2 4 2 2 3" xfId="3250"/>
    <cellStyle name="Output 2 4 2 3" xfId="3251"/>
    <cellStyle name="Output 2 4 2 3 2" xfId="5134"/>
    <cellStyle name="Output 2 4 2 4" xfId="3252"/>
    <cellStyle name="Output 2 4 3" xfId="3253"/>
    <cellStyle name="Output 2 4 3 2" xfId="3254"/>
    <cellStyle name="Output 2 4 3 2 2" xfId="5135"/>
    <cellStyle name="Output 2 4 3 3" xfId="3255"/>
    <cellStyle name="Output 2 4 4" xfId="3256"/>
    <cellStyle name="Output 2 4 4 2" xfId="3257"/>
    <cellStyle name="Output 2 4 4 2 2" xfId="5136"/>
    <cellStyle name="Output 2 4 4 3" xfId="3258"/>
    <cellStyle name="Output 2 4 5" xfId="3259"/>
    <cellStyle name="Output 2 4 5 2" xfId="5137"/>
    <cellStyle name="Output 2 4 6" xfId="3260"/>
    <cellStyle name="Output 2 5" xfId="3261"/>
    <cellStyle name="Output 2 5 2" xfId="3262"/>
    <cellStyle name="Output 2 5 2 2" xfId="3263"/>
    <cellStyle name="Output 2 5 2 2 2" xfId="5138"/>
    <cellStyle name="Output 2 5 2 3" xfId="3264"/>
    <cellStyle name="Output 2 5 3" xfId="3265"/>
    <cellStyle name="Output 2 5 3 2" xfId="5139"/>
    <cellStyle name="Output 2 5 4" xfId="3266"/>
    <cellStyle name="Output 2 6" xfId="3267"/>
    <cellStyle name="Output 2 6 2" xfId="3268"/>
    <cellStyle name="Output 2 6 3" xfId="3269"/>
    <cellStyle name="Output 2 7" xfId="3270"/>
    <cellStyle name="Output 2 7 2" xfId="5140"/>
    <cellStyle name="Output 2 7 2 2" xfId="5141"/>
    <cellStyle name="Output 2 7 3" xfId="5142"/>
    <cellStyle name="Output 2 7 4" xfId="5143"/>
    <cellStyle name="Output 2 7 5" xfId="5144"/>
    <cellStyle name="Output 2 8" xfId="3271"/>
    <cellStyle name="Output 3" xfId="3272"/>
    <cellStyle name="Output 3 2" xfId="3273"/>
    <cellStyle name="Output 3 2 2" xfId="5145"/>
    <cellStyle name="Output 3 2 3" xfId="5146"/>
    <cellStyle name="Output 3 2 4" xfId="5147"/>
    <cellStyle name="Output 3 3" xfId="3274"/>
    <cellStyle name="Output 4" xfId="3275"/>
    <cellStyle name="Output 4 2" xfId="3276"/>
    <cellStyle name="Output 4 2 2" xfId="3277"/>
    <cellStyle name="Output 4 2 2 2" xfId="3278"/>
    <cellStyle name="Output 4 2 2 2 2" xfId="5148"/>
    <cellStyle name="Output 4 2 2 3" xfId="3279"/>
    <cellStyle name="Output 4 2 3" xfId="3280"/>
    <cellStyle name="Output 4 2 3 2" xfId="5149"/>
    <cellStyle name="Output 4 2 4" xfId="3281"/>
    <cellStyle name="Output 4 3" xfId="3282"/>
    <cellStyle name="Output 4 3 2" xfId="3283"/>
    <cellStyle name="Output 4 3 2 2" xfId="5150"/>
    <cellStyle name="Output 4 3 3" xfId="3284"/>
    <cellStyle name="Output 4 4" xfId="3285"/>
    <cellStyle name="Output 4 4 2" xfId="3286"/>
    <cellStyle name="Output 4 4 2 2" xfId="5151"/>
    <cellStyle name="Output 4 4 3" xfId="3287"/>
    <cellStyle name="Output 4 5" xfId="3288"/>
    <cellStyle name="Output 4 5 2" xfId="5152"/>
    <cellStyle name="Output 4 6" xfId="3289"/>
    <cellStyle name="Output 5" xfId="3290"/>
    <cellStyle name="Output 6" xfId="3291"/>
    <cellStyle name="Page Number" xfId="3292"/>
    <cellStyle name="Page Number 2" xfId="3293"/>
    <cellStyle name="Page Number 2 2" xfId="3294"/>
    <cellStyle name="Page Number 2 2 2" xfId="5153"/>
    <cellStyle name="Page Number 2 2 2 2" xfId="5154"/>
    <cellStyle name="Page Number 2 2 3" xfId="5155"/>
    <cellStyle name="Page Number 2 2 3 2" xfId="5156"/>
    <cellStyle name="Page Number 2 2 4" xfId="5157"/>
    <cellStyle name="Page Number 2 2 5" xfId="5158"/>
    <cellStyle name="Page Number 2 3" xfId="3295"/>
    <cellStyle name="Page Number 2 3 2" xfId="5159"/>
    <cellStyle name="Page Number 2 3 2 2" xfId="5160"/>
    <cellStyle name="Page Number 2 3 2 2 2" xfId="5161"/>
    <cellStyle name="Page Number 2 3 2 3" xfId="5162"/>
    <cellStyle name="Page Number 2 3 3" xfId="5163"/>
    <cellStyle name="Page Number 2 3 3 2" xfId="5164"/>
    <cellStyle name="Page Number 2 3 4" xfId="5165"/>
    <cellStyle name="Page Number 2 3 4 2" xfId="5166"/>
    <cellStyle name="Page Number 2 3 5" xfId="5167"/>
    <cellStyle name="Page Number 2 3 6" xfId="5168"/>
    <cellStyle name="Page Number 2 4" xfId="5169"/>
    <cellStyle name="Page Number 2 4 2" xfId="5170"/>
    <cellStyle name="Page Number 2 4 2 2" xfId="5171"/>
    <cellStyle name="Page Number 2 5" xfId="5172"/>
    <cellStyle name="Page Number 2 5 2" xfId="5173"/>
    <cellStyle name="Page Number 2 5 2 2" xfId="5174"/>
    <cellStyle name="Page Number 2 5 3" xfId="5175"/>
    <cellStyle name="Page Number 2 6" xfId="5176"/>
    <cellStyle name="Page Number 2 6 2" xfId="5177"/>
    <cellStyle name="Page Number 2 7" xfId="5178"/>
    <cellStyle name="Page Number 3" xfId="3296"/>
    <cellStyle name="Percent" xfId="10" builtinId="5"/>
    <cellStyle name="Percent [0]" xfId="3297"/>
    <cellStyle name="Percent [1]" xfId="3298"/>
    <cellStyle name="Percent [2]" xfId="3299"/>
    <cellStyle name="Percent 10" xfId="3300"/>
    <cellStyle name="Percent 100" xfId="3301"/>
    <cellStyle name="Percent 101" xfId="3302"/>
    <cellStyle name="Percent 102" xfId="3303"/>
    <cellStyle name="Percent 103" xfId="3304"/>
    <cellStyle name="Percent 104" xfId="3305"/>
    <cellStyle name="Percent 105" xfId="3306"/>
    <cellStyle name="Percent 106" xfId="3307"/>
    <cellStyle name="Percent 107" xfId="3308"/>
    <cellStyle name="Percent 108" xfId="3309"/>
    <cellStyle name="Percent 109" xfId="3310"/>
    <cellStyle name="Percent 11" xfId="3311"/>
    <cellStyle name="Percent 110" xfId="3312"/>
    <cellStyle name="Percent 111" xfId="3313"/>
    <cellStyle name="Percent 112" xfId="3314"/>
    <cellStyle name="Percent 113" xfId="3315"/>
    <cellStyle name="Percent 114" xfId="3316"/>
    <cellStyle name="Percent 115" xfId="3317"/>
    <cellStyle name="Percent 116" xfId="3318"/>
    <cellStyle name="Percent 117" xfId="3319"/>
    <cellStyle name="Percent 118" xfId="3320"/>
    <cellStyle name="Percent 119" xfId="3321"/>
    <cellStyle name="Percent 12" xfId="3322"/>
    <cellStyle name="Percent 120" xfId="3323"/>
    <cellStyle name="Percent 121" xfId="3324"/>
    <cellStyle name="Percent 122" xfId="3325"/>
    <cellStyle name="Percent 123" xfId="3326"/>
    <cellStyle name="Percent 124" xfId="3327"/>
    <cellStyle name="Percent 125" xfId="3328"/>
    <cellStyle name="Percent 126" xfId="3329"/>
    <cellStyle name="Percent 127" xfId="3330"/>
    <cellStyle name="Percent 128" xfId="3331"/>
    <cellStyle name="Percent 129" xfId="3332"/>
    <cellStyle name="Percent 13" xfId="3333"/>
    <cellStyle name="Percent 130" xfId="3334"/>
    <cellStyle name="Percent 131" xfId="3335"/>
    <cellStyle name="Percent 132" xfId="3336"/>
    <cellStyle name="Percent 133" xfId="3337"/>
    <cellStyle name="Percent 134" xfId="3338"/>
    <cellStyle name="Percent 135" xfId="3339"/>
    <cellStyle name="Percent 136" xfId="3340"/>
    <cellStyle name="Percent 137" xfId="3341"/>
    <cellStyle name="Percent 138" xfId="3342"/>
    <cellStyle name="Percent 139" xfId="3343"/>
    <cellStyle name="Percent 14" xfId="3344"/>
    <cellStyle name="Percent 140" xfId="3345"/>
    <cellStyle name="Percent 141" xfId="3346"/>
    <cellStyle name="Percent 142" xfId="3347"/>
    <cellStyle name="Percent 143" xfId="3348"/>
    <cellStyle name="Percent 144" xfId="3349"/>
    <cellStyle name="Percent 145" xfId="3350"/>
    <cellStyle name="Percent 146" xfId="3351"/>
    <cellStyle name="Percent 147" xfId="3352"/>
    <cellStyle name="Percent 148" xfId="3353"/>
    <cellStyle name="Percent 148 2" xfId="3354"/>
    <cellStyle name="Percent 148 3" xfId="5179"/>
    <cellStyle name="Percent 148 4" xfId="5180"/>
    <cellStyle name="Percent 148 4 2" xfId="5181"/>
    <cellStyle name="Percent 149" xfId="3355"/>
    <cellStyle name="Percent 149 2" xfId="3356"/>
    <cellStyle name="Percent 149 3" xfId="5182"/>
    <cellStyle name="Percent 149 4" xfId="5183"/>
    <cellStyle name="Percent 149 4 2" xfId="5184"/>
    <cellStyle name="Percent 15" xfId="3357"/>
    <cellStyle name="Percent 150" xfId="3358"/>
    <cellStyle name="Percent 150 2" xfId="3359"/>
    <cellStyle name="Percent 150 3" xfId="5185"/>
    <cellStyle name="Percent 150 4" xfId="5186"/>
    <cellStyle name="Percent 150 4 2" xfId="5187"/>
    <cellStyle name="Percent 151" xfId="3360"/>
    <cellStyle name="Percent 152" xfId="3361"/>
    <cellStyle name="Percent 153" xfId="3362"/>
    <cellStyle name="Percent 154" xfId="3363"/>
    <cellStyle name="Percent 155" xfId="3364"/>
    <cellStyle name="Percent 156" xfId="3365"/>
    <cellStyle name="Percent 157" xfId="3366"/>
    <cellStyle name="Percent 158" xfId="3367"/>
    <cellStyle name="Percent 159" xfId="3368"/>
    <cellStyle name="Percent 16" xfId="3369"/>
    <cellStyle name="Percent 160" xfId="3370"/>
    <cellStyle name="Percent 161" xfId="3371"/>
    <cellStyle name="Percent 162" xfId="3372"/>
    <cellStyle name="Percent 163" xfId="3373"/>
    <cellStyle name="Percent 164" xfId="3374"/>
    <cellStyle name="Percent 164 2" xfId="5188"/>
    <cellStyle name="Percent 164 3" xfId="5189"/>
    <cellStyle name="Percent 164 4" xfId="5190"/>
    <cellStyle name="Percent 164 4 2" xfId="5191"/>
    <cellStyle name="Percent 165" xfId="5192"/>
    <cellStyle name="Percent 166" xfId="5193"/>
    <cellStyle name="Percent 167" xfId="5194"/>
    <cellStyle name="Percent 17" xfId="3375"/>
    <cellStyle name="Percent 18" xfId="3376"/>
    <cellStyle name="Percent 19" xfId="3377"/>
    <cellStyle name="Percent 2" xfId="321"/>
    <cellStyle name="Percent 2 2" xfId="322"/>
    <cellStyle name="Percent 2 2 2" xfId="323"/>
    <cellStyle name="Percent 2 2 2 2" xfId="324"/>
    <cellStyle name="Percent 2 2 3" xfId="325"/>
    <cellStyle name="Percent 2 2 3 2" xfId="3378"/>
    <cellStyle name="Percent 2 2 3 2 2" xfId="5195"/>
    <cellStyle name="Percent 2 2 3 2 3" xfId="5196"/>
    <cellStyle name="Percent 2 2 3 2 4" xfId="5197"/>
    <cellStyle name="Percent 2 2 3 2 5" xfId="5198"/>
    <cellStyle name="Percent 2 3" xfId="326"/>
    <cellStyle name="Percent 2 3 2" xfId="327"/>
    <cellStyle name="Percent 2 3 2 2" xfId="328"/>
    <cellStyle name="Percent 2 3 3" xfId="329"/>
    <cellStyle name="Percent 2 3 4" xfId="5199"/>
    <cellStyle name="Percent 2 4" xfId="330"/>
    <cellStyle name="Percent 2 4 2" xfId="3379"/>
    <cellStyle name="Percent 2 4 2 2" xfId="3380"/>
    <cellStyle name="Percent 2 4 2 3" xfId="3381"/>
    <cellStyle name="Percent 2 5" xfId="331"/>
    <cellStyle name="Percent 2 5 2" xfId="3382"/>
    <cellStyle name="Percent 2 5 3" xfId="3383"/>
    <cellStyle name="Percent 2 6" xfId="332"/>
    <cellStyle name="Percent 2 6 2" xfId="3384"/>
    <cellStyle name="Percent 2 6 3" xfId="3385"/>
    <cellStyle name="Percent 2 7" xfId="333"/>
    <cellStyle name="Percent 2 7 2" xfId="334"/>
    <cellStyle name="Percent 2 7 3" xfId="3386"/>
    <cellStyle name="Percent 2 7 3 2" xfId="5200"/>
    <cellStyle name="Percent 2 7 3 3" xfId="5201"/>
    <cellStyle name="Percent 2 7 3 4" xfId="5202"/>
    <cellStyle name="Percent 2 7 3 5" xfId="5203"/>
    <cellStyle name="Percent 2 8" xfId="335"/>
    <cellStyle name="Percent 2 8 2" xfId="336"/>
    <cellStyle name="Percent 20" xfId="3387"/>
    <cellStyle name="Percent 21" xfId="3388"/>
    <cellStyle name="Percent 22" xfId="3389"/>
    <cellStyle name="Percent 23" xfId="3390"/>
    <cellStyle name="Percent 24" xfId="3391"/>
    <cellStyle name="Percent 25" xfId="3392"/>
    <cellStyle name="Percent 26" xfId="3393"/>
    <cellStyle name="Percent 27" xfId="3394"/>
    <cellStyle name="Percent 28" xfId="3395"/>
    <cellStyle name="Percent 29" xfId="3396"/>
    <cellStyle name="Percent 3" xfId="337"/>
    <cellStyle name="Percent 3 2" xfId="3397"/>
    <cellStyle name="Percent 3 2 2" xfId="5204"/>
    <cellStyle name="Percent 3 3" xfId="3398"/>
    <cellStyle name="Percent 3 4" xfId="5205"/>
    <cellStyle name="Percent 30" xfId="3399"/>
    <cellStyle name="Percent 31" xfId="3400"/>
    <cellStyle name="Percent 32" xfId="3401"/>
    <cellStyle name="Percent 33" xfId="3402"/>
    <cellStyle name="Percent 33 2" xfId="3403"/>
    <cellStyle name="Percent 33 3" xfId="3404"/>
    <cellStyle name="Percent 33 4" xfId="5206"/>
    <cellStyle name="Percent 33 4 2" xfId="5207"/>
    <cellStyle name="Percent 34" xfId="3405"/>
    <cellStyle name="Percent 34 2" xfId="3406"/>
    <cellStyle name="Percent 34 3" xfId="5208"/>
    <cellStyle name="Percent 34 3 2" xfId="5209"/>
    <cellStyle name="Percent 35" xfId="3407"/>
    <cellStyle name="Percent 35 2" xfId="3408"/>
    <cellStyle name="Percent 35 3" xfId="5210"/>
    <cellStyle name="Percent 35 3 2" xfId="5211"/>
    <cellStyle name="Percent 36" xfId="3409"/>
    <cellStyle name="Percent 37" xfId="3410"/>
    <cellStyle name="Percent 38" xfId="3411"/>
    <cellStyle name="Percent 38 2" xfId="3412"/>
    <cellStyle name="Percent 39" xfId="3413"/>
    <cellStyle name="Percent 39 2" xfId="3414"/>
    <cellStyle name="Percent 4" xfId="338"/>
    <cellStyle name="Percent 4 2" xfId="339"/>
    <cellStyle name="Percent 4 2 2" xfId="340"/>
    <cellStyle name="Percent 4 3" xfId="3415"/>
    <cellStyle name="Percent 4 3 2" xfId="3416"/>
    <cellStyle name="Percent 4 3 3" xfId="3417"/>
    <cellStyle name="Percent 4 3 3 2" xfId="5212"/>
    <cellStyle name="Percent 4 3 3 3" xfId="5213"/>
    <cellStyle name="Percent 4 3 3 4" xfId="5214"/>
    <cellStyle name="Percent 4 3 3 5" xfId="5215"/>
    <cellStyle name="Percent 4 4" xfId="3418"/>
    <cellStyle name="Percent 4 4 2" xfId="3419"/>
    <cellStyle name="Percent 4 4 3" xfId="3420"/>
    <cellStyle name="Percent 4 4 4" xfId="3421"/>
    <cellStyle name="Percent 4 4 4 2" xfId="5216"/>
    <cellStyle name="Percent 4 4 5" xfId="5217"/>
    <cellStyle name="Percent 4 4 5 2" xfId="5218"/>
    <cellStyle name="Percent 4 5" xfId="3422"/>
    <cellStyle name="Percent 4 6" xfId="3423"/>
    <cellStyle name="Percent 4 6 2" xfId="5219"/>
    <cellStyle name="Percent 4 6 3" xfId="5220"/>
    <cellStyle name="Percent 4 6 4" xfId="5221"/>
    <cellStyle name="Percent 40" xfId="3424"/>
    <cellStyle name="Percent 41" xfId="3425"/>
    <cellStyle name="Percent 42" xfId="3426"/>
    <cellStyle name="Percent 43" xfId="3427"/>
    <cellStyle name="Percent 44" xfId="3428"/>
    <cellStyle name="Percent 45" xfId="3429"/>
    <cellStyle name="Percent 46" xfId="3430"/>
    <cellStyle name="Percent 47" xfId="3431"/>
    <cellStyle name="Percent 48" xfId="3432"/>
    <cellStyle name="Percent 49" xfId="3433"/>
    <cellStyle name="Percent 5" xfId="341"/>
    <cellStyle name="Percent 5 2" xfId="342"/>
    <cellStyle name="Percent 5 2 2" xfId="3434"/>
    <cellStyle name="Percent 5 2 3" xfId="3435"/>
    <cellStyle name="Percent 5 2 3 2" xfId="5222"/>
    <cellStyle name="Percent 5 2 3 3" xfId="5223"/>
    <cellStyle name="Percent 5 2 3 4" xfId="5224"/>
    <cellStyle name="Percent 5 2 3 5" xfId="5225"/>
    <cellStyle name="Percent 5 3" xfId="3436"/>
    <cellStyle name="Percent 5 4" xfId="3437"/>
    <cellStyle name="Percent 5 4 2" xfId="5226"/>
    <cellStyle name="Percent 5 4 3" xfId="5227"/>
    <cellStyle name="Percent 5 4 4" xfId="5228"/>
    <cellStyle name="Percent 5 4 5" xfId="5229"/>
    <cellStyle name="Percent 5 5" xfId="5230"/>
    <cellStyle name="Percent 50" xfId="3438"/>
    <cellStyle name="Percent 51" xfId="3439"/>
    <cellStyle name="Percent 51 2" xfId="3440"/>
    <cellStyle name="Percent 52" xfId="3441"/>
    <cellStyle name="Percent 52 2" xfId="3442"/>
    <cellStyle name="Percent 53" xfId="3443"/>
    <cellStyle name="Percent 53 2" xfId="3444"/>
    <cellStyle name="Percent 54" xfId="3445"/>
    <cellStyle name="Percent 54 2" xfId="3446"/>
    <cellStyle name="Percent 55" xfId="3447"/>
    <cellStyle name="Percent 55 2" xfId="3448"/>
    <cellStyle name="Percent 56" xfId="3449"/>
    <cellStyle name="Percent 57" xfId="3450"/>
    <cellStyle name="Percent 58" xfId="3451"/>
    <cellStyle name="Percent 59" xfId="3452"/>
    <cellStyle name="Percent 6" xfId="3453"/>
    <cellStyle name="Percent 6 2" xfId="3454"/>
    <cellStyle name="Percent 60" xfId="3455"/>
    <cellStyle name="Percent 61" xfId="3456"/>
    <cellStyle name="Percent 62" xfId="3457"/>
    <cellStyle name="Percent 63" xfId="3458"/>
    <cellStyle name="Percent 64" xfId="3459"/>
    <cellStyle name="Percent 65" xfId="3460"/>
    <cellStyle name="Percent 66" xfId="3461"/>
    <cellStyle name="Percent 67" xfId="3462"/>
    <cellStyle name="Percent 68" xfId="3463"/>
    <cellStyle name="Percent 69" xfId="3464"/>
    <cellStyle name="Percent 7" xfId="3465"/>
    <cellStyle name="Percent 7 2" xfId="3466"/>
    <cellStyle name="Percent 7 3" xfId="3467"/>
    <cellStyle name="Percent 7 4" xfId="5231"/>
    <cellStyle name="Percent 7 5" xfId="5232"/>
    <cellStyle name="Percent 7 5 2" xfId="5233"/>
    <cellStyle name="Percent 70" xfId="3468"/>
    <cellStyle name="Percent 71" xfId="3469"/>
    <cellStyle name="Percent 72" xfId="3470"/>
    <cellStyle name="Percent 73" xfId="3471"/>
    <cellStyle name="Percent 74" xfId="3472"/>
    <cellStyle name="Percent 75" xfId="3473"/>
    <cellStyle name="Percent 76" xfId="3474"/>
    <cellStyle name="Percent 77" xfId="3475"/>
    <cellStyle name="Percent 78" xfId="3476"/>
    <cellStyle name="Percent 79" xfId="3477"/>
    <cellStyle name="Percent 8" xfId="3478"/>
    <cellStyle name="Percent 80" xfId="3479"/>
    <cellStyle name="Percent 81" xfId="3480"/>
    <cellStyle name="Percent 82" xfId="3481"/>
    <cellStyle name="Percent 83" xfId="3482"/>
    <cellStyle name="Percent 84" xfId="3483"/>
    <cellStyle name="Percent 85" xfId="3484"/>
    <cellStyle name="Percent 86" xfId="3485"/>
    <cellStyle name="Percent 87" xfId="3486"/>
    <cellStyle name="Percent 88" xfId="3487"/>
    <cellStyle name="Percent 89" xfId="3488"/>
    <cellStyle name="Percent 9" xfId="3489"/>
    <cellStyle name="Percent 90" xfId="3490"/>
    <cellStyle name="Percent 91" xfId="3491"/>
    <cellStyle name="Percent 92" xfId="3492"/>
    <cellStyle name="Percent 93" xfId="3493"/>
    <cellStyle name="Percent 94" xfId="3494"/>
    <cellStyle name="Percent 95" xfId="3495"/>
    <cellStyle name="Percent 96" xfId="3496"/>
    <cellStyle name="Percent 97" xfId="3497"/>
    <cellStyle name="Percent 98" xfId="3498"/>
    <cellStyle name="Percent 99" xfId="3499"/>
    <cellStyle name="PercentBrda" xfId="8"/>
    <cellStyle name="PercntNoBrda" xfId="9"/>
    <cellStyle name="PSChar" xfId="5234"/>
    <cellStyle name="PSChar 10" xfId="5235"/>
    <cellStyle name="PSChar 10 2" xfId="5236"/>
    <cellStyle name="PSChar 11" xfId="5237"/>
    <cellStyle name="PSChar 12" xfId="5238"/>
    <cellStyle name="PSChar 2" xfId="5239"/>
    <cellStyle name="PSChar 2 2" xfId="5240"/>
    <cellStyle name="PSChar 3" xfId="5241"/>
    <cellStyle name="PSChar 3 2" xfId="5242"/>
    <cellStyle name="PSChar 4" xfId="5243"/>
    <cellStyle name="PSChar 4 2" xfId="5244"/>
    <cellStyle name="PSChar 5" xfId="5245"/>
    <cellStyle name="PSChar 5 2" xfId="5246"/>
    <cellStyle name="PSChar 6" xfId="5247"/>
    <cellStyle name="PSChar 6 2" xfId="5248"/>
    <cellStyle name="PSChar 7" xfId="5249"/>
    <cellStyle name="PSChar 7 2" xfId="5250"/>
    <cellStyle name="PSChar 8" xfId="5251"/>
    <cellStyle name="PSChar 8 2" xfId="5252"/>
    <cellStyle name="PSChar 9" xfId="5253"/>
    <cellStyle name="PSChar 9 2" xfId="5254"/>
    <cellStyle name="PSDate" xfId="5255"/>
    <cellStyle name="PSDate 10" xfId="5256"/>
    <cellStyle name="PSDate 10 2" xfId="5257"/>
    <cellStyle name="PSDate 11" xfId="5258"/>
    <cellStyle name="PSDate 12" xfId="5259"/>
    <cellStyle name="PSDate 2" xfId="5260"/>
    <cellStyle name="PSDate 2 2" xfId="5261"/>
    <cellStyle name="PSDate 3" xfId="5262"/>
    <cellStyle name="PSDate 3 2" xfId="5263"/>
    <cellStyle name="PSDate 4" xfId="5264"/>
    <cellStyle name="PSDate 4 2" xfId="5265"/>
    <cellStyle name="PSDate 5" xfId="5266"/>
    <cellStyle name="PSDate 5 2" xfId="5267"/>
    <cellStyle name="PSDate 6" xfId="5268"/>
    <cellStyle name="PSDate 6 2" xfId="5269"/>
    <cellStyle name="PSDate 7" xfId="5270"/>
    <cellStyle name="PSDate 7 2" xfId="5271"/>
    <cellStyle name="PSDate 8" xfId="5272"/>
    <cellStyle name="PSDate 8 2" xfId="5273"/>
    <cellStyle name="PSDate 9" xfId="5274"/>
    <cellStyle name="PSDate 9 2" xfId="5275"/>
    <cellStyle name="PSDec" xfId="5276"/>
    <cellStyle name="PSDec 10" xfId="5277"/>
    <cellStyle name="PSDec 10 2" xfId="5278"/>
    <cellStyle name="PSDec 11" xfId="5279"/>
    <cellStyle name="PSDec 12" xfId="5280"/>
    <cellStyle name="PSDec 2" xfId="5281"/>
    <cellStyle name="PSDec 2 2" xfId="5282"/>
    <cellStyle name="PSDec 3" xfId="5283"/>
    <cellStyle name="PSDec 3 2" xfId="5284"/>
    <cellStyle name="PSDec 4" xfId="5285"/>
    <cellStyle name="PSDec 4 2" xfId="5286"/>
    <cellStyle name="PSDec 5" xfId="5287"/>
    <cellStyle name="PSDec 5 2" xfId="5288"/>
    <cellStyle name="PSDec 6" xfId="5289"/>
    <cellStyle name="PSDec 6 2" xfId="5290"/>
    <cellStyle name="PSDec 7" xfId="5291"/>
    <cellStyle name="PSDec 7 2" xfId="5292"/>
    <cellStyle name="PSDec 8" xfId="5293"/>
    <cellStyle name="PSDec 8 2" xfId="5294"/>
    <cellStyle name="PSDec 9" xfId="5295"/>
    <cellStyle name="PSDec 9 2" xfId="5296"/>
    <cellStyle name="PSHeading" xfId="5297"/>
    <cellStyle name="PSHeading 10" xfId="5298"/>
    <cellStyle name="PSHeading 10 2" xfId="5299"/>
    <cellStyle name="PSHeading 10 2 2" xfId="5300"/>
    <cellStyle name="PSHeading 10 3" xfId="5301"/>
    <cellStyle name="PSHeading 11" xfId="5302"/>
    <cellStyle name="PSHeading 11 2" xfId="5303"/>
    <cellStyle name="PSHeading 12" xfId="5304"/>
    <cellStyle name="PSHeading 12 2" xfId="5305"/>
    <cellStyle name="PSHeading 13" xfId="5306"/>
    <cellStyle name="PSHeading 2" xfId="5307"/>
    <cellStyle name="PSHeading 2 2" xfId="5308"/>
    <cellStyle name="PSHeading 2 2 2" xfId="5309"/>
    <cellStyle name="PSHeading 2 3" xfId="5310"/>
    <cellStyle name="PSHeading 3" xfId="5311"/>
    <cellStyle name="PSHeading 3 2" xfId="5312"/>
    <cellStyle name="PSHeading 3 2 2" xfId="5313"/>
    <cellStyle name="PSHeading 3 3" xfId="5314"/>
    <cellStyle name="PSHeading 4" xfId="5315"/>
    <cellStyle name="PSHeading 4 2" xfId="5316"/>
    <cellStyle name="PSHeading 4 2 2" xfId="5317"/>
    <cellStyle name="PSHeading 4 3" xfId="5318"/>
    <cellStyle name="PSHeading 5" xfId="5319"/>
    <cellStyle name="PSHeading 5 2" xfId="5320"/>
    <cellStyle name="PSHeading 5 2 2" xfId="5321"/>
    <cellStyle name="PSHeading 5 3" xfId="5322"/>
    <cellStyle name="PSHeading 6" xfId="5323"/>
    <cellStyle name="PSHeading 6 2" xfId="5324"/>
    <cellStyle name="PSHeading 6 2 2" xfId="5325"/>
    <cellStyle name="PSHeading 6 3" xfId="5326"/>
    <cellStyle name="PSHeading 7" xfId="5327"/>
    <cellStyle name="PSHeading 7 2" xfId="5328"/>
    <cellStyle name="PSHeading 7 2 2" xfId="5329"/>
    <cellStyle name="PSHeading 7 3" xfId="5330"/>
    <cellStyle name="PSHeading 8" xfId="5331"/>
    <cellStyle name="PSHeading 8 2" xfId="5332"/>
    <cellStyle name="PSHeading 8 2 2" xfId="5333"/>
    <cellStyle name="PSHeading 8 3" xfId="5334"/>
    <cellStyle name="PSHeading 9" xfId="5335"/>
    <cellStyle name="PSHeading 9 2" xfId="5336"/>
    <cellStyle name="PSHeading 9 2 2" xfId="5337"/>
    <cellStyle name="PSHeading 9 3" xfId="5338"/>
    <cellStyle name="PSInt" xfId="5339"/>
    <cellStyle name="PSInt 10" xfId="5340"/>
    <cellStyle name="PSInt 10 2" xfId="5341"/>
    <cellStyle name="PSInt 11" xfId="5342"/>
    <cellStyle name="PSInt 12" xfId="5343"/>
    <cellStyle name="PSInt 2" xfId="5344"/>
    <cellStyle name="PSInt 2 2" xfId="5345"/>
    <cellStyle name="PSInt 3" xfId="5346"/>
    <cellStyle name="PSInt 3 2" xfId="5347"/>
    <cellStyle name="PSInt 4" xfId="5348"/>
    <cellStyle name="PSInt 4 2" xfId="5349"/>
    <cellStyle name="PSInt 5" xfId="5350"/>
    <cellStyle name="PSInt 5 2" xfId="5351"/>
    <cellStyle name="PSInt 6" xfId="5352"/>
    <cellStyle name="PSInt 6 2" xfId="5353"/>
    <cellStyle name="PSInt 7" xfId="5354"/>
    <cellStyle name="PSInt 7 2" xfId="5355"/>
    <cellStyle name="PSInt 8" xfId="5356"/>
    <cellStyle name="PSInt 8 2" xfId="5357"/>
    <cellStyle name="PSInt 9" xfId="5358"/>
    <cellStyle name="PSInt 9 2" xfId="5359"/>
    <cellStyle name="PSSpacer" xfId="5360"/>
    <cellStyle name="PSSpacer 10" xfId="5361"/>
    <cellStyle name="PSSpacer 10 2" xfId="5362"/>
    <cellStyle name="PSSpacer 11" xfId="5363"/>
    <cellStyle name="PSSpacer 12" xfId="5364"/>
    <cellStyle name="PSSpacer 2" xfId="5365"/>
    <cellStyle name="PSSpacer 2 2" xfId="5366"/>
    <cellStyle name="PSSpacer 3" xfId="5367"/>
    <cellStyle name="PSSpacer 3 2" xfId="5368"/>
    <cellStyle name="PSSpacer 4" xfId="5369"/>
    <cellStyle name="PSSpacer 4 2" xfId="5370"/>
    <cellStyle name="PSSpacer 5" xfId="5371"/>
    <cellStyle name="PSSpacer 5 2" xfId="5372"/>
    <cellStyle name="PSSpacer 6" xfId="5373"/>
    <cellStyle name="PSSpacer 6 2" xfId="5374"/>
    <cellStyle name="PSSpacer 7" xfId="5375"/>
    <cellStyle name="PSSpacer 7 2" xfId="5376"/>
    <cellStyle name="PSSpacer 8" xfId="5377"/>
    <cellStyle name="PSSpacer 8 2" xfId="5378"/>
    <cellStyle name="PSSpacer 9" xfId="5379"/>
    <cellStyle name="PSSpacer 9 2" xfId="5380"/>
    <cellStyle name="semestre" xfId="343"/>
    <cellStyle name="semestre 2" xfId="3500"/>
    <cellStyle name="semestre 2 2" xfId="3501"/>
    <cellStyle name="semestre 2 2 2" xfId="5381"/>
    <cellStyle name="semestre 2 2 2 2" xfId="5382"/>
    <cellStyle name="semestre 2 2 3" xfId="5383"/>
    <cellStyle name="semestre 2 2 4" xfId="5384"/>
    <cellStyle name="semestre 2 3" xfId="3502"/>
    <cellStyle name="semestre 2 3 2" xfId="5385"/>
    <cellStyle name="semestre 2 3 3" xfId="5386"/>
    <cellStyle name="semestre 2 3 4" xfId="5387"/>
    <cellStyle name="semestre 2 3 5" xfId="5388"/>
    <cellStyle name="semestre 2 4" xfId="5389"/>
    <cellStyle name="semestre 2 4 2" xfId="5390"/>
    <cellStyle name="semestre 2 5" xfId="5391"/>
    <cellStyle name="semestre 2 6" xfId="5392"/>
    <cellStyle name="semestre 3" xfId="3503"/>
    <cellStyle name="semestre 3 2" xfId="3504"/>
    <cellStyle name="semestre 3 2 2" xfId="5393"/>
    <cellStyle name="semestre 3 2 2 2" xfId="5394"/>
    <cellStyle name="semestre 3 2 3" xfId="5395"/>
    <cellStyle name="semestre 3 2 4" xfId="5396"/>
    <cellStyle name="semestre 3 3" xfId="3505"/>
    <cellStyle name="semestre 3 3 2" xfId="5397"/>
    <cellStyle name="semestre 3 3 3" xfId="5398"/>
    <cellStyle name="semestre 3 3 4" xfId="5399"/>
    <cellStyle name="semestre 3 3 5" xfId="5400"/>
    <cellStyle name="semestre 3 4" xfId="5401"/>
    <cellStyle name="semestre 3 4 2" xfId="5402"/>
    <cellStyle name="semestre 3 5" xfId="5403"/>
    <cellStyle name="semestre 3 5 2" xfId="5404"/>
    <cellStyle name="semestre 3 6" xfId="5405"/>
    <cellStyle name="semestre 3 7" xfId="5406"/>
    <cellStyle name="semestre 4" xfId="3506"/>
    <cellStyle name="semestre 4 2" xfId="5407"/>
    <cellStyle name="semestre 4 2 2" xfId="5408"/>
    <cellStyle name="semestre 4 3" xfId="5409"/>
    <cellStyle name="semestre 5" xfId="3507"/>
    <cellStyle name="semestre 5 2" xfId="5410"/>
    <cellStyle name="semestre 5 2 2" xfId="5411"/>
    <cellStyle name="semestre 5 3" xfId="5412"/>
    <cellStyle name="semestre 5 4" xfId="5413"/>
    <cellStyle name="semestre 5 5" xfId="5414"/>
    <cellStyle name="semestre 5 6" xfId="5415"/>
    <cellStyle name="semestre 6" xfId="5416"/>
    <cellStyle name="semestre 6 2" xfId="5417"/>
    <cellStyle name="semestre 7" xfId="5418"/>
    <cellStyle name="semestre 7 2" xfId="5419"/>
    <cellStyle name="semestre 8" xfId="5420"/>
    <cellStyle name="semestre 9" xfId="5421"/>
    <cellStyle name="sh0 -SideHeading" xfId="3508"/>
    <cellStyle name="sh0 -SideHeading 2" xfId="3509"/>
    <cellStyle name="sh0 -SideHeading 2 2" xfId="3510"/>
    <cellStyle name="sh0 -SideHeading 2 3" xfId="3511"/>
    <cellStyle name="sh0 -SideHeading 3" xfId="3512"/>
    <cellStyle name="sh0 -SideHeading 4" xfId="3513"/>
    <cellStyle name="sh1 -SideHeading" xfId="3514"/>
    <cellStyle name="sh1 -SideHeading 2" xfId="3515"/>
    <cellStyle name="sh1 -SideHeading 2 2" xfId="3516"/>
    <cellStyle name="sh1 -SideHeading 2 3" xfId="3517"/>
    <cellStyle name="sh1 -SideHeading 3" xfId="3518"/>
    <cellStyle name="sh1 -SideHeading 4" xfId="3519"/>
    <cellStyle name="sh2 -SideHeading" xfId="3520"/>
    <cellStyle name="sh2 -SideHeading 2" xfId="3521"/>
    <cellStyle name="sh2 -SideHeading 2 2" xfId="3522"/>
    <cellStyle name="sh2 -SideHeading 2 3" xfId="3523"/>
    <cellStyle name="sh2 -SideHeading 3" xfId="3524"/>
    <cellStyle name="sh2 -SideHeading 4" xfId="3525"/>
    <cellStyle name="sh3 -SideHeading" xfId="3526"/>
    <cellStyle name="sh3 -SideHeading 2" xfId="3527"/>
    <cellStyle name="sh3 -SideHeading 2 2" xfId="3528"/>
    <cellStyle name="sh3 -SideHeading 2 3" xfId="3529"/>
    <cellStyle name="sh3 -SideHeading 3" xfId="3530"/>
    <cellStyle name="sh3 -SideHeading 4" xfId="3531"/>
    <cellStyle name="st0 -SideText" xfId="3532"/>
    <cellStyle name="st0 -SideText 2" xfId="3533"/>
    <cellStyle name="st0 -SideText 2 2" xfId="3534"/>
    <cellStyle name="st0 -SideText 2 3" xfId="3535"/>
    <cellStyle name="st0 -SideText 3" xfId="3536"/>
    <cellStyle name="st0 -SideText 4" xfId="3537"/>
    <cellStyle name="st1 -SideText" xfId="3538"/>
    <cellStyle name="st1 -SideText 2" xfId="3539"/>
    <cellStyle name="st1 -SideText 2 2" xfId="3540"/>
    <cellStyle name="st1 -SideText 2 3" xfId="3541"/>
    <cellStyle name="st1 -SideText 3" xfId="3542"/>
    <cellStyle name="st1 -SideText 4" xfId="3543"/>
    <cellStyle name="st2 -SideText" xfId="3544"/>
    <cellStyle name="st2 -SideText 2" xfId="3545"/>
    <cellStyle name="st2 -SideText 2 2" xfId="3546"/>
    <cellStyle name="st2 -SideText 2 3" xfId="3547"/>
    <cellStyle name="st2 -SideText 3" xfId="3548"/>
    <cellStyle name="st2 -SideText 4" xfId="3549"/>
    <cellStyle name="st3 -SideText" xfId="3550"/>
    <cellStyle name="st3 -SideText 2" xfId="3551"/>
    <cellStyle name="st3 -SideText 2 2" xfId="3552"/>
    <cellStyle name="st3 -SideText 2 3" xfId="3553"/>
    <cellStyle name="st3 -SideText 3" xfId="3554"/>
    <cellStyle name="st3 -SideText 4" xfId="3555"/>
    <cellStyle name="st4 -SideText" xfId="3556"/>
    <cellStyle name="st4 -SideText 2" xfId="3557"/>
    <cellStyle name="st4 -SideText 2 2" xfId="3558"/>
    <cellStyle name="st4 -SideText 2 3" xfId="3559"/>
    <cellStyle name="st4 -SideText 3" xfId="3560"/>
    <cellStyle name="st4 -SideText 4" xfId="3561"/>
    <cellStyle name="Style 1" xfId="344"/>
    <cellStyle name="Style 1 10" xfId="3562"/>
    <cellStyle name="Style 1 11" xfId="3563"/>
    <cellStyle name="Style 1 12" xfId="3564"/>
    <cellStyle name="Style 1 13" xfId="3565"/>
    <cellStyle name="Style 1 2" xfId="345"/>
    <cellStyle name="Style 1 3" xfId="3566"/>
    <cellStyle name="Style 1 3 2" xfId="3567"/>
    <cellStyle name="Style 1 3 3" xfId="3568"/>
    <cellStyle name="Style 1 3 3 2" xfId="3569"/>
    <cellStyle name="Style 1 3 3 3" xfId="3570"/>
    <cellStyle name="Style 1 3 4" xfId="3571"/>
    <cellStyle name="Style 1 3 4 2" xfId="3572"/>
    <cellStyle name="Style 1 3 4 3" xfId="3573"/>
    <cellStyle name="Style 1 3 5" xfId="3574"/>
    <cellStyle name="Style 1 3 6" xfId="3575"/>
    <cellStyle name="Style 1 4" xfId="3576"/>
    <cellStyle name="Style 1 5" xfId="3577"/>
    <cellStyle name="Style 1 5 2" xfId="3578"/>
    <cellStyle name="Style 1 5 3" xfId="3579"/>
    <cellStyle name="Style 1 5 4" xfId="3580"/>
    <cellStyle name="Style 1 6" xfId="3581"/>
    <cellStyle name="Style 1 7" xfId="3582"/>
    <cellStyle name="Style 1 8" xfId="3583"/>
    <cellStyle name="Style 1 9" xfId="3584"/>
    <cellStyle name="Sum" xfId="3585"/>
    <cellStyle name="Sum 2" xfId="3586"/>
    <cellStyle name="Sum 2 2" xfId="3587"/>
    <cellStyle name="Sum 2 3" xfId="3588"/>
    <cellStyle name="Sum 3" xfId="3589"/>
    <cellStyle name="Sum 4" xfId="3590"/>
    <cellStyle name="tête chapitre" xfId="346"/>
    <cellStyle name="tête chapitre 2" xfId="3591"/>
    <cellStyle name="tête chapitre 3" xfId="3592"/>
    <cellStyle name="Text" xfId="3593"/>
    <cellStyle name="Text 2" xfId="3594"/>
    <cellStyle name="Text 2 2" xfId="3595"/>
    <cellStyle name="Text 2 2 2" xfId="3596"/>
    <cellStyle name="Text 2 3" xfId="3597"/>
    <cellStyle name="Text rjustify" xfId="3598"/>
    <cellStyle name="Text rjustify 2" xfId="3599"/>
    <cellStyle name="Text rjustify 2 2" xfId="3600"/>
    <cellStyle name="Text rjustify 2 2 2" xfId="3601"/>
    <cellStyle name="Text rjustify 2 3" xfId="3602"/>
    <cellStyle name="Text Wrap" xfId="3603"/>
    <cellStyle name="Time" xfId="3604"/>
    <cellStyle name="Time 2" xfId="3605"/>
    <cellStyle name="Time 2 2" xfId="3606"/>
    <cellStyle name="Time 2 3" xfId="3607"/>
    <cellStyle name="Time 3" xfId="3608"/>
    <cellStyle name="Time 4" xfId="3609"/>
    <cellStyle name="Title" xfId="1" builtinId="15" customBuiltin="1"/>
    <cellStyle name="Title 2" xfId="69"/>
    <cellStyle name="Title 2 2" xfId="3610"/>
    <cellStyle name="Title 2 2 2" xfId="3611"/>
    <cellStyle name="Title 2 2 2 2" xfId="3612"/>
    <cellStyle name="Title 2 2 2 3" xfId="3613"/>
    <cellStyle name="Title 2 2 3" xfId="3614"/>
    <cellStyle name="Title 2 2 4" xfId="3615"/>
    <cellStyle name="Title 2 3" xfId="3616"/>
    <cellStyle name="Title 2 3 2" xfId="3617"/>
    <cellStyle name="Title 2 3 3" xfId="3618"/>
    <cellStyle name="Title 2 4" xfId="3619"/>
    <cellStyle name="Title 2 4 2" xfId="5422"/>
    <cellStyle name="Title 2 4 3" xfId="5423"/>
    <cellStyle name="Title 2 4 4" xfId="5424"/>
    <cellStyle name="Title 2 5" xfId="3620"/>
    <cellStyle name="Title 3" xfId="3621"/>
    <cellStyle name="Title 3 2" xfId="3622"/>
    <cellStyle name="Title 3 3" xfId="3623"/>
    <cellStyle name="Title 4" xfId="3624"/>
    <cellStyle name="Title 4 2" xfId="3625"/>
    <cellStyle name="Title 4 3" xfId="3626"/>
    <cellStyle name="Title 5" xfId="3627"/>
    <cellStyle name="Title 6" xfId="3628"/>
    <cellStyle name="Title 7" xfId="5425"/>
    <cellStyle name="titre" xfId="347"/>
    <cellStyle name="titre 2" xfId="3629"/>
    <cellStyle name="titre 3" xfId="3630"/>
    <cellStyle name="Top rows" xfId="3631"/>
    <cellStyle name="Top rows 2" xfId="3632"/>
    <cellStyle name="Top rows 2 2" xfId="3633"/>
    <cellStyle name="Top rows 2 3" xfId="3634"/>
    <cellStyle name="Top rows 3" xfId="3635"/>
    <cellStyle name="Top rows 3 2" xfId="3636"/>
    <cellStyle name="Top rows 4" xfId="3637"/>
    <cellStyle name="Total 2" xfId="70"/>
    <cellStyle name="Total 2 10" xfId="3638"/>
    <cellStyle name="Total 2 10 2" xfId="5426"/>
    <cellStyle name="Total 2 10 2 2" xfId="5427"/>
    <cellStyle name="Total 2 10 3" xfId="5428"/>
    <cellStyle name="Total 2 10 4" xfId="5429"/>
    <cellStyle name="Total 2 10 5" xfId="5430"/>
    <cellStyle name="Total 2 11" xfId="3639"/>
    <cellStyle name="Total 2 11 2" xfId="5431"/>
    <cellStyle name="Total 2 11 3" xfId="5432"/>
    <cellStyle name="Total 2 11 4" xfId="5433"/>
    <cellStyle name="Total 2 12" xfId="5434"/>
    <cellStyle name="Total 2 2" xfId="349"/>
    <cellStyle name="Total 2 2 2" xfId="3640"/>
    <cellStyle name="Total 2 2 2 2" xfId="3641"/>
    <cellStyle name="Total 2 2 2 2 2" xfId="3642"/>
    <cellStyle name="Total 2 2 2 2 2 2" xfId="5435"/>
    <cellStyle name="Total 2 2 2 2 3" xfId="3643"/>
    <cellStyle name="Total 2 2 2 3" xfId="3644"/>
    <cellStyle name="Total 2 2 2 3 2" xfId="3645"/>
    <cellStyle name="Total 2 2 2 3 2 2" xfId="5436"/>
    <cellStyle name="Total 2 2 2 3 3" xfId="3646"/>
    <cellStyle name="Total 2 2 2 4" xfId="3647"/>
    <cellStyle name="Total 2 2 2 4 2" xfId="5437"/>
    <cellStyle name="Total 2 2 2 5" xfId="3648"/>
    <cellStyle name="Total 2 2 3" xfId="3649"/>
    <cellStyle name="Total 2 2 3 2" xfId="3650"/>
    <cellStyle name="Total 2 2 3 2 2" xfId="5438"/>
    <cellStyle name="Total 2 2 3 2 2 2" xfId="5439"/>
    <cellStyle name="Total 2 2 3 3" xfId="3651"/>
    <cellStyle name="Total 2 2 3 3 2" xfId="5440"/>
    <cellStyle name="Total 2 2 3 3 3" xfId="5441"/>
    <cellStyle name="Total 2 2 3 3 4" xfId="5442"/>
    <cellStyle name="Total 2 2 3 4" xfId="5443"/>
    <cellStyle name="Total 2 2 3 4 2" xfId="5444"/>
    <cellStyle name="Total 2 2 3 5" xfId="5445"/>
    <cellStyle name="Total 2 2 3 6" xfId="5446"/>
    <cellStyle name="Total 2 2 3 7" xfId="5447"/>
    <cellStyle name="Total 2 2 4" xfId="3652"/>
    <cellStyle name="Total 2 2 4 2" xfId="3653"/>
    <cellStyle name="Total 2 2 4 2 2" xfId="5448"/>
    <cellStyle name="Total 2 2 4 3" xfId="3654"/>
    <cellStyle name="Total 2 2 5" xfId="3655"/>
    <cellStyle name="Total 2 2 5 2" xfId="3656"/>
    <cellStyle name="Total 2 2 5 2 2" xfId="5449"/>
    <cellStyle name="Total 2 2 5 3" xfId="3657"/>
    <cellStyle name="Total 2 2 6" xfId="3658"/>
    <cellStyle name="Total 2 2 6 2" xfId="5450"/>
    <cellStyle name="Total 2 2 6 3" xfId="5451"/>
    <cellStyle name="Total 2 2 6 4" xfId="5452"/>
    <cellStyle name="Total 2 2 7" xfId="3659"/>
    <cellStyle name="Total 2 2 7 2" xfId="5453"/>
    <cellStyle name="Total 2 2 7 3" xfId="5454"/>
    <cellStyle name="Total 2 2 7 4" xfId="5455"/>
    <cellStyle name="Total 2 2 8" xfId="5456"/>
    <cellStyle name="Total 2 2 8 2" xfId="5457"/>
    <cellStyle name="Total 2 2 9" xfId="5458"/>
    <cellStyle name="Total 2 3" xfId="350"/>
    <cellStyle name="Total 2 3 2" xfId="3660"/>
    <cellStyle name="Total 2 3 2 2" xfId="3661"/>
    <cellStyle name="Total 2 3 2 2 2" xfId="3662"/>
    <cellStyle name="Total 2 3 2 2 2 2" xfId="5459"/>
    <cellStyle name="Total 2 3 2 2 3" xfId="3663"/>
    <cellStyle name="Total 2 3 2 3" xfId="3664"/>
    <cellStyle name="Total 2 3 2 3 2" xfId="3665"/>
    <cellStyle name="Total 2 3 2 3 2 2" xfId="5460"/>
    <cellStyle name="Total 2 3 2 3 3" xfId="3666"/>
    <cellStyle name="Total 2 3 2 4" xfId="3667"/>
    <cellStyle name="Total 2 3 2 4 2" xfId="5461"/>
    <cellStyle name="Total 2 3 2 5" xfId="3668"/>
    <cellStyle name="Total 2 3 3" xfId="3669"/>
    <cellStyle name="Total 2 3 3 2" xfId="3670"/>
    <cellStyle name="Total 2 3 3 2 2" xfId="5462"/>
    <cellStyle name="Total 2 3 3 2 2 2" xfId="5463"/>
    <cellStyle name="Total 2 3 3 3" xfId="3671"/>
    <cellStyle name="Total 2 3 3 3 2" xfId="5464"/>
    <cellStyle name="Total 2 3 3 3 3" xfId="5465"/>
    <cellStyle name="Total 2 3 3 3 4" xfId="5466"/>
    <cellStyle name="Total 2 3 3 4" xfId="5467"/>
    <cellStyle name="Total 2 3 3 4 2" xfId="5468"/>
    <cellStyle name="Total 2 3 3 5" xfId="5469"/>
    <cellStyle name="Total 2 3 3 6" xfId="5470"/>
    <cellStyle name="Total 2 3 3 7" xfId="5471"/>
    <cellStyle name="Total 2 3 4" xfId="3672"/>
    <cellStyle name="Total 2 3 4 2" xfId="3673"/>
    <cellStyle name="Total 2 3 4 2 2" xfId="5472"/>
    <cellStyle name="Total 2 3 4 3" xfId="3674"/>
    <cellStyle name="Total 2 3 5" xfId="3675"/>
    <cellStyle name="Total 2 3 5 2" xfId="3676"/>
    <cellStyle name="Total 2 3 5 2 2" xfId="5473"/>
    <cellStyle name="Total 2 3 5 3" xfId="3677"/>
    <cellStyle name="Total 2 3 6" xfId="3678"/>
    <cellStyle name="Total 2 3 6 2" xfId="5474"/>
    <cellStyle name="Total 2 3 6 3" xfId="5475"/>
    <cellStyle name="Total 2 3 6 4" xfId="5476"/>
    <cellStyle name="Total 2 3 7" xfId="3679"/>
    <cellStyle name="Total 2 3 7 2" xfId="5477"/>
    <cellStyle name="Total 2 3 7 3" xfId="5478"/>
    <cellStyle name="Total 2 3 7 4" xfId="5479"/>
    <cellStyle name="Total 2 3 8" xfId="5480"/>
    <cellStyle name="Total 2 4" xfId="348"/>
    <cellStyle name="Total 2 4 2" xfId="3680"/>
    <cellStyle name="Total 2 4 2 2" xfId="3681"/>
    <cellStyle name="Total 2 4 2 2 2" xfId="3682"/>
    <cellStyle name="Total 2 4 2 2 2 2" xfId="5481"/>
    <cellStyle name="Total 2 4 2 2 3" xfId="3683"/>
    <cellStyle name="Total 2 4 2 3" xfId="3684"/>
    <cellStyle name="Total 2 4 2 3 2" xfId="3685"/>
    <cellStyle name="Total 2 4 2 3 2 2" xfId="5482"/>
    <cellStyle name="Total 2 4 2 3 3" xfId="3686"/>
    <cellStyle name="Total 2 4 2 4" xfId="3687"/>
    <cellStyle name="Total 2 4 2 4 2" xfId="5483"/>
    <cellStyle name="Total 2 4 2 5" xfId="3688"/>
    <cellStyle name="Total 2 4 3" xfId="3689"/>
    <cellStyle name="Total 2 4 3 2" xfId="3690"/>
    <cellStyle name="Total 2 4 3 2 2" xfId="5484"/>
    <cellStyle name="Total 2 4 3 3" xfId="3691"/>
    <cellStyle name="Total 2 4 4" xfId="3692"/>
    <cellStyle name="Total 2 4 4 2" xfId="3693"/>
    <cellStyle name="Total 2 4 4 2 2" xfId="5485"/>
    <cellStyle name="Total 2 4 4 3" xfId="3694"/>
    <cellStyle name="Total 2 4 5" xfId="3695"/>
    <cellStyle name="Total 2 4 5 2" xfId="5486"/>
    <cellStyle name="Total 2 4 6" xfId="3696"/>
    <cellStyle name="Total 2 5" xfId="3697"/>
    <cellStyle name="Total 2 5 2" xfId="3698"/>
    <cellStyle name="Total 2 5 2 2" xfId="3699"/>
    <cellStyle name="Total 2 5 2 2 2" xfId="5487"/>
    <cellStyle name="Total 2 5 2 3" xfId="3700"/>
    <cellStyle name="Total 2 5 3" xfId="3701"/>
    <cellStyle name="Total 2 5 3 2" xfId="3702"/>
    <cellStyle name="Total 2 5 3 2 2" xfId="5488"/>
    <cellStyle name="Total 2 5 3 3" xfId="3703"/>
    <cellStyle name="Total 2 5 4" xfId="3704"/>
    <cellStyle name="Total 2 5 4 2" xfId="5489"/>
    <cellStyle name="Total 2 5 5" xfId="3705"/>
    <cellStyle name="Total 2 6" xfId="3706"/>
    <cellStyle name="Total 2 6 2" xfId="3707"/>
    <cellStyle name="Total 2 6 2 2" xfId="3708"/>
    <cellStyle name="Total 2 6 2 2 2" xfId="5490"/>
    <cellStyle name="Total 2 6 2 3" xfId="3709"/>
    <cellStyle name="Total 2 6 3" xfId="3710"/>
    <cellStyle name="Total 2 6 3 2" xfId="3711"/>
    <cellStyle name="Total 2 6 3 2 2" xfId="5491"/>
    <cellStyle name="Total 2 6 3 3" xfId="3712"/>
    <cellStyle name="Total 2 6 4" xfId="3713"/>
    <cellStyle name="Total 2 6 4 2" xfId="5492"/>
    <cellStyle name="Total 2 6 5" xfId="3714"/>
    <cellStyle name="Total 2 7" xfId="3715"/>
    <cellStyle name="Total 2 7 2" xfId="3716"/>
    <cellStyle name="Total 2 7 2 2" xfId="5493"/>
    <cellStyle name="Total 2 7 3" xfId="3717"/>
    <cellStyle name="Total 2 8" xfId="3718"/>
    <cellStyle name="Total 2 8 2" xfId="3719"/>
    <cellStyle name="Total 2 8 2 2" xfId="5494"/>
    <cellStyle name="Total 2 8 3" xfId="3720"/>
    <cellStyle name="Total 2 9" xfId="3721"/>
    <cellStyle name="Total 2 9 2" xfId="3722"/>
    <cellStyle name="Total 2 9 2 2" xfId="5495"/>
    <cellStyle name="Total 2 9 3" xfId="3723"/>
    <cellStyle name="Total 3" xfId="3724"/>
    <cellStyle name="Total 3 2" xfId="3725"/>
    <cellStyle name="Total 3 2 2" xfId="3726"/>
    <cellStyle name="Total 3 2 3" xfId="3727"/>
    <cellStyle name="Total 3 2 4" xfId="5496"/>
    <cellStyle name="Total 3 2 5" xfId="5497"/>
    <cellStyle name="Total 3 3" xfId="3728"/>
    <cellStyle name="Total 3 4" xfId="3729"/>
    <cellStyle name="Total 4" xfId="3730"/>
    <cellStyle name="Total 4 2" xfId="3731"/>
    <cellStyle name="Total 4 2 2" xfId="3732"/>
    <cellStyle name="Total 4 2 2 2" xfId="3733"/>
    <cellStyle name="Total 4 2 2 2 2" xfId="5498"/>
    <cellStyle name="Total 4 2 2 3" xfId="3734"/>
    <cellStyle name="Total 4 2 3" xfId="3735"/>
    <cellStyle name="Total 4 2 3 2" xfId="3736"/>
    <cellStyle name="Total 4 2 3 2 2" xfId="5499"/>
    <cellStyle name="Total 4 2 3 3" xfId="3737"/>
    <cellStyle name="Total 4 2 4" xfId="3738"/>
    <cellStyle name="Total 4 2 4 2" xfId="5500"/>
    <cellStyle name="Total 4 2 5" xfId="3739"/>
    <cellStyle name="Total 4 3" xfId="3740"/>
    <cellStyle name="Total 4 3 2" xfId="3741"/>
    <cellStyle name="Total 4 3 2 2" xfId="5501"/>
    <cellStyle name="Total 4 3 3" xfId="3742"/>
    <cellStyle name="Total 4 4" xfId="3743"/>
    <cellStyle name="Total 4 4 2" xfId="3744"/>
    <cellStyle name="Total 4 4 2 2" xfId="5502"/>
    <cellStyle name="Total 4 4 3" xfId="3745"/>
    <cellStyle name="Total 4 5" xfId="3746"/>
    <cellStyle name="Total 4 5 2" xfId="5503"/>
    <cellStyle name="Total 4 6" xfId="3747"/>
    <cellStyle name="Total 5" xfId="3748"/>
    <cellStyle name="Total 5 2" xfId="3749"/>
    <cellStyle name="Total 5 3" xfId="3750"/>
    <cellStyle name="Total 6" xfId="3751"/>
    <cellStyle name="Total 7" xfId="3752"/>
    <cellStyle name="ttn -TopTextNoWrap" xfId="3753"/>
    <cellStyle name="ttn -TopTextNoWrap 2" xfId="3754"/>
    <cellStyle name="ttn -TopTextNoWrap 2 2" xfId="3755"/>
    <cellStyle name="ttn -TopTextNoWrap 2 3" xfId="3756"/>
    <cellStyle name="ttn -TopTextNoWrap 3" xfId="3757"/>
    <cellStyle name="ttn -TopTextNoWrap 4" xfId="3758"/>
    <cellStyle name="ttw -TopTextWrap" xfId="3759"/>
    <cellStyle name="ttw -TopTextWrap 2" xfId="3760"/>
    <cellStyle name="ttw -TopTextWrap 2 2" xfId="3761"/>
    <cellStyle name="ttw -TopTextWrap 2 3" xfId="3762"/>
    <cellStyle name="ttw -TopTextWrap 3" xfId="3763"/>
    <cellStyle name="ttw -TopTextWrap 4" xfId="3764"/>
    <cellStyle name="Warning Text 2" xfId="71"/>
    <cellStyle name="Warning Text 2 2" xfId="352"/>
    <cellStyle name="Warning Text 2 2 2" xfId="3765"/>
    <cellStyle name="Warning Text 2 2 2 2" xfId="3766"/>
    <cellStyle name="Warning Text 2 2 2 3" xfId="3767"/>
    <cellStyle name="Warning Text 2 2 2 3 2" xfId="5504"/>
    <cellStyle name="Warning Text 2 2 2 3 3" xfId="5505"/>
    <cellStyle name="Warning Text 2 2 2 4" xfId="5506"/>
    <cellStyle name="Warning Text 2 2 2 5" xfId="5507"/>
    <cellStyle name="Warning Text 2 2 2 6" xfId="5508"/>
    <cellStyle name="Warning Text 2 2 3" xfId="3768"/>
    <cellStyle name="Warning Text 2 2 3 2" xfId="5509"/>
    <cellStyle name="Warning Text 2 2 3 3" xfId="5510"/>
    <cellStyle name="Warning Text 2 2 3 4" xfId="5511"/>
    <cellStyle name="Warning Text 2 2 4" xfId="3769"/>
    <cellStyle name="Warning Text 2 3" xfId="351"/>
    <cellStyle name="Warning Text 2 3 2" xfId="3770"/>
    <cellStyle name="Warning Text 2 3 3" xfId="3771"/>
    <cellStyle name="Warning Text 2 4" xfId="3772"/>
    <cellStyle name="Warning Text 2 4 2" xfId="3773"/>
    <cellStyle name="Warning Text 2 4 3" xfId="3774"/>
    <cellStyle name="Warning Text 2 5" xfId="3775"/>
    <cellStyle name="Warning Text 2 5 2" xfId="3776"/>
    <cellStyle name="Warning Text 2 5 3" xfId="3777"/>
    <cellStyle name="Warning Text 2 6" xfId="3778"/>
    <cellStyle name="Warning Text 2 7" xfId="3779"/>
    <cellStyle name="Warning Text 3" xfId="3780"/>
    <cellStyle name="Warning Text 3 2" xfId="3781"/>
    <cellStyle name="Warning Text 3 2 2" xfId="5512"/>
    <cellStyle name="Warning Text 3 2 3" xfId="5513"/>
    <cellStyle name="Warning Text 3 2 4" xfId="5514"/>
    <cellStyle name="Warning Text 3 3" xfId="3782"/>
    <cellStyle name="Warning Text 4" xfId="3783"/>
    <cellStyle name="Warning Text 5" xfId="3784"/>
    <cellStyle name="Year" xfId="3785"/>
  </cellStyles>
  <dxfs count="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CC"/>
      <color rgb="FFFFFF99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8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1.7976755869557916E-2"/>
          <c:y val="0.16218028256339187"/>
          <c:w val="0.96266366088630306"/>
          <c:h val="0.665182430371369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0"/>
                  <c:y val="-3.4930091677048782E-3"/>
                </c:manualLayout>
              </c:layout>
              <c:showVal val="1"/>
              <c:showCatName val="1"/>
              <c:separator>
</c:separator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Val val="1"/>
            <c:showCatName val="1"/>
            <c:separator>
</c:separator>
          </c:dLbls>
          <c:cat>
            <c:strRef>
              <c:f>'Data for charts'!$B$6:$G$6</c:f>
              <c:strCache>
                <c:ptCount val="5"/>
                <c:pt idx="0">
                  <c:v>GasNet</c:v>
                </c:pt>
                <c:pt idx="1">
                  <c:v>Powerco</c:v>
                </c:pt>
                <c:pt idx="2">
                  <c:v>Vector Distribution</c:v>
                </c:pt>
                <c:pt idx="3">
                  <c:v>MDL</c:v>
                </c:pt>
                <c:pt idx="4">
                  <c:v>Vector Transmission</c:v>
                </c:pt>
              </c:strCache>
            </c:strRef>
          </c:cat>
          <c:val>
            <c:numRef>
              <c:f>'Data for charts'!$B$8:$F$8</c:f>
              <c:numCache>
                <c:formatCode>0%</c:formatCode>
                <c:ptCount val="5"/>
                <c:pt idx="0">
                  <c:v>1.9951962530362854E-2</c:v>
                </c:pt>
                <c:pt idx="1">
                  <c:v>3.9911039047253037E-2</c:v>
                </c:pt>
                <c:pt idx="2">
                  <c:v>-0.17987258995966005</c:v>
                </c:pt>
                <c:pt idx="3">
                  <c:v>-1.1974356789439131E-2</c:v>
                </c:pt>
                <c:pt idx="4">
                  <c:v>-0.29498028903808937</c:v>
                </c:pt>
              </c:numCache>
            </c:numRef>
          </c:val>
        </c:ser>
        <c:gapWidth val="42"/>
        <c:overlap val="-35"/>
        <c:axId val="168791040"/>
        <c:axId val="169745024"/>
      </c:barChart>
      <c:catAx>
        <c:axId val="168791040"/>
        <c:scaling>
          <c:orientation val="minMax"/>
        </c:scaling>
        <c:axPos val="b"/>
        <c:numFmt formatCode="General" sourceLinked="1"/>
        <c:tickLblPos val="none"/>
        <c:crossAx val="169745024"/>
        <c:crosses val="autoZero"/>
        <c:auto val="1"/>
        <c:lblAlgn val="ctr"/>
        <c:lblOffset val="100"/>
      </c:catAx>
      <c:valAx>
        <c:axId val="169745024"/>
        <c:scaling>
          <c:orientation val="minMax"/>
        </c:scaling>
        <c:delete val="1"/>
        <c:axPos val="l"/>
        <c:numFmt formatCode="0%" sourceLinked="1"/>
        <c:tickLblPos val="none"/>
        <c:crossAx val="16879104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9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2.0462849240683277E-2"/>
          <c:y val="3.0627857014880716E-2"/>
          <c:w val="0.94859058008143726"/>
          <c:h val="0.95675944448371142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/>
              <c:tx>
                <c:strRef>
                  <c:f>'Data for charts'!$B$21</c:f>
                  <c:strCache>
                    <c:ptCount val="1"/>
                    <c:pt idx="0">
                      <c:v>GasNet: -$0.3m</c:v>
                    </c:pt>
                  </c:strCache>
                </c:strRef>
              </c:tx>
              <c:showVal val="1"/>
            </c:dLbl>
            <c:dLbl>
              <c:idx val="1"/>
              <c:layout/>
              <c:tx>
                <c:strRef>
                  <c:f>'Data for charts'!$C$21</c:f>
                  <c:strCache>
                    <c:ptCount val="1"/>
                    <c:pt idx="0">
                      <c:v>Powerco: -$7.1m</c:v>
                    </c:pt>
                  </c:strCache>
                </c:strRef>
              </c:tx>
              <c:showVal val="1"/>
            </c:dLbl>
            <c:dLbl>
              <c:idx val="2"/>
              <c:layout/>
              <c:tx>
                <c:strRef>
                  <c:f>'Data for charts'!$D$21</c:f>
                  <c:strCache>
                    <c:ptCount val="1"/>
                    <c:pt idx="0">
                      <c:v>Vector Distribution: +$56.5m</c:v>
                    </c:pt>
                  </c:strCache>
                </c:strRef>
              </c:tx>
              <c:showVal val="1"/>
            </c:dLbl>
            <c:dLbl>
              <c:idx val="3"/>
              <c:layout/>
              <c:tx>
                <c:strRef>
                  <c:f>'Data for charts'!$E$21</c:f>
                  <c:strCache>
                    <c:ptCount val="1"/>
                    <c:pt idx="0">
                      <c:v>MDL: +$1.6m</c:v>
                    </c:pt>
                  </c:strCache>
                </c:strRef>
              </c:tx>
              <c:showVal val="1"/>
            </c:dLbl>
            <c:dLbl>
              <c:idx val="4"/>
              <c:layout/>
              <c:tx>
                <c:strRef>
                  <c:f>'Data for charts'!$F$21</c:f>
                  <c:strCache>
                    <c:ptCount val="1"/>
                    <c:pt idx="0">
                      <c:v>Vector Transmission: +$135.4m</c:v>
                    </c:pt>
                  </c:strCache>
                </c:strRef>
              </c:tx>
              <c:showVal val="1"/>
            </c:dLbl>
            <c:txPr>
              <a:bodyPr/>
              <a:lstStyle/>
              <a:p>
                <a:pPr>
                  <a:defRPr sz="1600" b="0"/>
                </a:pPr>
                <a:endParaRPr lang="en-US"/>
              </a:p>
            </c:txPr>
            <c:showVal val="1"/>
          </c:dLbls>
          <c:cat>
            <c:strRef>
              <c:f>'Data for charts'!$B$12:$E$12</c:f>
              <c:strCache>
                <c:ptCount val="4"/>
                <c:pt idx="0">
                  <c:v>GasNet</c:v>
                </c:pt>
                <c:pt idx="1">
                  <c:v>Powerco</c:v>
                </c:pt>
                <c:pt idx="2">
                  <c:v>Vector Distribution</c:v>
                </c:pt>
                <c:pt idx="3">
                  <c:v>MDL</c:v>
                </c:pt>
              </c:strCache>
            </c:strRef>
          </c:cat>
          <c:val>
            <c:numRef>
              <c:f>'Data for charts'!$B$14:$F$14</c:f>
              <c:numCache>
                <c:formatCode>#,##0</c:formatCode>
                <c:ptCount val="5"/>
                <c:pt idx="0">
                  <c:v>-339.97466235584761</c:v>
                </c:pt>
                <c:pt idx="1">
                  <c:v>-7140.4750302881293</c:v>
                </c:pt>
                <c:pt idx="2">
                  <c:v>56539.345319954155</c:v>
                </c:pt>
                <c:pt idx="3">
                  <c:v>1590.7287195222452</c:v>
                </c:pt>
                <c:pt idx="4">
                  <c:v>135387.66483708192</c:v>
                </c:pt>
              </c:numCache>
            </c:numRef>
          </c:val>
        </c:ser>
        <c:gapWidth val="75"/>
        <c:overlap val="-6"/>
        <c:axId val="167544704"/>
        <c:axId val="168487552"/>
      </c:barChart>
      <c:catAx>
        <c:axId val="167544704"/>
        <c:scaling>
          <c:orientation val="maxMin"/>
        </c:scaling>
        <c:axPos val="l"/>
        <c:majorGridlines/>
        <c:numFmt formatCode="General" sourceLinked="1"/>
        <c:tickLblPos val="none"/>
        <c:crossAx val="168487552"/>
        <c:crosses val="autoZero"/>
        <c:auto val="1"/>
        <c:lblAlgn val="ctr"/>
        <c:lblOffset val="100"/>
      </c:catAx>
      <c:valAx>
        <c:axId val="168487552"/>
        <c:scaling>
          <c:orientation val="minMax"/>
          <c:max val="200000"/>
          <c:min val="-70000"/>
        </c:scaling>
        <c:axPos val="t"/>
        <c:numFmt formatCode="#,##0" sourceLinked="1"/>
        <c:majorTickMark val="none"/>
        <c:tickLblPos val="none"/>
        <c:crossAx val="167544704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plotVisOnly val="1"/>
    <c:dispBlanksAs val="gap"/>
  </c:chart>
  <c:spPr>
    <a:solidFill>
      <a:schemeClr val="bg1">
        <a:lumMod val="95000"/>
      </a:schemeClr>
    </a:solidFill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0.02437</cdr:x>
      <cdr:y>0.33262</cdr:y>
    </cdr:from>
    <cdr:to>
      <cdr:x>0.40529</cdr:x>
      <cdr:y>0.58923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6676" y="2023587"/>
          <a:ext cx="3542356" cy="156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ct val="110000"/>
            </a:lnSpc>
          </a:pPr>
          <a:r>
            <a:rPr lang="en-NZ" sz="1600" baseline="0"/>
            <a:t>This chart shows the size of the average adjustment to each supplier's price, before inflation, if the adjustments are made at the start of the regulatory period, ie, 1 July 2013.</a:t>
          </a:r>
        </a:p>
      </cdr:txBody>
    </cdr:sp>
  </cdr:relSizeAnchor>
  <cdr:relSizeAnchor xmlns:cdr="http://schemas.openxmlformats.org/drawingml/2006/chartDrawing">
    <cdr:from>
      <cdr:x>0.42841</cdr:x>
      <cdr:y>0.07744</cdr:y>
    </cdr:from>
    <cdr:to>
      <cdr:x>0.93392</cdr:x>
      <cdr:y>0.21549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84113" y="471129"/>
          <a:ext cx="4701048" cy="83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0.42291</cdr:x>
      <cdr:y>0.19192</cdr:y>
    </cdr:from>
    <cdr:to>
      <cdr:x>0.96476</cdr:x>
      <cdr:y>0.34175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932904" y="1167582"/>
          <a:ext cx="5039032" cy="911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ct val="110000"/>
            </a:lnSpc>
          </a:pPr>
          <a:r>
            <a:rPr lang="en-NZ" sz="1600" baseline="0">
              <a:latin typeface="+mn-lt"/>
              <a:ea typeface="+mn-ea"/>
              <a:cs typeface="+mn-cs"/>
            </a:rPr>
            <a:t>The adjustments will be slightly larger if they are delayed until the start of the supplier's next pricing year.</a:t>
          </a:r>
          <a:endParaRPr lang="en-NZ" sz="1600"/>
        </a:p>
      </cdr:txBody>
    </cdr:sp>
  </cdr:relSizeAnchor>
  <cdr:relSizeAnchor xmlns:cdr="http://schemas.openxmlformats.org/drawingml/2006/chartDrawing">
    <cdr:from>
      <cdr:x>0.02313</cdr:x>
      <cdr:y>0.71212</cdr:y>
    </cdr:from>
    <cdr:to>
      <cdr:x>0.68833</cdr:x>
      <cdr:y>0.96128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15081" y="4332339"/>
          <a:ext cx="6186129" cy="1515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ct val="110000"/>
            </a:lnSpc>
          </a:pPr>
          <a:r>
            <a:rPr lang="en-NZ" sz="2000"/>
            <a:t>These</a:t>
          </a:r>
          <a:r>
            <a:rPr lang="en-NZ" sz="2000" baseline="0"/>
            <a:t> adjustments are based on the current and projected profitability of each supplier.</a:t>
          </a:r>
          <a:endParaRPr lang="en-NZ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33622</xdr:rowOff>
    </xdr:from>
    <xdr:to>
      <xdr:col>12</xdr:col>
      <xdr:colOff>660026</xdr:colOff>
      <xdr:row>20</xdr:row>
      <xdr:rowOff>33620</xdr:rowOff>
    </xdr:to>
    <xdr:sp macro="" textlink="">
      <xdr:nvSpPr>
        <xdr:cNvPr id="2" name="Left Brace 1"/>
        <xdr:cNvSpPr/>
      </xdr:nvSpPr>
      <xdr:spPr>
        <a:xfrm rot="5400000">
          <a:off x="6997514" y="2875433"/>
          <a:ext cx="380998" cy="5917826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  <xdr:twoCellAnchor>
    <xdr:from>
      <xdr:col>4</xdr:col>
      <xdr:colOff>-1</xdr:colOff>
      <xdr:row>62</xdr:row>
      <xdr:rowOff>156883</xdr:rowOff>
    </xdr:from>
    <xdr:to>
      <xdr:col>13</xdr:col>
      <xdr:colOff>7283</xdr:colOff>
      <xdr:row>63</xdr:row>
      <xdr:rowOff>156882</xdr:rowOff>
    </xdr:to>
    <xdr:sp macro="" textlink="">
      <xdr:nvSpPr>
        <xdr:cNvPr id="3" name="Left Brace 2"/>
        <xdr:cNvSpPr/>
      </xdr:nvSpPr>
      <xdr:spPr>
        <a:xfrm rot="5400000">
          <a:off x="7095004" y="11368928"/>
          <a:ext cx="190499" cy="5922309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33622</xdr:rowOff>
    </xdr:from>
    <xdr:to>
      <xdr:col>12</xdr:col>
      <xdr:colOff>660026</xdr:colOff>
      <xdr:row>20</xdr:row>
      <xdr:rowOff>33620</xdr:rowOff>
    </xdr:to>
    <xdr:sp macro="" textlink="">
      <xdr:nvSpPr>
        <xdr:cNvPr id="2" name="Left Brace 1"/>
        <xdr:cNvSpPr/>
      </xdr:nvSpPr>
      <xdr:spPr>
        <a:xfrm rot="5400000">
          <a:off x="6997514" y="2875433"/>
          <a:ext cx="380998" cy="5917826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  <xdr:twoCellAnchor>
    <xdr:from>
      <xdr:col>4</xdr:col>
      <xdr:colOff>-1</xdr:colOff>
      <xdr:row>62</xdr:row>
      <xdr:rowOff>156883</xdr:rowOff>
    </xdr:from>
    <xdr:to>
      <xdr:col>13</xdr:col>
      <xdr:colOff>7283</xdr:colOff>
      <xdr:row>63</xdr:row>
      <xdr:rowOff>156882</xdr:rowOff>
    </xdr:to>
    <xdr:sp macro="" textlink="">
      <xdr:nvSpPr>
        <xdr:cNvPr id="3" name="Left Brace 2"/>
        <xdr:cNvSpPr/>
      </xdr:nvSpPr>
      <xdr:spPr>
        <a:xfrm rot="5400000">
          <a:off x="7095004" y="11368928"/>
          <a:ext cx="190499" cy="5922309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33622</xdr:rowOff>
    </xdr:from>
    <xdr:to>
      <xdr:col>12</xdr:col>
      <xdr:colOff>660026</xdr:colOff>
      <xdr:row>20</xdr:row>
      <xdr:rowOff>33620</xdr:rowOff>
    </xdr:to>
    <xdr:sp macro="" textlink="">
      <xdr:nvSpPr>
        <xdr:cNvPr id="2" name="Left Brace 1"/>
        <xdr:cNvSpPr/>
      </xdr:nvSpPr>
      <xdr:spPr>
        <a:xfrm rot="5400000">
          <a:off x="6997514" y="2875433"/>
          <a:ext cx="380998" cy="5917826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  <xdr:twoCellAnchor>
    <xdr:from>
      <xdr:col>4</xdr:col>
      <xdr:colOff>-1</xdr:colOff>
      <xdr:row>62</xdr:row>
      <xdr:rowOff>156883</xdr:rowOff>
    </xdr:from>
    <xdr:to>
      <xdr:col>13</xdr:col>
      <xdr:colOff>7283</xdr:colOff>
      <xdr:row>63</xdr:row>
      <xdr:rowOff>156882</xdr:rowOff>
    </xdr:to>
    <xdr:sp macro="" textlink="">
      <xdr:nvSpPr>
        <xdr:cNvPr id="3" name="Left Brace 2"/>
        <xdr:cNvSpPr/>
      </xdr:nvSpPr>
      <xdr:spPr>
        <a:xfrm rot="5400000">
          <a:off x="7095004" y="11368928"/>
          <a:ext cx="190499" cy="5922309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33622</xdr:rowOff>
    </xdr:from>
    <xdr:to>
      <xdr:col>12</xdr:col>
      <xdr:colOff>660026</xdr:colOff>
      <xdr:row>20</xdr:row>
      <xdr:rowOff>33620</xdr:rowOff>
    </xdr:to>
    <xdr:sp macro="" textlink="">
      <xdr:nvSpPr>
        <xdr:cNvPr id="2" name="Left Brace 1"/>
        <xdr:cNvSpPr/>
      </xdr:nvSpPr>
      <xdr:spPr>
        <a:xfrm rot="5400000">
          <a:off x="6997514" y="2875433"/>
          <a:ext cx="380998" cy="5917826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  <xdr:twoCellAnchor>
    <xdr:from>
      <xdr:col>4</xdr:col>
      <xdr:colOff>-1</xdr:colOff>
      <xdr:row>62</xdr:row>
      <xdr:rowOff>156883</xdr:rowOff>
    </xdr:from>
    <xdr:to>
      <xdr:col>13</xdr:col>
      <xdr:colOff>7283</xdr:colOff>
      <xdr:row>63</xdr:row>
      <xdr:rowOff>156882</xdr:rowOff>
    </xdr:to>
    <xdr:sp macro="" textlink="">
      <xdr:nvSpPr>
        <xdr:cNvPr id="3" name="Left Brace 2"/>
        <xdr:cNvSpPr/>
      </xdr:nvSpPr>
      <xdr:spPr>
        <a:xfrm rot="5400000">
          <a:off x="7095004" y="11368928"/>
          <a:ext cx="190499" cy="5922309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33622</xdr:rowOff>
    </xdr:from>
    <xdr:to>
      <xdr:col>12</xdr:col>
      <xdr:colOff>660026</xdr:colOff>
      <xdr:row>20</xdr:row>
      <xdr:rowOff>33620</xdr:rowOff>
    </xdr:to>
    <xdr:sp macro="" textlink="">
      <xdr:nvSpPr>
        <xdr:cNvPr id="2" name="Left Brace 1"/>
        <xdr:cNvSpPr/>
      </xdr:nvSpPr>
      <xdr:spPr>
        <a:xfrm rot="5400000">
          <a:off x="6997514" y="2875433"/>
          <a:ext cx="380998" cy="5917826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  <xdr:twoCellAnchor>
    <xdr:from>
      <xdr:col>4</xdr:col>
      <xdr:colOff>-1</xdr:colOff>
      <xdr:row>62</xdr:row>
      <xdr:rowOff>156883</xdr:rowOff>
    </xdr:from>
    <xdr:to>
      <xdr:col>13</xdr:col>
      <xdr:colOff>7283</xdr:colOff>
      <xdr:row>63</xdr:row>
      <xdr:rowOff>156882</xdr:rowOff>
    </xdr:to>
    <xdr:sp macro="" textlink="">
      <xdr:nvSpPr>
        <xdr:cNvPr id="3" name="Left Brace 2"/>
        <xdr:cNvSpPr/>
      </xdr:nvSpPr>
      <xdr:spPr>
        <a:xfrm rot="5400000">
          <a:off x="7095004" y="11368928"/>
          <a:ext cx="190499" cy="5922309"/>
        </a:xfrm>
        <a:prstGeom prst="leftBrace">
          <a:avLst>
            <a:gd name="adj1" fmla="val 8333"/>
            <a:gd name="adj2" fmla="val 49777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N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PA%20development\PW%20GPBs\Final\Gas%20DPP%20fin%20model%20Final%20v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PA%20development\PW%20GPBs\Final\Gas%20DPP%20financial%20model%20v11%20for%20EY%20review%2018%20Oct%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aulw\AppData\Local\Microsoft\Windows\Temporary%20Internet%20Files\Content.Outlook\WT32E362\Gas%20DPP%20financial%20model%20v11%20for%20EY%20review%2018%20Oct%201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s"/>
      <sheetName val="Results"/>
      <sheetName val="IntraYr"/>
      <sheetName val="Charts"/>
      <sheetName val="Master"/>
      <sheetName val="GasNet"/>
      <sheetName val="PowerCo"/>
      <sheetName val="Vector_Dist"/>
      <sheetName val="Maui"/>
      <sheetName val="Vector_Trans"/>
      <sheetName val="CPI"/>
      <sheetName val="CPI_draft"/>
    </sheetNames>
    <sheetDataSet>
      <sheetData sheetId="0"/>
      <sheetData sheetId="1">
        <row r="4">
          <cell r="C4">
            <v>7.5300000000000006E-2</v>
          </cell>
        </row>
        <row r="5">
          <cell r="C5">
            <v>5.6799999999999996E-2</v>
          </cell>
        </row>
        <row r="6">
          <cell r="C6">
            <v>0.44</v>
          </cell>
        </row>
        <row r="9">
          <cell r="C9">
            <v>0</v>
          </cell>
        </row>
        <row r="22">
          <cell r="B22" t="str">
            <v>Inputs Anchor</v>
          </cell>
          <cell r="C22">
            <v>0</v>
          </cell>
          <cell r="D22" t="str">
            <v>GasNet</v>
          </cell>
          <cell r="E22" t="str">
            <v>Powerco</v>
          </cell>
          <cell r="F22" t="str">
            <v>Vector_Dist</v>
          </cell>
          <cell r="G22" t="str">
            <v>Maui</v>
          </cell>
          <cell r="H22" t="str">
            <v>Vector_Trans</v>
          </cell>
          <cell r="I22">
            <v>0</v>
          </cell>
        </row>
        <row r="23">
          <cell r="B23" t="str">
            <v>Revenue through Prices</v>
          </cell>
          <cell r="D23">
            <v>4218.4803100000008</v>
          </cell>
          <cell r="E23">
            <v>44264.5435</v>
          </cell>
          <cell r="F23">
            <v>77777</v>
          </cell>
          <cell r="G23">
            <v>38541</v>
          </cell>
          <cell r="H23">
            <v>113468</v>
          </cell>
          <cell r="I23">
            <v>0</v>
          </cell>
        </row>
        <row r="24">
          <cell r="B24" t="str">
            <v>Pass-through costs</v>
          </cell>
          <cell r="D24">
            <v>44.899550000000005</v>
          </cell>
          <cell r="E24">
            <v>1369.2731349999997</v>
          </cell>
          <cell r="F24">
            <v>1003.1098499999998</v>
          </cell>
          <cell r="G24">
            <v>500</v>
          </cell>
          <cell r="H24">
            <v>766.99468000000002</v>
          </cell>
          <cell r="I24">
            <v>0</v>
          </cell>
        </row>
        <row r="25">
          <cell r="B25" t="str">
            <v>Recoverable costs</v>
          </cell>
          <cell r="D25">
            <v>0</v>
          </cell>
          <cell r="E25">
            <v>0</v>
          </cell>
          <cell r="F25">
            <v>0</v>
          </cell>
          <cell r="G25">
            <v>240</v>
          </cell>
          <cell r="H25">
            <v>0</v>
          </cell>
          <cell r="I25">
            <v>0</v>
          </cell>
        </row>
        <row r="26">
          <cell r="B26" t="str">
            <v>Opening RAB 2010/11</v>
          </cell>
          <cell r="D26">
            <v>22484.106307484744</v>
          </cell>
          <cell r="E26">
            <v>320906.80357597553</v>
          </cell>
          <cell r="F26">
            <v>422970.3224954934</v>
          </cell>
          <cell r="G26">
            <v>301255</v>
          </cell>
          <cell r="H26">
            <v>486051.80246027705</v>
          </cell>
          <cell r="I26">
            <v>0</v>
          </cell>
        </row>
        <row r="27">
          <cell r="B27" t="str">
            <v>Total Depreciation</v>
          </cell>
          <cell r="D27">
            <v>892</v>
          </cell>
          <cell r="E27">
            <v>7826.9952091701352</v>
          </cell>
          <cell r="F27">
            <v>12593</v>
          </cell>
          <cell r="G27">
            <v>7121</v>
          </cell>
          <cell r="H27">
            <v>16828</v>
          </cell>
          <cell r="I27">
            <v>0</v>
          </cell>
        </row>
        <row r="28">
          <cell r="B28" t="str">
            <v>RAB of disposed assets</v>
          </cell>
          <cell r="D28">
            <v>0</v>
          </cell>
          <cell r="E28">
            <v>0</v>
          </cell>
          <cell r="F28">
            <v>328</v>
          </cell>
          <cell r="G28">
            <v>0</v>
          </cell>
          <cell r="H28">
            <v>450</v>
          </cell>
          <cell r="I28">
            <v>0</v>
          </cell>
        </row>
        <row r="29">
          <cell r="B29" t="str">
            <v>Gain/(loss) on sale of disposed assets</v>
          </cell>
          <cell r="D29">
            <v>0</v>
          </cell>
          <cell r="E29">
            <v>0</v>
          </cell>
          <cell r="F29">
            <v>585</v>
          </cell>
          <cell r="G29">
            <v>0</v>
          </cell>
          <cell r="H29">
            <v>531</v>
          </cell>
          <cell r="I29">
            <v>0</v>
          </cell>
        </row>
        <row r="30">
          <cell r="B30" t="str">
            <v>Value of commissioned assets</v>
          </cell>
          <cell r="D30">
            <v>715</v>
          </cell>
          <cell r="E30">
            <v>7775.6054301011363</v>
          </cell>
          <cell r="F30">
            <v>22745</v>
          </cell>
          <cell r="G30">
            <v>67</v>
          </cell>
          <cell r="H30">
            <v>11521</v>
          </cell>
          <cell r="I30">
            <v>0</v>
          </cell>
        </row>
        <row r="31">
          <cell r="B31" t="str">
            <v>Tax Depreciation</v>
          </cell>
          <cell r="D31">
            <v>787</v>
          </cell>
          <cell r="E31">
            <v>22606.893406940388</v>
          </cell>
          <cell r="F31">
            <v>26084</v>
          </cell>
          <cell r="G31">
            <v>4802</v>
          </cell>
          <cell r="H31">
            <v>13165</v>
          </cell>
          <cell r="I31">
            <v>0</v>
          </cell>
        </row>
        <row r="32">
          <cell r="B32" t="str">
            <v>Opening regulatory tax asset value 2010/11</v>
          </cell>
          <cell r="D32">
            <v>5785</v>
          </cell>
          <cell r="E32">
            <v>227938.067667247</v>
          </cell>
          <cell r="F32">
            <v>223466</v>
          </cell>
          <cell r="G32">
            <v>57040</v>
          </cell>
          <cell r="H32">
            <v>109768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Other regulated income</v>
          </cell>
          <cell r="C34">
            <v>0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Operating expenditure</v>
          </cell>
          <cell r="D35">
            <v>1332.3170536123812</v>
          </cell>
          <cell r="E35">
            <v>15396.216399752841</v>
          </cell>
          <cell r="F35">
            <v>19395</v>
          </cell>
          <cell r="G35">
            <v>8768</v>
          </cell>
          <cell r="H35">
            <v>30610</v>
          </cell>
          <cell r="I35">
            <v>0</v>
          </cell>
        </row>
        <row r="36">
          <cell r="B36" t="str">
            <v>Opening RAB 2009/10</v>
          </cell>
          <cell r="D36">
            <v>22386</v>
          </cell>
          <cell r="E36">
            <v>312784.99132013501</v>
          </cell>
          <cell r="F36">
            <v>417809.19948243757</v>
          </cell>
          <cell r="G36">
            <v>301325</v>
          </cell>
          <cell r="H36">
            <v>485183.2976444278</v>
          </cell>
          <cell r="I36">
            <v>0</v>
          </cell>
        </row>
        <row r="37">
          <cell r="B37" t="str">
            <v>Disposed assets 2009/10</v>
          </cell>
          <cell r="D37">
            <v>0</v>
          </cell>
          <cell r="E37">
            <v>0</v>
          </cell>
          <cell r="F37">
            <v>723</v>
          </cell>
          <cell r="G37">
            <v>0</v>
          </cell>
          <cell r="H37">
            <v>317</v>
          </cell>
          <cell r="I37">
            <v>0</v>
          </cell>
        </row>
        <row r="38">
          <cell r="B38" t="str">
            <v>Value of commissioned assets, 2009/10</v>
          </cell>
          <cell r="D38">
            <v>570</v>
          </cell>
          <cell r="E38">
            <v>11393</v>
          </cell>
          <cell r="F38">
            <v>12363</v>
          </cell>
          <cell r="G38">
            <v>376</v>
          </cell>
          <cell r="H38">
            <v>14510</v>
          </cell>
          <cell r="I38" t="str">
            <v>Not used</v>
          </cell>
        </row>
        <row r="39">
          <cell r="B39" t="str">
            <v>Opening regulatory tax asset value 2009/10</v>
          </cell>
          <cell r="D39">
            <v>5785</v>
          </cell>
          <cell r="E39">
            <v>246115</v>
          </cell>
          <cell r="F39">
            <v>240659</v>
          </cell>
          <cell r="G39">
            <v>61857</v>
          </cell>
          <cell r="H39">
            <v>109726.6850092409</v>
          </cell>
          <cell r="I39">
            <v>0</v>
          </cell>
        </row>
        <row r="40">
          <cell r="B40" t="str">
            <v>Tax Depreciation 2009/10</v>
          </cell>
          <cell r="D40">
            <v>788</v>
          </cell>
          <cell r="E40">
            <v>24426</v>
          </cell>
          <cell r="F40">
            <v>26719</v>
          </cell>
          <cell r="G40">
            <v>4847</v>
          </cell>
          <cell r="H40">
            <v>13396.385181650627</v>
          </cell>
          <cell r="I40">
            <v>0</v>
          </cell>
        </row>
        <row r="41">
          <cell r="B41" t="str">
            <v>Weighted Average Remaining Life at year-end 2009/10</v>
          </cell>
          <cell r="D41">
            <v>31.775593173695835</v>
          </cell>
          <cell r="E41">
            <v>42</v>
          </cell>
          <cell r="F41">
            <v>43</v>
          </cell>
          <cell r="G41" t="str">
            <v>N/A</v>
          </cell>
          <cell r="H41" t="str">
            <v>N/A</v>
          </cell>
          <cell r="I41">
            <v>0</v>
          </cell>
        </row>
        <row r="42">
          <cell r="B42" t="str">
            <v>Use Weighted Average Price Cap or Total Revenue Cap</v>
          </cell>
          <cell r="C42">
            <v>0</v>
          </cell>
          <cell r="D42" t="str">
            <v>WAPC</v>
          </cell>
          <cell r="E42" t="str">
            <v>WAPC</v>
          </cell>
          <cell r="F42" t="str">
            <v>WAPC</v>
          </cell>
          <cell r="G42" t="str">
            <v>TRC</v>
          </cell>
          <cell r="H42" t="str">
            <v>TRC</v>
          </cell>
          <cell r="I42">
            <v>0</v>
          </cell>
        </row>
        <row r="43">
          <cell r="B43" t="str">
            <v>Use Deferred Tax approach or Tax Payable approach</v>
          </cell>
          <cell r="D43" t="str">
            <v>Deferred</v>
          </cell>
          <cell r="E43" t="str">
            <v>Deferred</v>
          </cell>
          <cell r="F43" t="str">
            <v>Deferred</v>
          </cell>
          <cell r="G43" t="str">
            <v xml:space="preserve">T Payable </v>
          </cell>
          <cell r="H43" t="str">
            <v xml:space="preserve">T Payable </v>
          </cell>
          <cell r="I43">
            <v>0</v>
          </cell>
        </row>
        <row r="44">
          <cell r="B44" t="str">
            <v>Supplier-specific X value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Information &amp; building blocks year-end</v>
          </cell>
          <cell r="D45" t="str">
            <v xml:space="preserve">June </v>
          </cell>
          <cell r="E45" t="str">
            <v xml:space="preserve">June </v>
          </cell>
          <cell r="F45" t="str">
            <v xml:space="preserve">June </v>
          </cell>
          <cell r="G45" t="str">
            <v>December</v>
          </cell>
          <cell r="H45" t="str">
            <v xml:space="preserve">June </v>
          </cell>
          <cell r="I45">
            <v>0</v>
          </cell>
        </row>
        <row r="46">
          <cell r="B46" t="str">
            <v>Pricing &amp; allowed revenue year-end</v>
          </cell>
          <cell r="D46" t="str">
            <v xml:space="preserve">September </v>
          </cell>
          <cell r="E46" t="str">
            <v xml:space="preserve">September </v>
          </cell>
          <cell r="F46" t="str">
            <v xml:space="preserve">September </v>
          </cell>
          <cell r="G46" t="str">
            <v>June</v>
          </cell>
          <cell r="H46" t="str">
            <v xml:space="preserve">September </v>
          </cell>
          <cell r="I46">
            <v>0</v>
          </cell>
        </row>
        <row r="47">
          <cell r="B47" t="str">
            <v>Term Credit Spread Differential Allowance</v>
          </cell>
          <cell r="C47">
            <v>0</v>
          </cell>
          <cell r="D47">
            <v>0</v>
          </cell>
          <cell r="E47">
            <v>0</v>
          </cell>
          <cell r="F47">
            <v>88</v>
          </cell>
          <cell r="G47">
            <v>0</v>
          </cell>
          <cell r="H47">
            <v>100</v>
          </cell>
          <cell r="I47">
            <v>0</v>
          </cell>
        </row>
        <row r="48">
          <cell r="B48" t="str">
            <v>Additional allowance re CPP costs</v>
          </cell>
          <cell r="C48">
            <v>0</v>
          </cell>
          <cell r="D48">
            <v>398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2">
          <cell r="D52">
            <v>1441.9424059011546</v>
          </cell>
          <cell r="E52">
            <v>15901.822182833223</v>
          </cell>
          <cell r="F52">
            <v>20114.381984163552</v>
          </cell>
          <cell r="G52">
            <v>8940.1404286778888</v>
          </cell>
          <cell r="H52">
            <v>32021.139672085203</v>
          </cell>
          <cell r="I52">
            <v>0</v>
          </cell>
        </row>
        <row r="53">
          <cell r="D53">
            <v>1519.7549189429192</v>
          </cell>
          <cell r="E53">
            <v>16316.829993685353</v>
          </cell>
          <cell r="F53">
            <v>20732.191917402823</v>
          </cell>
          <cell r="G53">
            <v>9621.0957214322152</v>
          </cell>
          <cell r="H53">
            <v>32843.74221359138</v>
          </cell>
          <cell r="I53">
            <v>0</v>
          </cell>
        </row>
        <row r="54">
          <cell r="D54">
            <v>1563.671174188391</v>
          </cell>
          <cell r="E54">
            <v>16819.841302858753</v>
          </cell>
          <cell r="F54">
            <v>21474.685348780979</v>
          </cell>
          <cell r="G54">
            <v>9885.5236772615608</v>
          </cell>
          <cell r="H54">
            <v>33834.835502561131</v>
          </cell>
          <cell r="I54">
            <v>0</v>
          </cell>
        </row>
        <row r="55">
          <cell r="D55">
            <v>1611.2839967454174</v>
          </cell>
          <cell r="E55">
            <v>17363.573156339877</v>
          </cell>
          <cell r="F55">
            <v>22275.717896441238</v>
          </cell>
          <cell r="G55">
            <v>10274.136849181497</v>
          </cell>
          <cell r="H55">
            <v>34875.730239408309</v>
          </cell>
          <cell r="I55">
            <v>0</v>
          </cell>
        </row>
        <row r="56">
          <cell r="D56">
            <v>1666.1328304600859</v>
          </cell>
          <cell r="E56">
            <v>17990.587818225762</v>
          </cell>
          <cell r="F56">
            <v>23186.45019826627</v>
          </cell>
          <cell r="G56">
            <v>10572.491510943468</v>
          </cell>
          <cell r="H56">
            <v>36007.324676890094</v>
          </cell>
          <cell r="I56">
            <v>0</v>
          </cell>
        </row>
        <row r="57">
          <cell r="D57">
            <v>1714.2254871982109</v>
          </cell>
          <cell r="E57">
            <v>18538.69629719013</v>
          </cell>
          <cell r="F57">
            <v>23998.909131419758</v>
          </cell>
          <cell r="G57">
            <v>10794.917865550149</v>
          </cell>
          <cell r="H57">
            <v>36861.903845580382</v>
          </cell>
          <cell r="I57">
            <v>0</v>
          </cell>
        </row>
        <row r="58">
          <cell r="D58">
            <v>1761.2278946629556</v>
          </cell>
          <cell r="E58">
            <v>19032.145466113612</v>
          </cell>
          <cell r="F58">
            <v>24775.388569302981</v>
          </cell>
          <cell r="G58">
            <v>0</v>
          </cell>
          <cell r="H58">
            <v>37654.482075226901</v>
          </cell>
          <cell r="I58">
            <v>0</v>
          </cell>
        </row>
        <row r="61">
          <cell r="D61" t="e">
            <v>#N/A</v>
          </cell>
          <cell r="E61" t="e">
            <v>#N/A</v>
          </cell>
          <cell r="F61" t="e">
            <v>#N/A</v>
          </cell>
          <cell r="G61">
            <v>-1.0924385900531963E-2</v>
          </cell>
          <cell r="H61" t="e">
            <v>#N/A</v>
          </cell>
          <cell r="I61">
            <v>0</v>
          </cell>
        </row>
        <row r="62">
          <cell r="D62">
            <v>4.6859252345381967E-3</v>
          </cell>
          <cell r="E62">
            <v>4.845258271263678E-3</v>
          </cell>
          <cell r="F62">
            <v>6.2902358704752474E-3</v>
          </cell>
          <cell r="G62">
            <v>8.6478763596620177E-3</v>
          </cell>
          <cell r="H62">
            <v>1.302774990673306E-2</v>
          </cell>
          <cell r="I62">
            <v>0</v>
          </cell>
        </row>
        <row r="63">
          <cell r="D63">
            <v>4.6859252345381967E-3</v>
          </cell>
          <cell r="E63">
            <v>4.845258271263678E-3</v>
          </cell>
          <cell r="F63">
            <v>6.2902358704752474E-3</v>
          </cell>
          <cell r="G63">
            <v>-4.1138541039843761E-2</v>
          </cell>
          <cell r="H63">
            <v>-2.411975653237225E-3</v>
          </cell>
          <cell r="I63">
            <v>0</v>
          </cell>
        </row>
        <row r="64">
          <cell r="D64">
            <v>4.6859252345381967E-3</v>
          </cell>
          <cell r="E64">
            <v>4.845258271263678E-3</v>
          </cell>
          <cell r="F64">
            <v>6.2902358704752474E-3</v>
          </cell>
          <cell r="G64">
            <v>-6.0672360934851385E-2</v>
          </cell>
          <cell r="H64">
            <v>-1.0187872901963492E-2</v>
          </cell>
          <cell r="I64">
            <v>0</v>
          </cell>
        </row>
        <row r="65">
          <cell r="D65">
            <v>4.6859252345381967E-3</v>
          </cell>
          <cell r="E65">
            <v>4.845258271263678E-3</v>
          </cell>
          <cell r="F65">
            <v>6.2902358704752474E-3</v>
          </cell>
          <cell r="G65">
            <v>-6.0204778048143934E-2</v>
          </cell>
          <cell r="H65">
            <v>-7.1357375718283898E-3</v>
          </cell>
          <cell r="I65">
            <v>0</v>
          </cell>
        </row>
        <row r="66">
          <cell r="D66">
            <v>4.6859252345381967E-3</v>
          </cell>
          <cell r="E66">
            <v>4.845258271263678E-3</v>
          </cell>
          <cell r="F66">
            <v>6.2902358704752474E-3</v>
          </cell>
          <cell r="G66">
            <v>-6.1225527832922184E-2</v>
          </cell>
          <cell r="H66">
            <v>2.6772475423385549E-3</v>
          </cell>
          <cell r="I66">
            <v>0</v>
          </cell>
        </row>
        <row r="67">
          <cell r="D67">
            <v>4.6859252345381967E-3</v>
          </cell>
          <cell r="E67">
            <v>4.845258271263678E-3</v>
          </cell>
          <cell r="F67">
            <v>6.2902358704752474E-3</v>
          </cell>
          <cell r="G67">
            <v>-6.1722467954496402E-2</v>
          </cell>
          <cell r="H67">
            <v>2.6976240896474405E-3</v>
          </cell>
          <cell r="I67">
            <v>0</v>
          </cell>
        </row>
        <row r="68">
          <cell r="D68">
            <v>4.6859252345381967E-3</v>
          </cell>
          <cell r="E68">
            <v>4.845258271263678E-3</v>
          </cell>
          <cell r="F68">
            <v>6.2902358704752474E-3</v>
          </cell>
          <cell r="G68">
            <v>-4.8527663071627092E-2</v>
          </cell>
          <cell r="H68">
            <v>2.7178856080614742E-3</v>
          </cell>
          <cell r="I68">
            <v>0</v>
          </cell>
        </row>
        <row r="71">
          <cell r="D71">
            <v>657.04744068144294</v>
          </cell>
          <cell r="E71">
            <v>11120.622973548896</v>
          </cell>
          <cell r="F71">
            <v>22136.051897844605</v>
          </cell>
          <cell r="G71">
            <v>139.85406176504577</v>
          </cell>
          <cell r="H71">
            <v>11728.168033164666</v>
          </cell>
          <cell r="I71">
            <v>0</v>
          </cell>
          <cell r="K71">
            <v>664.66279924033074</v>
          </cell>
          <cell r="L71">
            <v>11524.270917883787</v>
          </cell>
          <cell r="M71">
            <v>21057.725957750477</v>
          </cell>
          <cell r="N71">
            <v>1984.430650011645</v>
          </cell>
          <cell r="O71">
            <v>18762.625170676667</v>
          </cell>
          <cell r="P71">
            <v>0</v>
          </cell>
        </row>
        <row r="72">
          <cell r="D72">
            <v>711.60956496671088</v>
          </cell>
          <cell r="E72">
            <v>10989.046783512918</v>
          </cell>
          <cell r="F72">
            <v>24450.323139028224</v>
          </cell>
          <cell r="G72">
            <v>310.11469176019443</v>
          </cell>
          <cell r="H72">
            <v>13815.969417898661</v>
          </cell>
          <cell r="I72">
            <v>0</v>
          </cell>
          <cell r="K72">
            <v>701.99351178390691</v>
          </cell>
          <cell r="L72">
            <v>11372.806412546583</v>
          </cell>
          <cell r="M72">
            <v>24996.674627150031</v>
          </cell>
          <cell r="N72">
            <v>4527.2982847144258</v>
          </cell>
          <cell r="O72">
            <v>25064.938147163852</v>
          </cell>
          <cell r="P72">
            <v>0</v>
          </cell>
        </row>
        <row r="73">
          <cell r="D73">
            <v>710.70166562255531</v>
          </cell>
          <cell r="E73">
            <v>11321.119422835327</v>
          </cell>
          <cell r="F73">
            <v>28853.425594311633</v>
          </cell>
          <cell r="G73">
            <v>2808.6303123154107</v>
          </cell>
          <cell r="H73">
            <v>23430.017091020971</v>
          </cell>
          <cell r="I73">
            <v>0</v>
          </cell>
          <cell r="K73">
            <v>737.20575176399313</v>
          </cell>
          <cell r="L73">
            <v>11453.152302874256</v>
          </cell>
          <cell r="M73">
            <v>28262.664390411992</v>
          </cell>
          <cell r="N73">
            <v>41863.701875665967</v>
          </cell>
          <cell r="O73">
            <v>43713.916307130734</v>
          </cell>
          <cell r="P73">
            <v>0</v>
          </cell>
        </row>
        <row r="74">
          <cell r="D74">
            <v>742.09065628983831</v>
          </cell>
          <cell r="E74">
            <v>12706.257816820122</v>
          </cell>
          <cell r="F74">
            <v>20412.487774098019</v>
          </cell>
          <cell r="G74">
            <v>163.81073279060431</v>
          </cell>
          <cell r="H74">
            <v>13393.003989574536</v>
          </cell>
          <cell r="I74">
            <v>0</v>
          </cell>
          <cell r="K74">
            <v>750.10227262131036</v>
          </cell>
          <cell r="L74">
            <v>12847.013533362624</v>
          </cell>
          <cell r="M74">
            <v>18472.857663029899</v>
          </cell>
          <cell r="N74">
            <v>2389.6483978258307</v>
          </cell>
          <cell r="O74">
            <v>19574.702809253293</v>
          </cell>
          <cell r="P74">
            <v>0</v>
          </cell>
        </row>
        <row r="75">
          <cell r="D75">
            <v>771.63100375479428</v>
          </cell>
          <cell r="E75">
            <v>13103.419643026316</v>
          </cell>
          <cell r="F75">
            <v>16666.903175429881</v>
          </cell>
          <cell r="G75">
            <v>152.55126804049794</v>
          </cell>
          <cell r="H75">
            <v>12221.331951816263</v>
          </cell>
          <cell r="I75">
            <v>0</v>
          </cell>
          <cell r="K75">
            <v>855.75525349322027</v>
          </cell>
          <cell r="L75">
            <v>13248.006497905786</v>
          </cell>
          <cell r="M75">
            <v>14983.851491772924</v>
          </cell>
          <cell r="N75">
            <v>2165.3685829035162</v>
          </cell>
          <cell r="O75">
            <v>17709.469935408491</v>
          </cell>
          <cell r="P75">
            <v>0</v>
          </cell>
        </row>
        <row r="76">
          <cell r="D76">
            <v>786.0547215869002</v>
          </cell>
          <cell r="E76">
            <v>13484.507096244981</v>
          </cell>
          <cell r="F76">
            <v>17052.90578825253</v>
          </cell>
          <cell r="G76">
            <v>219.63748195679881</v>
          </cell>
          <cell r="H76">
            <v>12385.915323491661</v>
          </cell>
          <cell r="I76">
            <v>0</v>
          </cell>
          <cell r="K76">
            <v>871.99305492495046</v>
          </cell>
          <cell r="L76">
            <v>13632.717669040825</v>
          </cell>
          <cell r="M76">
            <v>15179.548732492784</v>
          </cell>
          <cell r="N76">
            <v>3165.5228035932487</v>
          </cell>
          <cell r="O76">
            <v>17645.948402458398</v>
          </cell>
          <cell r="P76">
            <v>0</v>
          </cell>
        </row>
        <row r="77">
          <cell r="D77">
            <v>802.56187074022512</v>
          </cell>
          <cell r="E77">
            <v>13767.681745266125</v>
          </cell>
          <cell r="F77">
            <v>17411.016809805835</v>
          </cell>
          <cell r="G77">
            <v>0</v>
          </cell>
          <cell r="H77">
            <v>12646.019545284988</v>
          </cell>
          <cell r="I77">
            <v>0</v>
          </cell>
          <cell r="K77">
            <v>890.30490907837441</v>
          </cell>
          <cell r="L77">
            <v>13919.004740090682</v>
          </cell>
          <cell r="M77">
            <v>15498.319255875133</v>
          </cell>
          <cell r="N77">
            <v>0</v>
          </cell>
          <cell r="O77">
            <v>18016.513318910027</v>
          </cell>
          <cell r="P77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6</v>
          </cell>
          <cell r="H82">
            <v>0</v>
          </cell>
          <cell r="I82">
            <v>0</v>
          </cell>
        </row>
        <row r="83">
          <cell r="D83">
            <v>12</v>
          </cell>
          <cell r="E83">
            <v>12</v>
          </cell>
          <cell r="F83">
            <v>12</v>
          </cell>
          <cell r="G83">
            <v>12</v>
          </cell>
          <cell r="H83">
            <v>12</v>
          </cell>
          <cell r="I83">
            <v>0</v>
          </cell>
        </row>
        <row r="84">
          <cell r="D84">
            <v>12</v>
          </cell>
          <cell r="E84">
            <v>12</v>
          </cell>
          <cell r="F84">
            <v>12</v>
          </cell>
          <cell r="G84">
            <v>12</v>
          </cell>
          <cell r="H84">
            <v>12</v>
          </cell>
          <cell r="I84">
            <v>0</v>
          </cell>
        </row>
        <row r="85">
          <cell r="D85">
            <v>12</v>
          </cell>
          <cell r="E85">
            <v>12</v>
          </cell>
          <cell r="F85">
            <v>12</v>
          </cell>
          <cell r="G85">
            <v>12</v>
          </cell>
          <cell r="H85">
            <v>12</v>
          </cell>
          <cell r="I85">
            <v>0</v>
          </cell>
        </row>
        <row r="86">
          <cell r="D86">
            <v>12</v>
          </cell>
          <cell r="E86">
            <v>12</v>
          </cell>
          <cell r="F86">
            <v>12</v>
          </cell>
          <cell r="G86">
            <v>9</v>
          </cell>
          <cell r="H86">
            <v>12</v>
          </cell>
          <cell r="I86">
            <v>0</v>
          </cell>
        </row>
        <row r="87">
          <cell r="D87">
            <v>3</v>
          </cell>
          <cell r="E87">
            <v>3</v>
          </cell>
          <cell r="F87">
            <v>3</v>
          </cell>
          <cell r="G87">
            <v>0</v>
          </cell>
          <cell r="H87">
            <v>3</v>
          </cell>
          <cell r="I87">
            <v>0</v>
          </cell>
        </row>
        <row r="94">
          <cell r="D94">
            <v>3</v>
          </cell>
          <cell r="E94">
            <v>3</v>
          </cell>
          <cell r="F94">
            <v>3</v>
          </cell>
          <cell r="G94">
            <v>0</v>
          </cell>
          <cell r="H94">
            <v>3</v>
          </cell>
          <cell r="I94">
            <v>0</v>
          </cell>
        </row>
        <row r="95">
          <cell r="D95">
            <v>12</v>
          </cell>
          <cell r="E95">
            <v>12</v>
          </cell>
          <cell r="F95">
            <v>12</v>
          </cell>
          <cell r="G95">
            <v>12</v>
          </cell>
          <cell r="H95">
            <v>12</v>
          </cell>
          <cell r="I95">
            <v>0</v>
          </cell>
        </row>
        <row r="96">
          <cell r="D96">
            <v>12</v>
          </cell>
          <cell r="E96">
            <v>12</v>
          </cell>
          <cell r="F96">
            <v>12</v>
          </cell>
          <cell r="G96">
            <v>12</v>
          </cell>
          <cell r="H96">
            <v>12</v>
          </cell>
          <cell r="I96">
            <v>0</v>
          </cell>
        </row>
        <row r="97">
          <cell r="D97">
            <v>12</v>
          </cell>
          <cell r="E97">
            <v>12</v>
          </cell>
          <cell r="F97">
            <v>12</v>
          </cell>
          <cell r="G97">
            <v>12</v>
          </cell>
          <cell r="H97">
            <v>12</v>
          </cell>
          <cell r="I97">
            <v>0</v>
          </cell>
        </row>
        <row r="98">
          <cell r="D98">
            <v>12</v>
          </cell>
          <cell r="E98">
            <v>12</v>
          </cell>
          <cell r="F98">
            <v>12</v>
          </cell>
          <cell r="G98">
            <v>12</v>
          </cell>
          <cell r="H98">
            <v>12</v>
          </cell>
          <cell r="I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</row>
      </sheetData>
      <sheetData sheetId="2">
        <row r="2">
          <cell r="H2">
            <v>1</v>
          </cell>
        </row>
        <row r="4">
          <cell r="S4" t="str">
            <v>Ccforecast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s"/>
      <sheetName val="Results"/>
      <sheetName val="IntraYr"/>
      <sheetName val="Master"/>
      <sheetName val="GasNet_CC"/>
      <sheetName val="PowerCo"/>
      <sheetName val="Vector_Dist"/>
      <sheetName val="Maui"/>
      <sheetName val="Vector_Trans"/>
      <sheetName val="GasNet_Supp"/>
      <sheetName val="CPI"/>
    </sheetNames>
    <sheetDataSet>
      <sheetData sheetId="0"/>
      <sheetData sheetId="1">
        <row r="22">
          <cell r="B22" t="str">
            <v>Inputs Anchor</v>
          </cell>
          <cell r="C22">
            <v>0</v>
          </cell>
          <cell r="D22" t="str">
            <v>GasNet_CC</v>
          </cell>
          <cell r="E22" t="str">
            <v>Powerco</v>
          </cell>
          <cell r="F22" t="str">
            <v>Vector_Dist</v>
          </cell>
          <cell r="G22" t="str">
            <v>Maui</v>
          </cell>
          <cell r="H22" t="str">
            <v>Vector_Trans</v>
          </cell>
          <cell r="I22" t="str">
            <v>GasNet_Supp</v>
          </cell>
        </row>
        <row r="23">
          <cell r="B23" t="str">
            <v>Revenue through Prices</v>
          </cell>
          <cell r="D23">
            <v>4218.4803100000008</v>
          </cell>
          <cell r="E23">
            <v>44264.5435</v>
          </cell>
          <cell r="F23">
            <v>77777</v>
          </cell>
          <cell r="G23">
            <v>38541</v>
          </cell>
          <cell r="H23">
            <v>113468</v>
          </cell>
          <cell r="I23">
            <v>4218.4803100000008</v>
          </cell>
        </row>
        <row r="24">
          <cell r="B24" t="str">
            <v>Pass-through costs</v>
          </cell>
          <cell r="D24">
            <v>44.899550000000005</v>
          </cell>
          <cell r="E24">
            <v>1369.2731349999997</v>
          </cell>
          <cell r="F24">
            <v>1003.1098499999998</v>
          </cell>
          <cell r="G24">
            <v>500</v>
          </cell>
          <cell r="H24">
            <v>766.99468000000002</v>
          </cell>
          <cell r="I24">
            <v>44.899550000000005</v>
          </cell>
        </row>
        <row r="25">
          <cell r="B25" t="str">
            <v>Recoverable costs</v>
          </cell>
          <cell r="D25">
            <v>0</v>
          </cell>
          <cell r="E25">
            <v>0</v>
          </cell>
          <cell r="F25">
            <v>0</v>
          </cell>
          <cell r="G25">
            <v>240</v>
          </cell>
          <cell r="H25">
            <v>0</v>
          </cell>
          <cell r="I25">
            <v>0</v>
          </cell>
        </row>
        <row r="26">
          <cell r="B26" t="str">
            <v>Opening RAB 2010/11</v>
          </cell>
          <cell r="D26">
            <v>22484.106307484744</v>
          </cell>
          <cell r="E26">
            <v>320906.80357597553</v>
          </cell>
          <cell r="F26">
            <v>422970.3224954934</v>
          </cell>
          <cell r="G26">
            <v>301255</v>
          </cell>
          <cell r="H26">
            <v>486051.80246027705</v>
          </cell>
          <cell r="I26">
            <v>22484.106307484744</v>
          </cell>
        </row>
        <row r="27">
          <cell r="B27" t="str">
            <v>Total Depreciation</v>
          </cell>
          <cell r="D27">
            <v>892</v>
          </cell>
          <cell r="E27">
            <v>7826.9952091701352</v>
          </cell>
          <cell r="F27">
            <v>12593</v>
          </cell>
          <cell r="G27">
            <v>7121</v>
          </cell>
          <cell r="H27">
            <v>16828</v>
          </cell>
          <cell r="I27">
            <v>892</v>
          </cell>
        </row>
        <row r="28">
          <cell r="B28" t="str">
            <v>RAB of disposed assets</v>
          </cell>
          <cell r="D28">
            <v>0</v>
          </cell>
          <cell r="E28">
            <v>0</v>
          </cell>
          <cell r="F28">
            <v>328</v>
          </cell>
          <cell r="G28">
            <v>0</v>
          </cell>
          <cell r="H28">
            <v>450</v>
          </cell>
          <cell r="I28">
            <v>0</v>
          </cell>
        </row>
        <row r="29">
          <cell r="B29" t="str">
            <v>Gain/(loss) on sale of disposed assets</v>
          </cell>
          <cell r="D29">
            <v>0</v>
          </cell>
          <cell r="E29">
            <v>0</v>
          </cell>
          <cell r="F29">
            <v>585</v>
          </cell>
          <cell r="G29">
            <v>0</v>
          </cell>
          <cell r="H29">
            <v>531</v>
          </cell>
          <cell r="I29">
            <v>0</v>
          </cell>
        </row>
        <row r="30">
          <cell r="B30" t="str">
            <v>Value of commissioned assets</v>
          </cell>
          <cell r="D30">
            <v>715</v>
          </cell>
          <cell r="E30">
            <v>7775.6054301011363</v>
          </cell>
          <cell r="F30">
            <v>22745</v>
          </cell>
          <cell r="G30">
            <v>67</v>
          </cell>
          <cell r="H30">
            <v>11521</v>
          </cell>
          <cell r="I30">
            <v>715</v>
          </cell>
        </row>
        <row r="31">
          <cell r="B31" t="str">
            <v>Tax Depreciation</v>
          </cell>
          <cell r="D31">
            <v>787</v>
          </cell>
          <cell r="E31">
            <v>22606.893406940388</v>
          </cell>
          <cell r="F31">
            <v>26084</v>
          </cell>
          <cell r="G31">
            <v>4802</v>
          </cell>
          <cell r="H31">
            <v>13165</v>
          </cell>
          <cell r="I31">
            <v>787</v>
          </cell>
        </row>
        <row r="32">
          <cell r="B32" t="str">
            <v>Opening regulatory tax asset value 2010/11</v>
          </cell>
          <cell r="D32">
            <v>5785</v>
          </cell>
          <cell r="E32">
            <v>227938.067667247</v>
          </cell>
          <cell r="F32">
            <v>223466</v>
          </cell>
          <cell r="G32">
            <v>57040</v>
          </cell>
          <cell r="H32">
            <v>109768</v>
          </cell>
          <cell r="I32">
            <v>5785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Other regulated income</v>
          </cell>
          <cell r="C34">
            <v>0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  <cell r="I34">
            <v>13.25</v>
          </cell>
        </row>
        <row r="35">
          <cell r="B35" t="str">
            <v>Operating expenditure</v>
          </cell>
          <cell r="D35">
            <v>1332.3170536123812</v>
          </cell>
          <cell r="E35">
            <v>15396.216399752841</v>
          </cell>
          <cell r="F35">
            <v>19395</v>
          </cell>
          <cell r="G35">
            <v>8768</v>
          </cell>
          <cell r="H35">
            <v>30610</v>
          </cell>
          <cell r="I35">
            <v>1332.3170536123812</v>
          </cell>
        </row>
        <row r="36">
          <cell r="B36" t="str">
            <v>Opening RAB 2009/10</v>
          </cell>
          <cell r="D36">
            <v>22386</v>
          </cell>
          <cell r="E36">
            <v>312784.99132013501</v>
          </cell>
          <cell r="F36">
            <v>417809.19948243757</v>
          </cell>
          <cell r="G36">
            <v>301325</v>
          </cell>
          <cell r="H36">
            <v>485183.2976444278</v>
          </cell>
          <cell r="I36">
            <v>22386</v>
          </cell>
        </row>
        <row r="37">
          <cell r="B37" t="str">
            <v>Disposed assets 2009/10</v>
          </cell>
          <cell r="D37">
            <v>0</v>
          </cell>
          <cell r="E37">
            <v>0</v>
          </cell>
          <cell r="F37">
            <v>723</v>
          </cell>
          <cell r="G37">
            <v>0</v>
          </cell>
          <cell r="H37">
            <v>317</v>
          </cell>
          <cell r="I37">
            <v>0</v>
          </cell>
        </row>
        <row r="38">
          <cell r="B38" t="str">
            <v>Value of commissioned assets, 2009/10</v>
          </cell>
          <cell r="D38">
            <v>570</v>
          </cell>
          <cell r="E38">
            <v>11393</v>
          </cell>
          <cell r="F38">
            <v>12363</v>
          </cell>
          <cell r="G38">
            <v>376</v>
          </cell>
          <cell r="H38">
            <v>14510</v>
          </cell>
          <cell r="I38">
            <v>570</v>
          </cell>
        </row>
        <row r="39">
          <cell r="B39" t="str">
            <v>Opening regulatory tax asset value 2009/10</v>
          </cell>
          <cell r="D39">
            <v>5785</v>
          </cell>
          <cell r="E39">
            <v>246115</v>
          </cell>
          <cell r="F39">
            <v>240659</v>
          </cell>
          <cell r="G39">
            <v>61857</v>
          </cell>
          <cell r="H39">
            <v>109726.6850092409</v>
          </cell>
          <cell r="I39">
            <v>5785</v>
          </cell>
        </row>
        <row r="40">
          <cell r="B40" t="str">
            <v>Tax Depreciation 2009/10</v>
          </cell>
          <cell r="D40">
            <v>788</v>
          </cell>
          <cell r="E40">
            <v>24426</v>
          </cell>
          <cell r="F40">
            <v>26719</v>
          </cell>
          <cell r="G40">
            <v>4847</v>
          </cell>
          <cell r="H40">
            <v>13396.385181650627</v>
          </cell>
          <cell r="I40">
            <v>788</v>
          </cell>
        </row>
        <row r="41">
          <cell r="B41" t="str">
            <v>Weighted Average Remaining Life at year-end 2009/10</v>
          </cell>
          <cell r="D41">
            <v>31.775593173695835</v>
          </cell>
          <cell r="E41">
            <v>42</v>
          </cell>
          <cell r="F41">
            <v>43</v>
          </cell>
          <cell r="G41" t="str">
            <v>N/A</v>
          </cell>
          <cell r="H41" t="str">
            <v>N/A</v>
          </cell>
          <cell r="I41">
            <v>31.775593173695835</v>
          </cell>
        </row>
        <row r="42">
          <cell r="B42" t="str">
            <v>Use Weighted Average Price Cap or Total Revenue Cap</v>
          </cell>
          <cell r="C42">
            <v>0</v>
          </cell>
          <cell r="D42" t="str">
            <v>WAPC</v>
          </cell>
          <cell r="E42" t="str">
            <v>WAPC</v>
          </cell>
          <cell r="F42" t="str">
            <v>WAPC</v>
          </cell>
          <cell r="G42" t="str">
            <v>TRC</v>
          </cell>
          <cell r="H42" t="str">
            <v>TRC</v>
          </cell>
          <cell r="I42" t="str">
            <v>WAPC</v>
          </cell>
        </row>
        <row r="43">
          <cell r="B43" t="str">
            <v>Use Deferred Tax approach or Tax Payable approach</v>
          </cell>
          <cell r="D43" t="str">
            <v>Deferred</v>
          </cell>
          <cell r="E43" t="str">
            <v>Deferred</v>
          </cell>
          <cell r="F43" t="str">
            <v>Deferred</v>
          </cell>
          <cell r="G43" t="str">
            <v xml:space="preserve">T Payable </v>
          </cell>
          <cell r="H43" t="str">
            <v xml:space="preserve">T Payable </v>
          </cell>
          <cell r="I43" t="str">
            <v>Deferred</v>
          </cell>
        </row>
        <row r="44">
          <cell r="B44" t="str">
            <v>Supplier-specific X value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Information &amp; building blocks year-end</v>
          </cell>
          <cell r="D45" t="str">
            <v xml:space="preserve">June </v>
          </cell>
          <cell r="E45" t="str">
            <v xml:space="preserve">June </v>
          </cell>
          <cell r="F45" t="str">
            <v xml:space="preserve">June </v>
          </cell>
          <cell r="G45" t="str">
            <v>December</v>
          </cell>
          <cell r="H45" t="str">
            <v xml:space="preserve">June </v>
          </cell>
          <cell r="I45" t="str">
            <v xml:space="preserve">June </v>
          </cell>
        </row>
        <row r="46">
          <cell r="B46" t="str">
            <v>Pricing &amp; allowed revenue year-end</v>
          </cell>
          <cell r="D46" t="str">
            <v xml:space="preserve">September </v>
          </cell>
          <cell r="E46" t="str">
            <v xml:space="preserve">September </v>
          </cell>
          <cell r="F46" t="str">
            <v xml:space="preserve">September </v>
          </cell>
          <cell r="G46" t="str">
            <v>June</v>
          </cell>
          <cell r="H46" t="str">
            <v xml:space="preserve">September </v>
          </cell>
          <cell r="I46" t="str">
            <v xml:space="preserve">September </v>
          </cell>
        </row>
        <row r="47">
          <cell r="B47" t="str">
            <v>Term Credit Spread Differential Allowance</v>
          </cell>
          <cell r="C47">
            <v>0</v>
          </cell>
          <cell r="D47">
            <v>0</v>
          </cell>
          <cell r="E47">
            <v>0</v>
          </cell>
          <cell r="F47">
            <v>88</v>
          </cell>
          <cell r="G47">
            <v>0</v>
          </cell>
          <cell r="H47">
            <v>100</v>
          </cell>
          <cell r="I47">
            <v>0</v>
          </cell>
        </row>
        <row r="48">
          <cell r="B48" t="str">
            <v>Additional allowance re CPP costs</v>
          </cell>
          <cell r="D48">
            <v>398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  <sheetData sheetId="2">
        <row r="11">
          <cell r="E11">
            <v>-3.4738345069688967E-2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s"/>
      <sheetName val="Results"/>
      <sheetName val="IntraYr"/>
      <sheetName val="Master"/>
      <sheetName val="GasNet_CC"/>
      <sheetName val="PowerCo"/>
      <sheetName val="Vector_Dist"/>
      <sheetName val="Maui"/>
      <sheetName val="Vector_Trans"/>
      <sheetName val="GasNet_Supp"/>
      <sheetName val="CPI"/>
    </sheetNames>
    <sheetDataSet>
      <sheetData sheetId="0"/>
      <sheetData sheetId="1">
        <row r="22">
          <cell r="B22" t="str">
            <v>Inputs Anchor</v>
          </cell>
          <cell r="C22">
            <v>0</v>
          </cell>
          <cell r="D22" t="str">
            <v>GasNet_CC</v>
          </cell>
          <cell r="E22" t="str">
            <v>Powerco</v>
          </cell>
          <cell r="F22" t="str">
            <v>Vector_Dist</v>
          </cell>
          <cell r="G22" t="str">
            <v>Maui</v>
          </cell>
          <cell r="H22" t="str">
            <v>Vector_Trans</v>
          </cell>
          <cell r="I22" t="str">
            <v>GasNet_Supp</v>
          </cell>
        </row>
        <row r="23">
          <cell r="B23" t="str">
            <v>Revenue through Prices</v>
          </cell>
          <cell r="D23">
            <v>4218.4803100000008</v>
          </cell>
          <cell r="E23">
            <v>44264.5435</v>
          </cell>
          <cell r="F23">
            <v>77777</v>
          </cell>
          <cell r="G23">
            <v>38541</v>
          </cell>
          <cell r="H23">
            <v>113468</v>
          </cell>
          <cell r="I23">
            <v>4218.4803100000008</v>
          </cell>
        </row>
        <row r="24">
          <cell r="B24" t="str">
            <v>Pass-through costs</v>
          </cell>
          <cell r="D24">
            <v>44.899550000000005</v>
          </cell>
          <cell r="E24">
            <v>1369.2731349999997</v>
          </cell>
          <cell r="F24">
            <v>1003.1098499999998</v>
          </cell>
          <cell r="G24">
            <v>500</v>
          </cell>
          <cell r="H24">
            <v>766.99468000000002</v>
          </cell>
          <cell r="I24">
            <v>44.899550000000005</v>
          </cell>
        </row>
        <row r="25">
          <cell r="B25" t="str">
            <v>Recoverable costs</v>
          </cell>
          <cell r="D25">
            <v>0</v>
          </cell>
          <cell r="E25">
            <v>0</v>
          </cell>
          <cell r="F25">
            <v>0</v>
          </cell>
          <cell r="G25">
            <v>240</v>
          </cell>
          <cell r="H25">
            <v>0</v>
          </cell>
          <cell r="I25">
            <v>0</v>
          </cell>
        </row>
        <row r="26">
          <cell r="B26" t="str">
            <v>Opening RAB 2010/11</v>
          </cell>
          <cell r="D26">
            <v>22484.106307484744</v>
          </cell>
          <cell r="E26">
            <v>320906.80357597553</v>
          </cell>
          <cell r="F26">
            <v>422970.3224954934</v>
          </cell>
          <cell r="G26">
            <v>301255</v>
          </cell>
          <cell r="H26">
            <v>486051.80246027705</v>
          </cell>
          <cell r="I26">
            <v>22484.106307484744</v>
          </cell>
        </row>
        <row r="27">
          <cell r="B27" t="str">
            <v>Total Depreciation</v>
          </cell>
          <cell r="D27">
            <v>892</v>
          </cell>
          <cell r="E27">
            <v>7826.9952091701352</v>
          </cell>
          <cell r="F27">
            <v>12593</v>
          </cell>
          <cell r="G27">
            <v>7121</v>
          </cell>
          <cell r="H27">
            <v>16828</v>
          </cell>
          <cell r="I27">
            <v>892</v>
          </cell>
        </row>
        <row r="28">
          <cell r="B28" t="str">
            <v>RAB of disposed assets</v>
          </cell>
          <cell r="D28">
            <v>0</v>
          </cell>
          <cell r="E28">
            <v>0</v>
          </cell>
          <cell r="F28">
            <v>328</v>
          </cell>
          <cell r="G28">
            <v>0</v>
          </cell>
          <cell r="H28">
            <v>450</v>
          </cell>
          <cell r="I28">
            <v>0</v>
          </cell>
        </row>
        <row r="29">
          <cell r="B29" t="str">
            <v>Gain/(loss) on sale of disposed assets</v>
          </cell>
          <cell r="D29">
            <v>0</v>
          </cell>
          <cell r="E29">
            <v>0</v>
          </cell>
          <cell r="F29">
            <v>585</v>
          </cell>
          <cell r="G29">
            <v>0</v>
          </cell>
          <cell r="H29">
            <v>531</v>
          </cell>
          <cell r="I29">
            <v>0</v>
          </cell>
        </row>
        <row r="30">
          <cell r="B30" t="str">
            <v>Value of commissioned assets</v>
          </cell>
          <cell r="D30">
            <v>715</v>
          </cell>
          <cell r="E30">
            <v>7775.6054301011363</v>
          </cell>
          <cell r="F30">
            <v>22745</v>
          </cell>
          <cell r="G30">
            <v>67</v>
          </cell>
          <cell r="H30">
            <v>11521</v>
          </cell>
          <cell r="I30">
            <v>715</v>
          </cell>
        </row>
        <row r="31">
          <cell r="B31" t="str">
            <v>Tax Depreciation</v>
          </cell>
          <cell r="D31">
            <v>787</v>
          </cell>
          <cell r="E31">
            <v>22606.893406940388</v>
          </cell>
          <cell r="F31">
            <v>26084</v>
          </cell>
          <cell r="G31">
            <v>4802</v>
          </cell>
          <cell r="H31">
            <v>13165</v>
          </cell>
          <cell r="I31">
            <v>787</v>
          </cell>
        </row>
        <row r="32">
          <cell r="B32" t="str">
            <v>Opening regulatory tax asset value 2010/11</v>
          </cell>
          <cell r="D32">
            <v>5785</v>
          </cell>
          <cell r="E32">
            <v>227938.067667247</v>
          </cell>
          <cell r="F32">
            <v>223466</v>
          </cell>
          <cell r="G32">
            <v>57040</v>
          </cell>
          <cell r="H32">
            <v>109768</v>
          </cell>
          <cell r="I32">
            <v>5785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Other regulated income</v>
          </cell>
          <cell r="C34">
            <v>0</v>
          </cell>
          <cell r="D34">
            <v>13.25</v>
          </cell>
          <cell r="E34">
            <v>146.19932499999999</v>
          </cell>
          <cell r="F34">
            <v>0</v>
          </cell>
          <cell r="G34">
            <v>0</v>
          </cell>
          <cell r="H34">
            <v>0</v>
          </cell>
          <cell r="I34">
            <v>13.25</v>
          </cell>
        </row>
        <row r="35">
          <cell r="B35" t="str">
            <v>Operating expenditure</v>
          </cell>
          <cell r="D35">
            <v>1332.3170536123812</v>
          </cell>
          <cell r="E35">
            <v>15396.216399752841</v>
          </cell>
          <cell r="F35">
            <v>19395</v>
          </cell>
          <cell r="G35">
            <v>8768</v>
          </cell>
          <cell r="H35">
            <v>30610</v>
          </cell>
          <cell r="I35">
            <v>1332.3170536123812</v>
          </cell>
        </row>
        <row r="36">
          <cell r="B36" t="str">
            <v>Opening RAB 2009/10</v>
          </cell>
          <cell r="D36">
            <v>22386</v>
          </cell>
          <cell r="E36">
            <v>312784.99132013501</v>
          </cell>
          <cell r="F36">
            <v>417809.19948243757</v>
          </cell>
          <cell r="G36">
            <v>301325</v>
          </cell>
          <cell r="H36">
            <v>485183.2976444278</v>
          </cell>
          <cell r="I36">
            <v>22386</v>
          </cell>
        </row>
        <row r="37">
          <cell r="B37" t="str">
            <v>Disposed assets 2009/10</v>
          </cell>
          <cell r="D37">
            <v>0</v>
          </cell>
          <cell r="E37">
            <v>0</v>
          </cell>
          <cell r="F37">
            <v>723</v>
          </cell>
          <cell r="G37">
            <v>0</v>
          </cell>
          <cell r="H37">
            <v>317</v>
          </cell>
          <cell r="I37">
            <v>0</v>
          </cell>
        </row>
        <row r="38">
          <cell r="B38" t="str">
            <v>Value of commissioned assets, 2009/10</v>
          </cell>
          <cell r="D38">
            <v>570</v>
          </cell>
          <cell r="E38">
            <v>11393</v>
          </cell>
          <cell r="F38">
            <v>12363</v>
          </cell>
          <cell r="G38">
            <v>376</v>
          </cell>
          <cell r="H38">
            <v>14510</v>
          </cell>
          <cell r="I38">
            <v>570</v>
          </cell>
        </row>
        <row r="39">
          <cell r="B39" t="str">
            <v>Opening regulatory tax asset value 2009/10</v>
          </cell>
          <cell r="D39">
            <v>5785</v>
          </cell>
          <cell r="E39">
            <v>246115</v>
          </cell>
          <cell r="F39">
            <v>240659</v>
          </cell>
          <cell r="G39">
            <v>61857</v>
          </cell>
          <cell r="H39">
            <v>109726.6850092409</v>
          </cell>
          <cell r="I39">
            <v>5785</v>
          </cell>
        </row>
        <row r="40">
          <cell r="B40" t="str">
            <v>Tax Depreciation 2009/10</v>
          </cell>
          <cell r="D40">
            <v>788</v>
          </cell>
          <cell r="E40">
            <v>24426</v>
          </cell>
          <cell r="F40">
            <v>26719</v>
          </cell>
          <cell r="G40">
            <v>4847</v>
          </cell>
          <cell r="H40">
            <v>13396.385181650627</v>
          </cell>
          <cell r="I40">
            <v>788</v>
          </cell>
        </row>
        <row r="41">
          <cell r="B41" t="str">
            <v>Weighted Average Remaining Life at year-end 2009/10</v>
          </cell>
          <cell r="D41">
            <v>31.775593173695835</v>
          </cell>
          <cell r="E41">
            <v>42</v>
          </cell>
          <cell r="F41">
            <v>43</v>
          </cell>
          <cell r="G41" t="str">
            <v>N/A</v>
          </cell>
          <cell r="H41" t="str">
            <v>N/A</v>
          </cell>
          <cell r="I41">
            <v>31.775593173695835</v>
          </cell>
        </row>
        <row r="42">
          <cell r="B42" t="str">
            <v>Use Weighted Average Price Cap or Total Revenue Cap</v>
          </cell>
          <cell r="C42">
            <v>0</v>
          </cell>
          <cell r="D42" t="str">
            <v>WAPC</v>
          </cell>
          <cell r="E42" t="str">
            <v>WAPC</v>
          </cell>
          <cell r="F42" t="str">
            <v>WAPC</v>
          </cell>
          <cell r="G42" t="str">
            <v>TRC</v>
          </cell>
          <cell r="H42" t="str">
            <v>TRC</v>
          </cell>
          <cell r="I42" t="str">
            <v>WAPC</v>
          </cell>
        </row>
        <row r="43">
          <cell r="B43" t="str">
            <v>Use Deferred Tax approach or Tax Payable approach</v>
          </cell>
          <cell r="D43" t="str">
            <v>Deferred</v>
          </cell>
          <cell r="E43" t="str">
            <v>Deferred</v>
          </cell>
          <cell r="F43" t="str">
            <v>Deferred</v>
          </cell>
          <cell r="G43" t="str">
            <v xml:space="preserve">T Payable </v>
          </cell>
          <cell r="H43" t="str">
            <v xml:space="preserve">T Payable </v>
          </cell>
          <cell r="I43" t="str">
            <v>Deferred</v>
          </cell>
        </row>
        <row r="44">
          <cell r="B44" t="str">
            <v>Supplier-specific X value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Information &amp; building blocks year-end</v>
          </cell>
          <cell r="D45" t="str">
            <v xml:space="preserve">June </v>
          </cell>
          <cell r="E45" t="str">
            <v xml:space="preserve">June </v>
          </cell>
          <cell r="F45" t="str">
            <v xml:space="preserve">June </v>
          </cell>
          <cell r="G45" t="str">
            <v>December</v>
          </cell>
          <cell r="H45" t="str">
            <v xml:space="preserve">June </v>
          </cell>
          <cell r="I45" t="str">
            <v xml:space="preserve">June </v>
          </cell>
        </row>
        <row r="46">
          <cell r="B46" t="str">
            <v>Pricing &amp; allowed revenue year-end</v>
          </cell>
          <cell r="D46" t="str">
            <v xml:space="preserve">September </v>
          </cell>
          <cell r="E46" t="str">
            <v xml:space="preserve">September </v>
          </cell>
          <cell r="F46" t="str">
            <v xml:space="preserve">September </v>
          </cell>
          <cell r="G46" t="str">
            <v>June</v>
          </cell>
          <cell r="H46" t="str">
            <v xml:space="preserve">September </v>
          </cell>
          <cell r="I46" t="str">
            <v xml:space="preserve">September </v>
          </cell>
        </row>
        <row r="47">
          <cell r="B47" t="str">
            <v>Term Credit Spread Differential Allowance</v>
          </cell>
          <cell r="C47">
            <v>0</v>
          </cell>
          <cell r="D47">
            <v>0</v>
          </cell>
          <cell r="E47">
            <v>0</v>
          </cell>
          <cell r="F47">
            <v>88</v>
          </cell>
          <cell r="G47">
            <v>0</v>
          </cell>
          <cell r="H47">
            <v>100</v>
          </cell>
          <cell r="I47">
            <v>0</v>
          </cell>
        </row>
        <row r="48">
          <cell r="B48" t="str">
            <v>Additional allowance re CPP costs</v>
          </cell>
          <cell r="D48">
            <v>398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  <sheetData sheetId="2">
        <row r="11">
          <cell r="E11">
            <v>-3.4738345069688967E-2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>
    <pageSetUpPr fitToPage="1"/>
  </sheetPr>
  <dimension ref="A2:T52"/>
  <sheetViews>
    <sheetView tabSelected="1" workbookViewId="0"/>
  </sheetViews>
  <sheetFormatPr defaultRowHeight="15"/>
  <cols>
    <col min="1" max="1" width="4.42578125" customWidth="1"/>
    <col min="2" max="2" width="13" customWidth="1"/>
  </cols>
  <sheetData>
    <row r="2" spans="2:20" ht="23.25">
      <c r="B2" s="2" t="s">
        <v>266</v>
      </c>
      <c r="C2" s="2"/>
      <c r="D2" s="2"/>
      <c r="E2" s="2"/>
      <c r="F2" s="2"/>
      <c r="G2" s="2"/>
      <c r="H2" s="2"/>
      <c r="I2" s="2"/>
      <c r="J2" s="2"/>
    </row>
    <row r="5" spans="2:20" ht="21">
      <c r="B5" s="3" t="s">
        <v>0</v>
      </c>
      <c r="C5" s="3"/>
    </row>
    <row r="7" spans="2:20">
      <c r="B7" s="38" t="s">
        <v>103</v>
      </c>
    </row>
    <row r="8" spans="2:20">
      <c r="B8" s="74" t="s">
        <v>267</v>
      </c>
    </row>
    <row r="10" spans="2:20" ht="21">
      <c r="B10" s="3" t="s">
        <v>6</v>
      </c>
      <c r="C10" s="3"/>
      <c r="P10" s="74"/>
      <c r="Q10" s="74"/>
      <c r="R10" s="74"/>
      <c r="S10" s="74"/>
      <c r="T10" s="74"/>
    </row>
    <row r="11" spans="2:20" s="74" customFormat="1" ht="3.75" customHeight="1"/>
    <row r="12" spans="2:20" s="74" customFormat="1">
      <c r="B12" s="74" t="s">
        <v>475</v>
      </c>
    </row>
    <row r="13" spans="2:20" s="74" customFormat="1"/>
    <row r="14" spans="2:20" s="74" customFormat="1"/>
    <row r="15" spans="2:20" s="38" customFormat="1"/>
    <row r="16" spans="2:20" ht="21">
      <c r="B16" s="3" t="s">
        <v>9</v>
      </c>
    </row>
    <row r="17" spans="1:17">
      <c r="A17" s="39">
        <v>1</v>
      </c>
      <c r="B17" s="38" t="s">
        <v>77</v>
      </c>
    </row>
    <row r="18" spans="1:17" s="38" customFormat="1">
      <c r="B18" s="38" t="s">
        <v>438</v>
      </c>
    </row>
    <row r="19" spans="1:17" s="38" customFormat="1">
      <c r="B19" s="38" t="s">
        <v>439</v>
      </c>
    </row>
    <row r="20" spans="1:17" s="38" customFormat="1">
      <c r="B20" s="38" t="s">
        <v>78</v>
      </c>
    </row>
    <row r="21" spans="1:17" s="38" customFormat="1">
      <c r="B21" s="38" t="s">
        <v>80</v>
      </c>
    </row>
    <row r="22" spans="1:17" s="38" customFormat="1">
      <c r="B22" s="10"/>
    </row>
    <row r="23" spans="1:17" s="38" customFormat="1">
      <c r="A23" s="39">
        <f>A17+1</f>
        <v>2</v>
      </c>
      <c r="B23" s="74" t="s">
        <v>476</v>
      </c>
    </row>
    <row r="24" spans="1:17" s="38" customFormat="1"/>
    <row r="25" spans="1:17" s="38" customFormat="1">
      <c r="A25" s="39">
        <f>A23+1</f>
        <v>3</v>
      </c>
      <c r="B25" s="38" t="s">
        <v>83</v>
      </c>
    </row>
    <row r="26" spans="1:17" s="38" customFormat="1">
      <c r="B26" s="74" t="s">
        <v>268</v>
      </c>
    </row>
    <row r="27" spans="1:17" s="38" customFormat="1">
      <c r="B27" s="74"/>
    </row>
    <row r="28" spans="1:17" s="38" customFormat="1"/>
    <row r="29" spans="1:17" s="38" customFormat="1"/>
    <row r="30" spans="1:17" s="38" customFormat="1"/>
    <row r="31" spans="1:17" s="38" customFormat="1"/>
    <row r="32" spans="1:17" s="38" customFormat="1">
      <c r="K32" s="74"/>
      <c r="L32" s="74"/>
      <c r="M32" s="74"/>
      <c r="N32" s="74"/>
      <c r="O32" s="74"/>
      <c r="P32" s="74"/>
      <c r="Q32" s="74"/>
    </row>
    <row r="33" spans="1:18" s="38" customFormat="1"/>
    <row r="34" spans="1:18" s="38" customFormat="1"/>
    <row r="35" spans="1:18" s="38" customFormat="1"/>
    <row r="36" spans="1:18" s="38" customFormat="1"/>
    <row r="37" spans="1:18" s="38" customFormat="1"/>
    <row r="38" spans="1:18" s="38" customFormat="1"/>
    <row r="39" spans="1:18" s="38" customFormat="1"/>
    <row r="40" spans="1:18" s="38" customFormat="1"/>
    <row r="41" spans="1:18" s="38" customFormat="1"/>
    <row r="42" spans="1:18" s="38" customFormat="1" ht="21">
      <c r="A42" s="71" t="s">
        <v>131</v>
      </c>
    </row>
    <row r="43" spans="1:18" s="38" customFormat="1" ht="21">
      <c r="A43" s="71" t="s">
        <v>81</v>
      </c>
    </row>
    <row r="44" spans="1:18" s="38" customFormat="1"/>
    <row r="45" spans="1:18">
      <c r="C45" s="38"/>
      <c r="D45" s="38"/>
      <c r="E45" s="38"/>
      <c r="F45" s="38"/>
      <c r="G45" s="38"/>
      <c r="H45" s="38"/>
      <c r="I45" s="38"/>
      <c r="J45" s="38"/>
      <c r="K45" s="38"/>
    </row>
    <row r="46" spans="1:18" ht="21">
      <c r="B46" s="3" t="s">
        <v>63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8" s="38" customFormat="1">
      <c r="B47" s="81" t="s">
        <v>79</v>
      </c>
      <c r="C47" s="33"/>
      <c r="D47" s="33"/>
      <c r="E47" s="33"/>
      <c r="F47" s="33"/>
      <c r="G47" s="33"/>
    </row>
    <row r="48" spans="1:18" ht="46.5">
      <c r="B48" s="12" t="s">
        <v>7</v>
      </c>
      <c r="C48" s="14" t="s">
        <v>153</v>
      </c>
      <c r="D48" s="14" t="s">
        <v>155</v>
      </c>
      <c r="E48" s="14" t="s">
        <v>156</v>
      </c>
      <c r="F48" s="14" t="s">
        <v>154</v>
      </c>
      <c r="G48" s="14" t="s">
        <v>157</v>
      </c>
      <c r="H48" s="14"/>
      <c r="I48" s="14"/>
      <c r="J48" s="14"/>
      <c r="L48" s="14"/>
      <c r="M48" s="14"/>
      <c r="N48" s="14"/>
      <c r="O48" s="14"/>
      <c r="P48" s="14"/>
      <c r="Q48" s="14"/>
      <c r="R48" s="14"/>
    </row>
    <row r="49" spans="1:18" ht="48" customHeight="1">
      <c r="B49" s="74"/>
      <c r="C49" s="14" t="s">
        <v>153</v>
      </c>
      <c r="D49" s="14" t="s">
        <v>155</v>
      </c>
      <c r="E49" s="14" t="s">
        <v>156</v>
      </c>
      <c r="F49" s="14" t="s">
        <v>154</v>
      </c>
      <c r="G49" s="14" t="s">
        <v>157</v>
      </c>
      <c r="H49" s="14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5.75" thickBot="1"/>
    <row r="51" spans="1:18" ht="15.75" thickTop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>
      <c r="C52" s="74"/>
      <c r="D52" s="74"/>
      <c r="E52" s="74"/>
      <c r="F52" s="74"/>
      <c r="G52" s="74"/>
      <c r="H52" s="74"/>
    </row>
  </sheetData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9" tint="0.79998168889431442"/>
    <pageSetUpPr fitToPage="1"/>
  </sheetPr>
  <dimension ref="A1:BJ848"/>
  <sheetViews>
    <sheetView zoomScaleNormal="100" workbookViewId="0"/>
  </sheetViews>
  <sheetFormatPr defaultRowHeight="15"/>
  <cols>
    <col min="1" max="2" width="4.140625" style="74" customWidth="1"/>
    <col min="3" max="3" width="46" style="74" customWidth="1"/>
    <col min="4" max="4" width="9.140625" style="74" customWidth="1"/>
    <col min="5" max="13" width="9.85546875" style="74" customWidth="1"/>
    <col min="14" max="14" width="3" style="74" customWidth="1"/>
    <col min="15" max="15" width="19.5703125" style="74" customWidth="1"/>
    <col min="16" max="16" width="16.28515625" style="74" customWidth="1"/>
    <col min="17" max="17" width="4.42578125" style="74" customWidth="1"/>
    <col min="18" max="19" width="9.140625" style="74" customWidth="1"/>
    <col min="20" max="20" width="13.85546875" style="74" customWidth="1"/>
    <col min="21" max="16384" width="9.140625" style="74"/>
  </cols>
  <sheetData>
    <row r="1" spans="1:19" ht="23.25">
      <c r="A1" s="232"/>
      <c r="C1" s="2" t="str">
        <f ca="1">OFFSET(Inputs_Anchor,0,G1+1)</f>
        <v>Vector_Trans</v>
      </c>
      <c r="D1" s="2"/>
      <c r="E1" s="2"/>
      <c r="F1" s="6" t="s">
        <v>74</v>
      </c>
      <c r="G1" s="7">
        <v>5</v>
      </c>
      <c r="H1" s="2"/>
      <c r="I1" s="2"/>
      <c r="J1" s="2"/>
      <c r="K1" s="2"/>
      <c r="L1" s="2"/>
      <c r="M1" s="2"/>
      <c r="N1" s="2"/>
      <c r="O1" s="228"/>
      <c r="P1" s="228"/>
      <c r="Q1" s="228"/>
      <c r="R1" s="228"/>
      <c r="S1" s="228"/>
    </row>
    <row r="2" spans="1:19">
      <c r="O2" s="29"/>
      <c r="P2" s="80"/>
      <c r="Q2" s="80"/>
      <c r="R2" s="80"/>
      <c r="S2" s="80"/>
    </row>
    <row r="3" spans="1:19" ht="21">
      <c r="C3" s="3" t="s">
        <v>194</v>
      </c>
      <c r="O3" s="80"/>
      <c r="P3" s="80"/>
      <c r="Q3" s="80"/>
      <c r="R3" s="80"/>
      <c r="S3" s="80"/>
    </row>
    <row r="4" spans="1:19">
      <c r="O4" s="80"/>
      <c r="P4" s="80"/>
      <c r="Q4" s="80"/>
      <c r="R4" s="80"/>
      <c r="S4" s="80"/>
    </row>
    <row r="5" spans="1:19">
      <c r="C5" s="74" t="s">
        <v>212</v>
      </c>
      <c r="E5" s="81">
        <v>2010</v>
      </c>
      <c r="F5" s="81">
        <v>2011</v>
      </c>
      <c r="G5" s="81">
        <v>2012</v>
      </c>
      <c r="H5" s="81">
        <v>2013</v>
      </c>
      <c r="I5" s="81">
        <v>2014</v>
      </c>
      <c r="J5" s="81">
        <v>2015</v>
      </c>
      <c r="K5" s="81">
        <v>2016</v>
      </c>
      <c r="L5" s="81">
        <v>2017</v>
      </c>
      <c r="M5" s="81">
        <v>2018</v>
      </c>
      <c r="N5" s="21"/>
      <c r="O5" s="37"/>
      <c r="P5" s="80"/>
      <c r="Q5" s="80"/>
      <c r="R5" s="80"/>
      <c r="S5" s="80"/>
    </row>
    <row r="6" spans="1:19">
      <c r="C6" s="54"/>
      <c r="E6" s="81"/>
      <c r="F6" s="81"/>
      <c r="G6" s="81"/>
      <c r="H6" s="81"/>
      <c r="I6" s="81"/>
      <c r="J6" s="81"/>
      <c r="K6" s="81"/>
      <c r="L6" s="81"/>
      <c r="M6" s="81"/>
      <c r="N6" s="21"/>
      <c r="O6" s="37"/>
      <c r="P6" s="80"/>
      <c r="Q6" s="80"/>
      <c r="R6" s="80"/>
      <c r="S6" s="80"/>
    </row>
    <row r="7" spans="1:19" ht="45" customHeight="1">
      <c r="C7" s="54" t="s">
        <v>233</v>
      </c>
      <c r="E7" s="81" t="s">
        <v>140</v>
      </c>
      <c r="F7" s="81" t="s">
        <v>141</v>
      </c>
      <c r="G7" s="81" t="s">
        <v>142</v>
      </c>
      <c r="H7" s="81" t="s">
        <v>143</v>
      </c>
      <c r="I7" s="81" t="s">
        <v>144</v>
      </c>
      <c r="J7" s="81" t="s">
        <v>145</v>
      </c>
      <c r="K7" s="81" t="s">
        <v>159</v>
      </c>
      <c r="L7" s="81" t="s">
        <v>160</v>
      </c>
      <c r="M7" s="81" t="s">
        <v>161</v>
      </c>
      <c r="N7" s="21"/>
      <c r="O7" s="37"/>
      <c r="P7" s="80"/>
      <c r="Q7" s="80"/>
      <c r="R7" s="80"/>
      <c r="S7" s="80"/>
    </row>
    <row r="8" spans="1:19">
      <c r="C8" s="92"/>
      <c r="E8" s="21"/>
      <c r="F8" s="17"/>
      <c r="G8" s="17"/>
      <c r="H8" s="17"/>
      <c r="I8" s="17"/>
      <c r="J8" s="17"/>
      <c r="N8" s="45"/>
      <c r="O8" s="37"/>
      <c r="P8" s="80"/>
      <c r="Q8" s="80"/>
      <c r="R8" s="80"/>
      <c r="S8" s="80"/>
    </row>
    <row r="9" spans="1:19" ht="45">
      <c r="C9" s="74" t="s">
        <v>210</v>
      </c>
      <c r="E9" s="111" t="s">
        <v>443</v>
      </c>
      <c r="F9" s="111" t="s">
        <v>444</v>
      </c>
      <c r="G9" s="111" t="s">
        <v>445</v>
      </c>
      <c r="H9" s="111" t="s">
        <v>446</v>
      </c>
      <c r="I9" s="111" t="s">
        <v>447</v>
      </c>
      <c r="J9" s="111" t="s">
        <v>448</v>
      </c>
      <c r="K9" s="111" t="s">
        <v>449</v>
      </c>
      <c r="L9" s="111" t="s">
        <v>450</v>
      </c>
      <c r="M9" s="111" t="s">
        <v>451</v>
      </c>
      <c r="N9" s="45"/>
      <c r="O9" s="37"/>
      <c r="P9" s="80"/>
      <c r="Q9" s="80"/>
      <c r="R9" s="80"/>
      <c r="S9" s="80"/>
    </row>
    <row r="10" spans="1:19" ht="8.25" customHeight="1">
      <c r="E10" s="111"/>
      <c r="F10" s="111"/>
      <c r="G10" s="111"/>
      <c r="H10" s="111"/>
      <c r="I10" s="111"/>
      <c r="J10" s="111"/>
      <c r="K10" s="111"/>
      <c r="L10" s="111"/>
      <c r="M10" s="111"/>
      <c r="N10" s="45"/>
      <c r="O10" s="37"/>
      <c r="P10" s="80"/>
      <c r="Q10" s="80"/>
      <c r="R10" s="80"/>
      <c r="S10" s="80"/>
    </row>
    <row r="11" spans="1:19" ht="45">
      <c r="C11" s="74" t="s">
        <v>195</v>
      </c>
      <c r="E11" s="111" t="s">
        <v>452</v>
      </c>
      <c r="F11" s="111" t="s">
        <v>453</v>
      </c>
      <c r="G11" s="111" t="s">
        <v>454</v>
      </c>
      <c r="H11" s="111" t="s">
        <v>455</v>
      </c>
      <c r="I11" s="111" t="s">
        <v>456</v>
      </c>
      <c r="J11" s="111" t="s">
        <v>457</v>
      </c>
      <c r="K11" s="111" t="s">
        <v>458</v>
      </c>
      <c r="L11" s="111" t="s">
        <v>459</v>
      </c>
      <c r="M11" s="111" t="s">
        <v>460</v>
      </c>
      <c r="N11" s="45"/>
      <c r="O11" s="37"/>
      <c r="P11" s="80"/>
      <c r="Q11" s="80"/>
      <c r="R11" s="80"/>
      <c r="S11" s="80"/>
    </row>
    <row r="12" spans="1:19">
      <c r="E12" s="118"/>
      <c r="F12" s="118"/>
      <c r="G12" s="118"/>
      <c r="H12" s="118"/>
      <c r="I12" s="118"/>
      <c r="J12" s="118"/>
      <c r="K12" s="118"/>
      <c r="L12" s="118"/>
      <c r="M12" s="118"/>
      <c r="N12" s="45"/>
      <c r="O12" s="37"/>
      <c r="P12" s="80"/>
      <c r="Q12" s="80"/>
      <c r="R12" s="80"/>
      <c r="S12" s="80"/>
    </row>
    <row r="13" spans="1:19" ht="45" customHeight="1">
      <c r="C13" s="54" t="s">
        <v>222</v>
      </c>
      <c r="E13" s="118"/>
      <c r="F13" s="118"/>
      <c r="G13" s="118"/>
      <c r="H13" s="118" t="s">
        <v>461</v>
      </c>
      <c r="I13" s="111" t="s">
        <v>447</v>
      </c>
      <c r="J13" s="111" t="s">
        <v>448</v>
      </c>
      <c r="K13" s="111" t="s">
        <v>449</v>
      </c>
      <c r="L13" s="111" t="s">
        <v>450</v>
      </c>
      <c r="M13" s="111" t="s">
        <v>462</v>
      </c>
      <c r="N13" s="45"/>
      <c r="O13" s="37"/>
      <c r="P13" s="80"/>
      <c r="Q13" s="80"/>
      <c r="R13" s="80"/>
      <c r="S13" s="80"/>
    </row>
    <row r="14" spans="1:19" ht="45" customHeight="1">
      <c r="C14" s="54" t="s">
        <v>223</v>
      </c>
      <c r="E14" s="118"/>
      <c r="F14" s="118"/>
      <c r="G14" s="118"/>
      <c r="H14" s="111" t="s">
        <v>463</v>
      </c>
      <c r="I14" s="111" t="s">
        <v>456</v>
      </c>
      <c r="J14" s="111" t="s">
        <v>457</v>
      </c>
      <c r="K14" s="111" t="s">
        <v>458</v>
      </c>
      <c r="L14" s="111" t="s">
        <v>459</v>
      </c>
      <c r="M14" s="118" t="s">
        <v>461</v>
      </c>
      <c r="N14" s="45"/>
      <c r="O14" s="37"/>
      <c r="P14" s="80"/>
      <c r="Q14" s="80"/>
      <c r="R14" s="80"/>
      <c r="S14" s="80"/>
    </row>
    <row r="15" spans="1:19">
      <c r="N15" s="45"/>
      <c r="O15" s="37"/>
      <c r="P15" s="80"/>
      <c r="Q15" s="80"/>
      <c r="R15" s="80"/>
      <c r="S15" s="80"/>
    </row>
    <row r="16" spans="1:19" ht="23.25">
      <c r="C16" s="2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8"/>
      <c r="P16" s="228"/>
      <c r="Q16" s="228"/>
      <c r="R16" s="228"/>
      <c r="S16" s="228"/>
    </row>
    <row r="17" spans="1:19">
      <c r="O17" s="80"/>
      <c r="P17" s="80"/>
      <c r="Q17" s="80"/>
      <c r="R17" s="80"/>
      <c r="S17" s="80"/>
    </row>
    <row r="18" spans="1:19" ht="21">
      <c r="C18" s="3" t="s">
        <v>188</v>
      </c>
      <c r="I18" s="10" t="s">
        <v>5</v>
      </c>
      <c r="O18" s="80"/>
      <c r="P18" s="80"/>
      <c r="Q18" s="80"/>
      <c r="R18" s="80"/>
      <c r="S18" s="80"/>
    </row>
    <row r="19" spans="1:19">
      <c r="C19" s="40"/>
      <c r="D19" s="40" t="s">
        <v>39</v>
      </c>
      <c r="E19" s="40"/>
      <c r="F19" s="40" t="s">
        <v>40</v>
      </c>
      <c r="O19" s="80"/>
      <c r="P19" s="80"/>
      <c r="Q19" s="80"/>
      <c r="R19" s="80"/>
      <c r="S19" s="80"/>
    </row>
    <row r="20" spans="1:19">
      <c r="C20" s="40"/>
      <c r="D20" s="40" t="s">
        <v>38</v>
      </c>
      <c r="E20" s="40"/>
      <c r="O20" s="80"/>
      <c r="P20" s="80"/>
      <c r="Q20" s="80"/>
      <c r="R20" s="80"/>
      <c r="S20" s="80"/>
    </row>
    <row r="21" spans="1:19">
      <c r="C21" s="81" t="s">
        <v>1</v>
      </c>
      <c r="E21" s="81" t="str">
        <f>Inputs!D$12</f>
        <v>2009/10</v>
      </c>
      <c r="F21" s="81" t="str">
        <f>Inputs!E$12</f>
        <v>2010/11</v>
      </c>
      <c r="G21" s="81" t="str">
        <f>Inputs!F$12</f>
        <v>2011/12</v>
      </c>
      <c r="H21" s="81" t="str">
        <f>Inputs!G$12</f>
        <v>2012/13</v>
      </c>
      <c r="I21" s="81" t="str">
        <f>Inputs!H$12</f>
        <v>2013/14</v>
      </c>
      <c r="J21" s="81" t="str">
        <f>Inputs!I$12</f>
        <v>2014/15</v>
      </c>
      <c r="K21" s="81" t="str">
        <f>Inputs!J$12</f>
        <v>2015/16</v>
      </c>
      <c r="L21" s="81" t="str">
        <f>Inputs!K$12</f>
        <v>2016/17</v>
      </c>
      <c r="M21" s="81" t="str">
        <f>Inputs!L$12</f>
        <v>2017/18</v>
      </c>
      <c r="N21" s="81"/>
      <c r="O21" s="169"/>
      <c r="P21" s="80"/>
      <c r="Q21" s="80"/>
      <c r="R21" s="80"/>
      <c r="S21" s="80"/>
    </row>
    <row r="22" spans="1:19">
      <c r="N22" s="15"/>
      <c r="O22" s="169"/>
      <c r="P22" s="80"/>
      <c r="Q22" s="80"/>
      <c r="R22" s="80"/>
      <c r="S22" s="80"/>
    </row>
    <row r="23" spans="1:19">
      <c r="A23" s="9">
        <v>1</v>
      </c>
      <c r="B23" s="9"/>
      <c r="C23" s="74" t="str">
        <f>Inputs!B25</f>
        <v>Revenue through Prices</v>
      </c>
      <c r="F23" s="1">
        <f t="shared" ref="F23:F32" si="0">INDEX(InputsBlock,A23+1,$G$1+2)</f>
        <v>113468</v>
      </c>
      <c r="O23" s="80"/>
      <c r="P23" s="80"/>
      <c r="Q23" s="80"/>
      <c r="R23" s="80"/>
      <c r="S23" s="80"/>
    </row>
    <row r="24" spans="1:19">
      <c r="A24" s="9">
        <f t="shared" ref="A24:A31" si="1">A23+1</f>
        <v>2</v>
      </c>
      <c r="B24" s="9"/>
      <c r="C24" s="74" t="str">
        <f>Inputs!B26</f>
        <v>Pass-through costs</v>
      </c>
      <c r="F24" s="1">
        <f t="shared" si="0"/>
        <v>766.99468000000002</v>
      </c>
      <c r="O24" s="80"/>
      <c r="P24" s="80"/>
      <c r="Q24" s="80"/>
      <c r="R24" s="80"/>
      <c r="S24" s="80"/>
    </row>
    <row r="25" spans="1:19">
      <c r="A25" s="9">
        <f t="shared" si="1"/>
        <v>3</v>
      </c>
      <c r="B25" s="9"/>
      <c r="C25" s="74" t="str">
        <f>Inputs!B27</f>
        <v>Recoverable costs</v>
      </c>
      <c r="F25" s="1">
        <f t="shared" si="0"/>
        <v>0</v>
      </c>
      <c r="O25" s="80"/>
      <c r="P25" s="80"/>
      <c r="Q25" s="80"/>
      <c r="R25" s="80"/>
      <c r="S25" s="80"/>
    </row>
    <row r="26" spans="1:19">
      <c r="A26" s="9">
        <f t="shared" si="1"/>
        <v>4</v>
      </c>
      <c r="B26" s="9"/>
      <c r="C26" s="80" t="str">
        <f>Inputs!B28</f>
        <v>Opening RAB 2010/11</v>
      </c>
      <c r="F26" s="1">
        <f t="shared" si="0"/>
        <v>488298.51896392228</v>
      </c>
      <c r="O26" s="198"/>
      <c r="P26" s="80"/>
      <c r="Q26" s="80"/>
      <c r="R26" s="80"/>
      <c r="S26" s="80"/>
    </row>
    <row r="27" spans="1:19">
      <c r="A27" s="9">
        <f t="shared" si="1"/>
        <v>5</v>
      </c>
      <c r="B27" s="9"/>
      <c r="C27" s="80" t="str">
        <f>Inputs!B29</f>
        <v>Total Depreciation</v>
      </c>
      <c r="F27" s="1">
        <f t="shared" si="0"/>
        <v>16828</v>
      </c>
      <c r="O27" s="80"/>
      <c r="P27" s="80"/>
      <c r="Q27" s="80"/>
      <c r="R27" s="80"/>
      <c r="S27" s="80"/>
    </row>
    <row r="28" spans="1:19">
      <c r="A28" s="9">
        <f t="shared" si="1"/>
        <v>6</v>
      </c>
      <c r="B28" s="9"/>
      <c r="C28" s="80" t="str">
        <f>Inputs!B30</f>
        <v>RAB of disposed assets</v>
      </c>
      <c r="F28" s="1">
        <f t="shared" si="0"/>
        <v>450</v>
      </c>
      <c r="O28" s="80"/>
      <c r="P28" s="80"/>
      <c r="Q28" s="80"/>
      <c r="R28" s="80"/>
      <c r="S28" s="80"/>
    </row>
    <row r="29" spans="1:19">
      <c r="A29" s="9">
        <f>A28+1</f>
        <v>7</v>
      </c>
      <c r="B29" s="9"/>
      <c r="C29" s="80" t="str">
        <f>Inputs!B31</f>
        <v>Value of commissioned assets</v>
      </c>
      <c r="F29" s="1">
        <f t="shared" si="0"/>
        <v>11521</v>
      </c>
      <c r="O29" s="80"/>
      <c r="P29" s="80"/>
      <c r="Q29" s="80"/>
      <c r="R29" s="80"/>
      <c r="S29" s="80"/>
    </row>
    <row r="30" spans="1:19">
      <c r="A30" s="9">
        <f t="shared" si="1"/>
        <v>8</v>
      </c>
      <c r="B30" s="9"/>
      <c r="C30" s="80" t="str">
        <f>Inputs!B32</f>
        <v>Tax Depreciation</v>
      </c>
      <c r="F30" s="1">
        <f t="shared" si="0"/>
        <v>13165</v>
      </c>
      <c r="O30" s="80"/>
      <c r="P30" s="80"/>
      <c r="Q30" s="80"/>
      <c r="R30" s="80"/>
      <c r="S30" s="80"/>
    </row>
    <row r="31" spans="1:19">
      <c r="A31" s="9">
        <f t="shared" si="1"/>
        <v>9</v>
      </c>
      <c r="B31" s="9"/>
      <c r="C31" s="80" t="str">
        <f>Inputs!B33</f>
        <v>Opening regulatory tax asset value 2010/11</v>
      </c>
      <c r="F31" s="1">
        <f t="shared" si="0"/>
        <v>109768</v>
      </c>
      <c r="O31" s="80"/>
      <c r="P31" s="80"/>
      <c r="Q31" s="80"/>
      <c r="R31" s="80"/>
      <c r="S31" s="80"/>
    </row>
    <row r="32" spans="1:19">
      <c r="A32" s="9">
        <f>A31+1</f>
        <v>10</v>
      </c>
      <c r="B32" s="9"/>
      <c r="C32" s="80" t="str">
        <f>Inputs!B34</f>
        <v>Other regulated income</v>
      </c>
      <c r="F32" s="1">
        <f t="shared" si="0"/>
        <v>0</v>
      </c>
      <c r="O32" s="80"/>
      <c r="P32" s="80"/>
      <c r="Q32" s="80"/>
      <c r="R32" s="80"/>
      <c r="S32" s="80"/>
    </row>
    <row r="33" spans="1:19">
      <c r="A33" s="9">
        <f>A32+1</f>
        <v>11</v>
      </c>
      <c r="B33" s="9"/>
      <c r="C33" s="80" t="str">
        <f>Inputs!B35</f>
        <v>Opening RAB 2009/10</v>
      </c>
      <c r="E33" s="1">
        <f t="shared" ref="E33:E37" si="2">INDEX(InputsBlock,A33+1,$G$1+2)</f>
        <v>487595</v>
      </c>
      <c r="O33" s="80"/>
      <c r="P33" s="80"/>
      <c r="Q33" s="80"/>
      <c r="R33" s="80"/>
      <c r="S33" s="80"/>
    </row>
    <row r="34" spans="1:19">
      <c r="A34" s="9">
        <f>A33+1</f>
        <v>12</v>
      </c>
      <c r="B34" s="9"/>
      <c r="C34" s="80" t="str">
        <f>Inputs!B36</f>
        <v>Disposed assets 2009/10</v>
      </c>
      <c r="E34" s="1">
        <f t="shared" si="2"/>
        <v>317</v>
      </c>
      <c r="O34" s="80"/>
      <c r="P34" s="80"/>
      <c r="Q34" s="80"/>
      <c r="R34" s="80"/>
      <c r="S34" s="80"/>
    </row>
    <row r="35" spans="1:19">
      <c r="A35" s="9">
        <f>A34+1</f>
        <v>13</v>
      </c>
      <c r="B35" s="9"/>
      <c r="C35" s="80" t="str">
        <f>Inputs!B37</f>
        <v>Opening regulatory tax asset value 2009/10</v>
      </c>
      <c r="E35" s="1">
        <f t="shared" si="2"/>
        <v>109726.6850092409</v>
      </c>
      <c r="O35" s="80"/>
      <c r="P35" s="80"/>
      <c r="Q35" s="80"/>
      <c r="R35" s="80"/>
      <c r="S35" s="80"/>
    </row>
    <row r="36" spans="1:19">
      <c r="A36" s="9">
        <f t="shared" ref="A36:A41" si="3">A35+1</f>
        <v>14</v>
      </c>
      <c r="B36" s="9"/>
      <c r="C36" s="80" t="str">
        <f>Inputs!B38</f>
        <v>Tax Depreciation 2009/10</v>
      </c>
      <c r="E36" s="1">
        <f t="shared" si="2"/>
        <v>13396.385181650627</v>
      </c>
      <c r="O36" s="80"/>
      <c r="P36" s="80"/>
      <c r="Q36" s="80"/>
      <c r="R36" s="80"/>
      <c r="S36" s="80"/>
    </row>
    <row r="37" spans="1:19">
      <c r="A37" s="9">
        <f t="shared" si="3"/>
        <v>15</v>
      </c>
      <c r="B37" s="9"/>
      <c r="C37" s="80" t="str">
        <f>Inputs!B39</f>
        <v>Weighted Average Remaining Life at year-end 2009/10</v>
      </c>
      <c r="E37" s="1" t="str">
        <f t="shared" si="2"/>
        <v>N/A</v>
      </c>
      <c r="O37" s="80"/>
      <c r="P37" s="80"/>
      <c r="Q37" s="80"/>
      <c r="R37" s="80"/>
      <c r="S37" s="80"/>
    </row>
    <row r="38" spans="1:19">
      <c r="A38" s="9">
        <f>A37+1</f>
        <v>16</v>
      </c>
      <c r="C38" s="80" t="str">
        <f>Inputs!B40</f>
        <v>Information &amp; building blocks year-end</v>
      </c>
      <c r="D38" s="44"/>
      <c r="E38" s="1" t="str">
        <f>INDEX(InputsBlock,A38+1,$G$1+2)</f>
        <v xml:space="preserve">June </v>
      </c>
      <c r="N38" s="44"/>
      <c r="O38" s="80"/>
      <c r="P38" s="80"/>
      <c r="Q38" s="80"/>
      <c r="R38" s="80"/>
      <c r="S38" s="80"/>
    </row>
    <row r="39" spans="1:19">
      <c r="A39" s="9">
        <f t="shared" si="3"/>
        <v>17</v>
      </c>
      <c r="C39" s="80" t="str">
        <f>Inputs!B41</f>
        <v>Pricing &amp; allowed revenue year-end</v>
      </c>
      <c r="D39" s="44"/>
      <c r="E39" s="1" t="str">
        <f>INDEX(InputsBlock,A39+1,$G$1+2)</f>
        <v xml:space="preserve">September </v>
      </c>
      <c r="N39" s="44"/>
      <c r="O39" s="80"/>
      <c r="P39" s="80"/>
      <c r="Q39" s="80"/>
      <c r="R39" s="80"/>
      <c r="S39" s="80"/>
    </row>
    <row r="40" spans="1:19">
      <c r="A40" s="9">
        <f t="shared" si="3"/>
        <v>18</v>
      </c>
      <c r="C40" s="80" t="str">
        <f>Inputs!B42</f>
        <v>Term Credit Spread Differential Allowance</v>
      </c>
      <c r="D40" s="44"/>
      <c r="E40" s="1"/>
      <c r="F40" s="139">
        <f>INDEX(InputsBlock,A40+1,$G$1+2)</f>
        <v>94</v>
      </c>
      <c r="N40" s="44"/>
      <c r="O40" s="80"/>
      <c r="P40" s="80"/>
      <c r="Q40" s="80"/>
      <c r="R40" s="80"/>
      <c r="S40" s="80"/>
    </row>
    <row r="41" spans="1:19">
      <c r="A41" s="9">
        <f t="shared" si="3"/>
        <v>19</v>
      </c>
      <c r="C41" s="80" t="s">
        <v>264</v>
      </c>
      <c r="D41" s="44"/>
      <c r="E41" s="139">
        <f>INDEX(InputsBlock,A41+1,$G$1+2)</f>
        <v>0</v>
      </c>
      <c r="N41" s="44"/>
      <c r="O41" s="80"/>
      <c r="P41" s="80"/>
      <c r="Q41" s="80"/>
      <c r="R41" s="80"/>
      <c r="S41" s="80"/>
    </row>
    <row r="42" spans="1:19">
      <c r="A42" s="9"/>
      <c r="C42" s="74" t="s">
        <v>220</v>
      </c>
      <c r="E42" s="74" t="s">
        <v>227</v>
      </c>
      <c r="N42" s="44"/>
      <c r="O42" s="80"/>
      <c r="P42" s="80"/>
      <c r="Q42" s="80"/>
      <c r="R42" s="80"/>
      <c r="S42" s="80"/>
    </row>
    <row r="43" spans="1:19">
      <c r="A43" s="9"/>
      <c r="C43" s="74" t="s">
        <v>221</v>
      </c>
      <c r="E43" s="1" t="s">
        <v>204</v>
      </c>
      <c r="N43" s="44"/>
      <c r="O43" s="80"/>
      <c r="P43" s="80"/>
      <c r="Q43" s="80"/>
      <c r="R43" s="80"/>
      <c r="S43" s="80"/>
    </row>
    <row r="44" spans="1:19">
      <c r="A44" s="9"/>
      <c r="O44" s="80"/>
      <c r="P44" s="80"/>
      <c r="Q44" s="80"/>
      <c r="R44" s="80"/>
      <c r="S44" s="80"/>
    </row>
    <row r="45" spans="1:19">
      <c r="E45" s="1"/>
      <c r="F45" s="81" t="str">
        <f>Inputs!E$12</f>
        <v>2010/11</v>
      </c>
      <c r="G45" s="81" t="str">
        <f>Inputs!F$12</f>
        <v>2011/12</v>
      </c>
      <c r="H45" s="81" t="str">
        <f>Inputs!G$12</f>
        <v>2012/13</v>
      </c>
      <c r="I45" s="81" t="str">
        <f>Inputs!H$12</f>
        <v>2013/14</v>
      </c>
      <c r="J45" s="81" t="str">
        <f>Inputs!I$12</f>
        <v>2014/15</v>
      </c>
      <c r="K45" s="81" t="str">
        <f>Inputs!J$12</f>
        <v>2015/16</v>
      </c>
      <c r="L45" s="81" t="str">
        <f>Inputs!K$12</f>
        <v>2016/17</v>
      </c>
      <c r="M45" s="81" t="str">
        <f>Inputs!L$12</f>
        <v>2017/18</v>
      </c>
      <c r="N45" s="44"/>
      <c r="O45" s="80"/>
      <c r="P45" s="80"/>
      <c r="Q45" s="80"/>
      <c r="R45" s="80"/>
      <c r="S45" s="80"/>
    </row>
    <row r="46" spans="1:19">
      <c r="C46" s="74" t="s">
        <v>211</v>
      </c>
      <c r="E46" s="1"/>
      <c r="F46" s="96">
        <v>0</v>
      </c>
      <c r="G46" s="15">
        <v>1</v>
      </c>
      <c r="H46" s="15">
        <v>2</v>
      </c>
      <c r="I46" s="15">
        <v>3</v>
      </c>
      <c r="J46" s="15">
        <v>4</v>
      </c>
      <c r="K46" s="15">
        <v>5</v>
      </c>
      <c r="L46" s="15">
        <v>6</v>
      </c>
      <c r="M46" s="15">
        <v>7</v>
      </c>
      <c r="N46" s="44"/>
      <c r="O46" s="80"/>
      <c r="P46" s="80"/>
      <c r="Q46" s="80"/>
      <c r="R46" s="80"/>
      <c r="S46" s="80"/>
    </row>
    <row r="47" spans="1:19">
      <c r="A47" s="9"/>
      <c r="B47" s="9"/>
      <c r="C47" s="74" t="s">
        <v>15</v>
      </c>
      <c r="E47" s="1"/>
      <c r="F47" s="43"/>
      <c r="G47" s="43">
        <f t="shared" ref="G47:M47" si="4">INDEX(OpexBlock,G46,$G$1)</f>
        <v>31122.871998920371</v>
      </c>
      <c r="H47" s="43">
        <f t="shared" si="4"/>
        <v>31912.609425647923</v>
      </c>
      <c r="I47" s="43">
        <f t="shared" si="4"/>
        <v>32861.579199367348</v>
      </c>
      <c r="J47" s="43">
        <f t="shared" si="4"/>
        <v>33812.014781153383</v>
      </c>
      <c r="K47" s="43">
        <f t="shared" si="4"/>
        <v>34848.816607910398</v>
      </c>
      <c r="L47" s="43">
        <f t="shared" si="4"/>
        <v>35632.497069711142</v>
      </c>
      <c r="M47" s="43">
        <f t="shared" si="4"/>
        <v>36478.256976429977</v>
      </c>
      <c r="N47" s="44"/>
      <c r="O47" s="80"/>
      <c r="P47" s="80"/>
      <c r="Q47" s="80"/>
      <c r="R47" s="80"/>
      <c r="S47" s="80"/>
    </row>
    <row r="48" spans="1:19">
      <c r="A48" s="9"/>
      <c r="B48" s="9"/>
      <c r="C48" s="74" t="s">
        <v>113</v>
      </c>
      <c r="D48" s="1"/>
      <c r="E48" s="1"/>
      <c r="F48" s="174">
        <f>F29</f>
        <v>11521</v>
      </c>
      <c r="G48" s="43">
        <f t="shared" ref="G48:M48" si="5">INDEX(CommAssetsBlock,G46,$G$1)</f>
        <v>11898.39590487747</v>
      </c>
      <c r="H48" s="43">
        <f t="shared" si="5"/>
        <v>16279.6723450229</v>
      </c>
      <c r="I48" s="43">
        <f t="shared" si="5"/>
        <v>25950.952115017339</v>
      </c>
      <c r="J48" s="43">
        <f t="shared" si="5"/>
        <v>11326.972118574446</v>
      </c>
      <c r="K48" s="43">
        <f t="shared" si="5"/>
        <v>10669.298823753605</v>
      </c>
      <c r="L48" s="43">
        <f t="shared" si="5"/>
        <v>10558.46804828866</v>
      </c>
      <c r="M48" s="43">
        <f t="shared" si="5"/>
        <v>10765.935389779879</v>
      </c>
      <c r="N48" s="44"/>
      <c r="O48" s="80"/>
      <c r="P48" s="80"/>
      <c r="Q48" s="80"/>
      <c r="R48" s="80"/>
      <c r="S48" s="80"/>
    </row>
    <row r="49" spans="1:19">
      <c r="A49" s="9"/>
      <c r="B49" s="9"/>
      <c r="C49" s="74" t="s">
        <v>150</v>
      </c>
      <c r="D49" s="1"/>
      <c r="E49" s="44"/>
      <c r="F49" s="44">
        <f t="shared" ref="F49:M49" si="6">INDEX(ConstPriceRevGrwth,F$46+1,$G$1)</f>
        <v>8.77211639376963E-2</v>
      </c>
      <c r="G49" s="44">
        <f t="shared" si="6"/>
        <v>1.302774990673306E-2</v>
      </c>
      <c r="H49" s="44">
        <f t="shared" si="6"/>
        <v>-2.411975653237225E-3</v>
      </c>
      <c r="I49" s="44">
        <f t="shared" si="6"/>
        <v>-1.0187872901963492E-2</v>
      </c>
      <c r="J49" s="44">
        <f t="shared" si="6"/>
        <v>-7.1357375718283898E-3</v>
      </c>
      <c r="K49" s="44">
        <f t="shared" si="6"/>
        <v>2.6772475423385549E-3</v>
      </c>
      <c r="L49" s="44">
        <f t="shared" si="6"/>
        <v>2.6976240896474405E-3</v>
      </c>
      <c r="M49" s="44">
        <f t="shared" si="6"/>
        <v>2.7178856080614742E-3</v>
      </c>
      <c r="N49" s="44"/>
      <c r="O49" s="80"/>
      <c r="P49" s="80"/>
      <c r="Q49" s="80"/>
      <c r="R49" s="80"/>
      <c r="S49" s="80"/>
    </row>
    <row r="50" spans="1:19">
      <c r="A50" s="9"/>
      <c r="B50" s="9"/>
      <c r="C50" s="74" t="s">
        <v>170</v>
      </c>
      <c r="D50" s="1"/>
      <c r="E50" s="44"/>
      <c r="F50" s="44"/>
      <c r="G50" s="94"/>
      <c r="H50" s="94">
        <f t="shared" ref="H50:M50" si="7">INDEX(BBlockMths,H$46-1,$G$1)</f>
        <v>0</v>
      </c>
      <c r="I50" s="94">
        <f t="shared" si="7"/>
        <v>12</v>
      </c>
      <c r="J50" s="94">
        <f t="shared" si="7"/>
        <v>12</v>
      </c>
      <c r="K50" s="94">
        <f t="shared" si="7"/>
        <v>12</v>
      </c>
      <c r="L50" s="94">
        <f t="shared" si="7"/>
        <v>12</v>
      </c>
      <c r="M50" s="94">
        <f t="shared" si="7"/>
        <v>3</v>
      </c>
      <c r="N50" s="44"/>
      <c r="O50" s="80"/>
      <c r="P50" s="80"/>
      <c r="Q50" s="80"/>
      <c r="R50" s="80"/>
      <c r="S50" s="80"/>
    </row>
    <row r="51" spans="1:19">
      <c r="A51" s="9"/>
      <c r="B51" s="9"/>
      <c r="C51" s="74" t="s">
        <v>171</v>
      </c>
      <c r="D51" s="1"/>
      <c r="E51" s="44"/>
      <c r="F51" s="44"/>
      <c r="G51" s="94"/>
      <c r="H51" s="94">
        <f t="shared" ref="H51:M51" si="8">INDEX(AllowedRevMths,H$46-1,$G$1)</f>
        <v>3</v>
      </c>
      <c r="I51" s="94">
        <f t="shared" si="8"/>
        <v>12</v>
      </c>
      <c r="J51" s="94">
        <f t="shared" si="8"/>
        <v>12</v>
      </c>
      <c r="K51" s="94">
        <f t="shared" si="8"/>
        <v>12</v>
      </c>
      <c r="L51" s="94">
        <f t="shared" si="8"/>
        <v>12</v>
      </c>
      <c r="M51" s="94">
        <f t="shared" si="8"/>
        <v>0</v>
      </c>
      <c r="N51" s="44"/>
      <c r="O51" s="80"/>
      <c r="P51" s="80"/>
      <c r="Q51" s="80"/>
      <c r="R51" s="80"/>
      <c r="S51" s="80"/>
    </row>
    <row r="52" spans="1:19">
      <c r="A52" s="9"/>
      <c r="B52" s="9"/>
      <c r="D52" s="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80"/>
      <c r="P52" s="80"/>
      <c r="Q52" s="80"/>
      <c r="R52" s="80"/>
      <c r="S52" s="80"/>
    </row>
    <row r="53" spans="1:19">
      <c r="A53" s="9"/>
      <c r="B53" s="9"/>
      <c r="D53" s="1"/>
      <c r="E53" s="44"/>
      <c r="G53" s="44"/>
      <c r="H53" s="44"/>
      <c r="I53" s="44"/>
      <c r="J53" s="44"/>
      <c r="K53" s="44"/>
      <c r="L53" s="44"/>
      <c r="M53" s="44"/>
      <c r="N53" s="44"/>
      <c r="O53" s="80"/>
      <c r="P53" s="80"/>
      <c r="Q53" s="80"/>
      <c r="R53" s="80"/>
      <c r="S53" s="80"/>
    </row>
    <row r="54" spans="1:19" ht="15.75">
      <c r="A54" s="9"/>
      <c r="B54" s="9"/>
      <c r="C54" s="79" t="s">
        <v>139</v>
      </c>
      <c r="D54" s="1"/>
      <c r="E54" s="81" t="str">
        <f>Inputs!D$12</f>
        <v>2009/10</v>
      </c>
      <c r="F54" s="81" t="str">
        <f>Inputs!E$12</f>
        <v>2010/11</v>
      </c>
      <c r="G54" s="81" t="str">
        <f>Inputs!F$12</f>
        <v>2011/12</v>
      </c>
      <c r="H54" s="81" t="str">
        <f>Inputs!G$12</f>
        <v>2012/13</v>
      </c>
      <c r="I54" s="81" t="str">
        <f>Inputs!H$12</f>
        <v>2013/14</v>
      </c>
      <c r="J54" s="81" t="str">
        <f>Inputs!I$12</f>
        <v>2014/15</v>
      </c>
      <c r="K54" s="81" t="str">
        <f>Inputs!J$12</f>
        <v>2015/16</v>
      </c>
      <c r="L54" s="81" t="str">
        <f>Inputs!K$12</f>
        <v>2016/17</v>
      </c>
      <c r="M54" s="81" t="str">
        <f>Inputs!L$12</f>
        <v>2017/18</v>
      </c>
      <c r="N54" s="44"/>
      <c r="O54" s="92"/>
      <c r="P54" s="80"/>
      <c r="Q54" s="80"/>
      <c r="R54" s="80"/>
      <c r="S54" s="80"/>
    </row>
    <row r="55" spans="1:19">
      <c r="A55" s="9"/>
      <c r="B55" s="9"/>
      <c r="C55" s="80" t="str">
        <f>Inputs!B16</f>
        <v>Change in CPI, 2 index, June year-end, no lag</v>
      </c>
      <c r="D55" s="1"/>
      <c r="E55" s="77">
        <f>Inputs!D16</f>
        <v>1.6651248843663202E-2</v>
      </c>
      <c r="F55" s="77">
        <f>Inputs!E16</f>
        <v>3.2132598262234913E-2</v>
      </c>
      <c r="G55" s="77">
        <f>Inputs!F16</f>
        <v>9.5073465859982775E-3</v>
      </c>
      <c r="H55" s="77">
        <f>Inputs!G16</f>
        <v>2.1404109589041154E-2</v>
      </c>
      <c r="I55" s="77">
        <f>Inputs!H16</f>
        <v>2.0117351215423351E-2</v>
      </c>
      <c r="J55" s="77">
        <f>Inputs!I16</f>
        <v>2.2144831398562603E-2</v>
      </c>
      <c r="K55" s="77">
        <f>Inputs!J16</f>
        <v>2.1072415699281422E-2</v>
      </c>
      <c r="L55" s="77">
        <f>Inputs!K16</f>
        <v>2.0000000000000018E-2</v>
      </c>
      <c r="M55" s="77">
        <f>Inputs!L16</f>
        <v>2.0000000000000018E-2</v>
      </c>
      <c r="O55" s="92"/>
      <c r="P55" s="80"/>
      <c r="Q55" s="80"/>
      <c r="R55" s="80"/>
      <c r="S55" s="80"/>
    </row>
    <row r="56" spans="1:19">
      <c r="A56" s="9"/>
      <c r="B56" s="9"/>
      <c r="C56" s="80" t="str">
        <f>Inputs!B17</f>
        <v>Change in CPI, 2 index, December year-end, no lag</v>
      </c>
      <c r="D56" s="1"/>
      <c r="E56" s="35">
        <f>Inputs!D17</f>
        <v>1.9858995748345043E-2</v>
      </c>
      <c r="F56" s="35">
        <f>Inputs!E17</f>
        <v>1.846965699208436E-2</v>
      </c>
      <c r="G56" s="35">
        <f>Inputs!F17</f>
        <v>1.899827288428324E-2</v>
      </c>
      <c r="H56" s="35">
        <f>Inputs!G17</f>
        <v>1.6949152542372836E-2</v>
      </c>
      <c r="I56" s="35">
        <f>Inputs!H17</f>
        <v>2.1666666666666723E-2</v>
      </c>
      <c r="J56" s="35">
        <f>Inputs!I17</f>
        <v>2.2144831398562603E-2</v>
      </c>
      <c r="K56" s="35">
        <f>Inputs!J17</f>
        <v>2.1072415699281422E-2</v>
      </c>
      <c r="L56" s="35">
        <f>Inputs!K17</f>
        <v>2.0000000000000018E-2</v>
      </c>
      <c r="M56" s="35">
        <f>Inputs!L17</f>
        <v>2.0000000000000018E-2</v>
      </c>
      <c r="O56" s="92"/>
      <c r="P56" s="80"/>
      <c r="Q56" s="80"/>
      <c r="R56" s="80"/>
      <c r="S56" s="80"/>
    </row>
    <row r="57" spans="1:19">
      <c r="A57" s="9"/>
      <c r="B57" s="9"/>
      <c r="C57" s="80" t="str">
        <f>Inputs!B18</f>
        <v>Change in CPI, 8 index, June year-end, with 1.02 factor</v>
      </c>
      <c r="D57" s="1"/>
      <c r="E57" s="77"/>
      <c r="F57" s="77"/>
      <c r="G57" s="77"/>
      <c r="H57" s="77"/>
      <c r="I57" s="77">
        <f>Inputs!H18</f>
        <v>1.29785853341986E-2</v>
      </c>
      <c r="J57" s="77">
        <f>Inputs!I18</f>
        <v>1.9205353664219604E-2</v>
      </c>
      <c r="K57" s="77">
        <f>Inputs!J18</f>
        <v>2.0308989315472648E-2</v>
      </c>
      <c r="L57" s="77">
        <f>Inputs!K18</f>
        <v>2.2410409892577032E-2</v>
      </c>
      <c r="M57" s="77">
        <f>Inputs!L18</f>
        <v>2.1338203775091324E-2</v>
      </c>
      <c r="O57" s="92"/>
      <c r="P57" s="80"/>
      <c r="Q57" s="80"/>
      <c r="R57" s="80"/>
      <c r="S57" s="80"/>
    </row>
    <row r="58" spans="1:19">
      <c r="A58" s="9"/>
      <c r="B58" s="9"/>
      <c r="C58" s="80" t="str">
        <f>Inputs!B19</f>
        <v>Change in CPI, 8 index, Sept year-end, with 1.02 factor</v>
      </c>
      <c r="E58" s="77"/>
      <c r="F58" s="77"/>
      <c r="G58" s="77"/>
      <c r="H58" s="77"/>
      <c r="I58" s="77">
        <f>Inputs!H19</f>
        <v>1.3574660633484115E-2</v>
      </c>
      <c r="J58" s="77">
        <f>Inputs!I19</f>
        <v>1.9119615478218499E-2</v>
      </c>
      <c r="K58" s="77">
        <f>Inputs!J19</f>
        <v>2.1680202356610057E-2</v>
      </c>
      <c r="L58" s="77">
        <f>Inputs!K19</f>
        <v>2.2144831398562603E-2</v>
      </c>
      <c r="M58" s="77">
        <f>Inputs!L19</f>
        <v>2.1072415699281422E-2</v>
      </c>
      <c r="O58" s="92"/>
      <c r="P58" s="80"/>
      <c r="Q58" s="80"/>
      <c r="R58" s="80"/>
      <c r="S58" s="80"/>
    </row>
    <row r="59" spans="1:19">
      <c r="A59" s="9"/>
      <c r="B59" s="9"/>
      <c r="C59" s="80" t="str">
        <f>Inputs!B20</f>
        <v>Change in CPI, 8 index, June year-end, no 1.02 factor</v>
      </c>
      <c r="E59" s="77"/>
      <c r="F59" s="77"/>
      <c r="G59" s="77">
        <f>Inputs!F20</f>
        <v>2.3020257826887658E-2</v>
      </c>
      <c r="H59" s="77">
        <f>Inputs!G20</f>
        <v>4.0279027902790254E-2</v>
      </c>
      <c r="I59" s="77">
        <f>Inputs!H20</f>
        <v>1.29785853341986E-2</v>
      </c>
      <c r="J59" s="77">
        <f>Inputs!I20</f>
        <v>1.9205353664219604E-2</v>
      </c>
      <c r="K59" s="77">
        <f>Inputs!J20</f>
        <v>2.0308989315472648E-2</v>
      </c>
      <c r="L59" s="77">
        <f>Inputs!K20</f>
        <v>2.2410409892577032E-2</v>
      </c>
      <c r="M59" s="77">
        <f>Inputs!L20</f>
        <v>2.1338203775091324E-2</v>
      </c>
      <c r="O59" s="92"/>
      <c r="P59" s="80"/>
      <c r="Q59" s="80"/>
      <c r="R59" s="80"/>
      <c r="S59" s="80"/>
    </row>
    <row r="60" spans="1:19">
      <c r="A60" s="9"/>
      <c r="B60" s="9"/>
      <c r="C60" s="80" t="str">
        <f>Inputs!B21</f>
        <v>Change in CPI, 8 index, Sept year-end, no 1.02 factor</v>
      </c>
      <c r="E60" s="77"/>
      <c r="F60" s="77">
        <f>Inputs!E21</f>
        <v>1.890315052508762E-2</v>
      </c>
      <c r="G60" s="77">
        <f>Inputs!F21</f>
        <v>2.9088410444342738E-2</v>
      </c>
      <c r="H60" s="77">
        <f>Inputs!G21</f>
        <v>3.2940129089695125E-2</v>
      </c>
      <c r="I60" s="77">
        <f>Inputs!H21</f>
        <v>1.3574660633484115E-2</v>
      </c>
      <c r="J60" s="77">
        <f>Inputs!I21</f>
        <v>1.9119615478218499E-2</v>
      </c>
      <c r="K60" s="77">
        <f>Inputs!J21</f>
        <v>2.1680202356610057E-2</v>
      </c>
      <c r="L60" s="77">
        <f>Inputs!K21</f>
        <v>2.2144831398562603E-2</v>
      </c>
      <c r="M60" s="77">
        <f>Inputs!L21</f>
        <v>2.1072415699281422E-2</v>
      </c>
      <c r="O60" s="92"/>
      <c r="P60" s="80"/>
      <c r="Q60" s="80"/>
      <c r="R60" s="80"/>
      <c r="S60" s="80"/>
    </row>
    <row r="61" spans="1:19">
      <c r="A61" s="9"/>
      <c r="B61" s="9"/>
      <c r="E61" s="77"/>
      <c r="F61" s="77"/>
      <c r="G61" s="77"/>
      <c r="H61" s="77"/>
      <c r="I61" s="77"/>
      <c r="J61" s="77"/>
      <c r="K61" s="77"/>
      <c r="L61" s="77"/>
      <c r="M61" s="77"/>
      <c r="O61" s="91"/>
      <c r="P61" s="80"/>
      <c r="Q61" s="80"/>
      <c r="R61" s="80"/>
      <c r="S61" s="80"/>
    </row>
    <row r="62" spans="1:19" ht="21">
      <c r="A62" s="9"/>
      <c r="B62" s="9"/>
      <c r="C62" s="3" t="s">
        <v>213</v>
      </c>
      <c r="E62" s="77"/>
      <c r="F62" s="77"/>
      <c r="G62" s="77"/>
      <c r="H62" s="77"/>
      <c r="I62" s="77"/>
      <c r="J62" s="77"/>
      <c r="K62" s="77"/>
      <c r="L62" s="77"/>
      <c r="M62" s="77"/>
      <c r="O62" s="91"/>
      <c r="P62" s="80"/>
      <c r="Q62" s="80"/>
      <c r="R62" s="80"/>
      <c r="S62" s="80"/>
    </row>
    <row r="63" spans="1:19">
      <c r="A63" s="9"/>
      <c r="B63" s="9"/>
      <c r="C63" s="40"/>
      <c r="E63" s="40"/>
      <c r="F63" s="40" t="s">
        <v>40</v>
      </c>
      <c r="I63" s="10" t="s">
        <v>5</v>
      </c>
      <c r="O63" s="91"/>
      <c r="P63" s="91"/>
      <c r="Q63" s="91"/>
      <c r="R63" s="91"/>
      <c r="S63" s="80"/>
    </row>
    <row r="64" spans="1:19">
      <c r="A64" s="9"/>
      <c r="B64" s="9"/>
      <c r="C64" s="40"/>
      <c r="D64" s="40"/>
      <c r="E64" s="40"/>
      <c r="O64" s="91"/>
      <c r="P64" s="91"/>
      <c r="Q64" s="91"/>
      <c r="R64" s="91"/>
      <c r="S64" s="80"/>
    </row>
    <row r="65" spans="1:30">
      <c r="A65" s="9"/>
      <c r="B65" s="9"/>
      <c r="C65" s="40"/>
      <c r="E65" s="81" t="str">
        <f t="shared" ref="E65:M65" si="9">E21</f>
        <v>2009/10</v>
      </c>
      <c r="F65" s="81" t="str">
        <f t="shared" si="9"/>
        <v>2010/11</v>
      </c>
      <c r="G65" s="81" t="str">
        <f t="shared" si="9"/>
        <v>2011/12</v>
      </c>
      <c r="H65" s="81" t="str">
        <f t="shared" si="9"/>
        <v>2012/13</v>
      </c>
      <c r="I65" s="81" t="str">
        <f t="shared" si="9"/>
        <v>2013/14</v>
      </c>
      <c r="J65" s="81" t="str">
        <f t="shared" si="9"/>
        <v>2014/15</v>
      </c>
      <c r="K65" s="81" t="str">
        <f t="shared" si="9"/>
        <v>2015/16</v>
      </c>
      <c r="L65" s="81" t="str">
        <f t="shared" si="9"/>
        <v>2016/17</v>
      </c>
      <c r="M65" s="81" t="str">
        <f t="shared" si="9"/>
        <v>2017/18</v>
      </c>
      <c r="O65" s="43"/>
      <c r="P65" s="43"/>
      <c r="Q65" s="43"/>
      <c r="R65" s="43"/>
    </row>
    <row r="66" spans="1:30">
      <c r="A66" s="9"/>
      <c r="B66" s="9"/>
      <c r="C66" s="98" t="s">
        <v>190</v>
      </c>
      <c r="E66" s="81"/>
      <c r="F66" s="81"/>
      <c r="G66" s="81"/>
      <c r="H66" s="81"/>
      <c r="I66" s="81"/>
      <c r="J66" s="81"/>
      <c r="K66" s="81"/>
      <c r="L66" s="81"/>
      <c r="M66" s="81"/>
      <c r="O66" s="43"/>
      <c r="P66" s="43"/>
      <c r="Q66" s="43"/>
      <c r="R66" s="43"/>
    </row>
    <row r="67" spans="1:30" ht="18">
      <c r="A67" s="9"/>
      <c r="B67" s="9"/>
      <c r="C67" s="40" t="s">
        <v>189</v>
      </c>
      <c r="E67" s="21"/>
      <c r="F67" s="17"/>
      <c r="G67" s="17"/>
      <c r="H67" s="175">
        <f>IF($G$1=4,IntraYr!D8,1)</f>
        <v>1</v>
      </c>
      <c r="I67" s="101">
        <f>IntraYr!$F$8</f>
        <v>1.0364307906539196</v>
      </c>
      <c r="J67" s="101">
        <f>IntraYr!$F$8</f>
        <v>1.0364307906539196</v>
      </c>
      <c r="K67" s="117">
        <f>IntraYr!$F$8</f>
        <v>1.0364307906539196</v>
      </c>
      <c r="L67" s="176">
        <f>IF($G$1=4,IntraYr!E8,IntraYr!$F$8)</f>
        <v>1.0364307906539196</v>
      </c>
      <c r="M67" s="101">
        <f>IF($G$1=4,1,IntraYr!C8)</f>
        <v>1.0090850449949973</v>
      </c>
      <c r="O67" s="43"/>
      <c r="P67" s="43"/>
      <c r="Q67" s="43"/>
      <c r="R67" s="43"/>
    </row>
    <row r="68" spans="1:30" ht="18">
      <c r="A68" s="9"/>
      <c r="B68" s="9"/>
      <c r="C68" s="40" t="s">
        <v>50</v>
      </c>
      <c r="E68" s="21"/>
      <c r="F68" s="17"/>
      <c r="G68" s="17"/>
      <c r="H68" s="175">
        <f>IF($G$1=4,IntraYr!D9,1)</f>
        <v>1</v>
      </c>
      <c r="I68" s="101">
        <f>IntraYr!$F$9</f>
        <v>1.0295256528345071</v>
      </c>
      <c r="J68" s="101">
        <f>IntraYr!$F$9</f>
        <v>1.0295256528345071</v>
      </c>
      <c r="K68" s="117">
        <f>IntraYr!$F$9</f>
        <v>1.0295256528345071</v>
      </c>
      <c r="L68" s="176">
        <f>IF($G$1=4,IntraYr!E9,IntraYr!$F$9)</f>
        <v>1.0295256528345071</v>
      </c>
      <c r="M68" s="101">
        <f>IF($G$1=4,1,IntraYr!C9)</f>
        <v>1.0019680262519974</v>
      </c>
      <c r="O68" s="43"/>
      <c r="P68" s="43"/>
      <c r="Q68" s="43"/>
      <c r="R68" s="43"/>
    </row>
    <row r="69" spans="1:30">
      <c r="A69" s="9"/>
      <c r="B69" s="9"/>
      <c r="C69" s="40"/>
      <c r="E69" s="21"/>
      <c r="F69" s="17"/>
      <c r="G69" s="17"/>
      <c r="H69" s="101"/>
      <c r="I69" s="101"/>
      <c r="J69" s="101"/>
      <c r="K69" s="102"/>
      <c r="L69" s="102"/>
      <c r="M69" s="102"/>
      <c r="O69" s="43"/>
      <c r="P69" s="43"/>
      <c r="Q69" s="43"/>
    </row>
    <row r="70" spans="1:30">
      <c r="A70" s="9"/>
      <c r="B70" s="9"/>
      <c r="C70" s="99" t="s">
        <v>191</v>
      </c>
      <c r="E70" s="21"/>
      <c r="F70" s="17"/>
      <c r="G70" s="17"/>
      <c r="H70" s="101"/>
      <c r="I70" s="101"/>
      <c r="J70" s="101"/>
      <c r="K70" s="102"/>
      <c r="L70" s="102"/>
      <c r="M70" s="102"/>
      <c r="O70" s="43"/>
      <c r="P70" s="43"/>
      <c r="Q70" s="43"/>
    </row>
    <row r="71" spans="1:30" ht="18">
      <c r="A71" s="9"/>
      <c r="B71" s="9"/>
      <c r="C71" s="40" t="s">
        <v>189</v>
      </c>
      <c r="E71" s="21"/>
      <c r="F71" s="17"/>
      <c r="G71" s="17"/>
      <c r="H71" s="175">
        <f>IF($G$1=4,1,IntraYr!C8)</f>
        <v>1.0090850449949973</v>
      </c>
      <c r="I71" s="101">
        <f>IntraYr!$F$8</f>
        <v>1.0364307906539196</v>
      </c>
      <c r="J71" s="101">
        <f>IntraYr!$F$8</f>
        <v>1.0364307906539196</v>
      </c>
      <c r="K71" s="101">
        <f>IntraYr!$F$8</f>
        <v>1.0364307906539196</v>
      </c>
      <c r="L71" s="175">
        <f>IntraYr!$F$8</f>
        <v>1.0364307906539196</v>
      </c>
      <c r="M71" s="101">
        <f>IF($G$1=4,IntraYr!C8,1)</f>
        <v>1</v>
      </c>
      <c r="O71" s="43"/>
      <c r="P71" s="43"/>
      <c r="Q71" s="43"/>
    </row>
    <row r="72" spans="1:30" ht="18">
      <c r="A72" s="9"/>
      <c r="B72" s="9"/>
      <c r="C72" s="40" t="s">
        <v>50</v>
      </c>
      <c r="E72" s="21"/>
      <c r="F72" s="17"/>
      <c r="G72" s="17"/>
      <c r="H72" s="175">
        <f>IF($G$1=4,1,IntraYr!C9)</f>
        <v>1.0019680262519974</v>
      </c>
      <c r="I72" s="101">
        <f>IntraYr!$F$9</f>
        <v>1.0295256528345071</v>
      </c>
      <c r="J72" s="101">
        <f>IntraYr!$F$9</f>
        <v>1.0295256528345071</v>
      </c>
      <c r="K72" s="101">
        <f>IntraYr!$F$9</f>
        <v>1.0295256528345071</v>
      </c>
      <c r="L72" s="175">
        <f>IntraYr!$F$9</f>
        <v>1.0295256528345071</v>
      </c>
      <c r="M72" s="101">
        <f>IF($G$1=4,IntraYr!C9,1)</f>
        <v>1</v>
      </c>
      <c r="O72" s="91"/>
      <c r="P72" s="91"/>
      <c r="Q72" s="91"/>
      <c r="R72" s="80"/>
      <c r="S72" s="80"/>
    </row>
    <row r="73" spans="1:30">
      <c r="A73" s="9"/>
      <c r="B73" s="9"/>
      <c r="D73" s="1"/>
      <c r="O73" s="80"/>
      <c r="P73" s="80"/>
      <c r="Q73" s="80"/>
      <c r="R73" s="80"/>
      <c r="S73" s="80"/>
    </row>
    <row r="74" spans="1:30" ht="23.25">
      <c r="C74" s="84" t="s">
        <v>4</v>
      </c>
      <c r="D74" s="85" t="s">
        <v>19</v>
      </c>
      <c r="E74" s="2"/>
      <c r="F74" s="85" t="s">
        <v>18</v>
      </c>
      <c r="G74" s="2"/>
      <c r="H74" s="2"/>
      <c r="I74" s="2"/>
      <c r="J74" s="2"/>
      <c r="K74" s="2"/>
      <c r="L74" s="2"/>
      <c r="M74" s="2"/>
      <c r="N74" s="2"/>
      <c r="O74" s="228"/>
      <c r="P74" s="228"/>
      <c r="Q74" s="228"/>
      <c r="R74" s="228"/>
      <c r="S74" s="228"/>
    </row>
    <row r="75" spans="1:30">
      <c r="E75" s="10" t="str">
        <f>E$21</f>
        <v>2009/10</v>
      </c>
      <c r="F75" s="10" t="str">
        <f t="shared" ref="F75:M75" si="10">F$21</f>
        <v>2010/11</v>
      </c>
      <c r="G75" s="10" t="str">
        <f t="shared" si="10"/>
        <v>2011/12</v>
      </c>
      <c r="H75" s="10" t="str">
        <f t="shared" si="10"/>
        <v>2012/13</v>
      </c>
      <c r="I75" s="10" t="str">
        <f t="shared" si="10"/>
        <v>2013/14</v>
      </c>
      <c r="J75" s="10" t="str">
        <f t="shared" si="10"/>
        <v>2014/15</v>
      </c>
      <c r="K75" s="10" t="str">
        <f t="shared" si="10"/>
        <v>2015/16</v>
      </c>
      <c r="L75" s="10" t="str">
        <f t="shared" si="10"/>
        <v>2016/17</v>
      </c>
      <c r="M75" s="10" t="str">
        <f t="shared" si="10"/>
        <v>2017/18</v>
      </c>
      <c r="N75" s="10"/>
      <c r="O75" s="213"/>
      <c r="P75" s="169"/>
      <c r="Q75" s="80"/>
      <c r="R75" s="80"/>
      <c r="S75" s="80"/>
    </row>
    <row r="76" spans="1:30"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37"/>
      <c r="P76" s="80"/>
      <c r="Q76" s="229"/>
      <c r="R76" s="229"/>
      <c r="S76" s="229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 ht="21">
      <c r="C77" s="3" t="s">
        <v>205</v>
      </c>
      <c r="D77" s="3"/>
      <c r="E77" s="3"/>
      <c r="F77" s="3"/>
      <c r="G77" s="3"/>
      <c r="H77" s="77"/>
      <c r="I77" s="77"/>
      <c r="J77" s="77"/>
      <c r="K77" s="77"/>
      <c r="L77" s="77"/>
      <c r="M77" s="77"/>
      <c r="N77" s="77"/>
      <c r="O77" s="37"/>
      <c r="P77" s="80"/>
      <c r="Q77" s="229"/>
      <c r="R77" s="229"/>
      <c r="S77" s="229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>
      <c r="C78" s="80" t="s">
        <v>437</v>
      </c>
      <c r="E78" s="77"/>
      <c r="F78" s="77"/>
      <c r="G78" s="77"/>
      <c r="H78" s="77"/>
      <c r="I78" s="77">
        <f t="shared" ref="I78:M78" si="11">IF($G$1=4,I57,I58)</f>
        <v>1.3574660633484115E-2</v>
      </c>
      <c r="J78" s="77">
        <f t="shared" si="11"/>
        <v>1.9119615478218499E-2</v>
      </c>
      <c r="K78" s="77">
        <f t="shared" si="11"/>
        <v>2.1680202356610057E-2</v>
      </c>
      <c r="L78" s="77">
        <f t="shared" si="11"/>
        <v>2.2144831398562603E-2</v>
      </c>
      <c r="M78" s="77">
        <f t="shared" si="11"/>
        <v>2.1072415699281422E-2</v>
      </c>
      <c r="N78" s="77"/>
      <c r="O78" s="37"/>
      <c r="P78" s="80"/>
      <c r="Q78" s="229"/>
      <c r="R78" s="229"/>
      <c r="S78" s="229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6" customHeight="1">
      <c r="C79" s="8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37"/>
      <c r="P79" s="80"/>
      <c r="Q79" s="229"/>
      <c r="R79" s="229"/>
      <c r="S79" s="229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ht="3" customHeight="1">
      <c r="A80" s="120"/>
      <c r="B80" s="120"/>
      <c r="C80" s="120"/>
      <c r="D80" s="1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37"/>
      <c r="P80" s="80"/>
      <c r="Q80" s="229"/>
      <c r="R80" s="229"/>
      <c r="S80" s="229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3:30" ht="21">
      <c r="C81" s="80"/>
      <c r="E81" s="123" t="str">
        <f>"All information below this line down to Row " &amp; ROW(E289) &amp; " is in " &amp; E38 &amp; " year-ends."</f>
        <v>All information below this line down to Row 289 is in June  year-ends.</v>
      </c>
      <c r="F81" s="77"/>
      <c r="G81" s="77"/>
      <c r="H81" s="77"/>
      <c r="I81" s="77"/>
      <c r="J81" s="77"/>
      <c r="K81" s="77"/>
      <c r="L81" s="77"/>
      <c r="M81" s="77"/>
      <c r="N81" s="77"/>
      <c r="O81" s="37"/>
      <c r="P81" s="80"/>
      <c r="Q81" s="229"/>
      <c r="R81" s="229"/>
      <c r="S81" s="229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3:30" ht="6" customHeight="1">
      <c r="C82" s="8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37"/>
      <c r="P82" s="80"/>
      <c r="Q82" s="229"/>
      <c r="R82" s="229"/>
      <c r="S82" s="229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3:30" ht="45">
      <c r="C83" s="129" t="s">
        <v>241</v>
      </c>
      <c r="D83" s="40"/>
      <c r="E83" s="127" t="str">
        <f t="shared" ref="E83:M83" si="12">E9</f>
        <v>01/07/09 to 30/06/10</v>
      </c>
      <c r="F83" s="127" t="str">
        <f t="shared" si="12"/>
        <v>01/07/10 to 30/06/11</v>
      </c>
      <c r="G83" s="127" t="str">
        <f t="shared" si="12"/>
        <v>01/07/11 to 30/06/12</v>
      </c>
      <c r="H83" s="127" t="str">
        <f t="shared" si="12"/>
        <v>01/07/12 to 30/06/13</v>
      </c>
      <c r="I83" s="127" t="str">
        <f t="shared" si="12"/>
        <v>01/07/13 to 30/06/14</v>
      </c>
      <c r="J83" s="127" t="str">
        <f t="shared" si="12"/>
        <v>01/07/14 to 30/06/15</v>
      </c>
      <c r="K83" s="127" t="str">
        <f t="shared" si="12"/>
        <v>01/07/15 to 30/06/16</v>
      </c>
      <c r="L83" s="127" t="str">
        <f t="shared" si="12"/>
        <v>01/07/16 to 30/06/17</v>
      </c>
      <c r="M83" s="127" t="str">
        <f t="shared" si="12"/>
        <v>01/07/17 to 30/06/18</v>
      </c>
      <c r="N83" s="77"/>
      <c r="O83" s="37"/>
      <c r="P83" s="80"/>
      <c r="Q83" s="229"/>
      <c r="R83" s="229"/>
      <c r="S83" s="229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3:30">
      <c r="C84" s="74" t="s">
        <v>89</v>
      </c>
      <c r="E84" s="35">
        <f t="shared" ref="E84:M84" si="13">IF($G$1=4,E56,E55)</f>
        <v>1.6651248843663202E-2</v>
      </c>
      <c r="F84" s="35">
        <f t="shared" si="13"/>
        <v>3.2132598262234913E-2</v>
      </c>
      <c r="G84" s="35">
        <f t="shared" si="13"/>
        <v>9.5073465859982775E-3</v>
      </c>
      <c r="H84" s="35">
        <f t="shared" si="13"/>
        <v>2.1404109589041154E-2</v>
      </c>
      <c r="I84" s="35">
        <f t="shared" si="13"/>
        <v>2.0117351215423351E-2</v>
      </c>
      <c r="J84" s="35">
        <f t="shared" si="13"/>
        <v>2.2144831398562603E-2</v>
      </c>
      <c r="K84" s="35">
        <f t="shared" si="13"/>
        <v>2.1072415699281422E-2</v>
      </c>
      <c r="L84" s="35">
        <f t="shared" si="13"/>
        <v>2.0000000000000018E-2</v>
      </c>
      <c r="M84" s="35">
        <f t="shared" si="13"/>
        <v>2.0000000000000018E-2</v>
      </c>
      <c r="N84" s="21"/>
      <c r="O84" s="37"/>
      <c r="P84" s="80"/>
      <c r="Q84" s="80"/>
      <c r="R84" s="80"/>
      <c r="S84" s="80"/>
    </row>
    <row r="85" spans="3:30">
      <c r="C85" s="74" t="s">
        <v>119</v>
      </c>
      <c r="E85" s="35"/>
      <c r="F85" s="35"/>
      <c r="G85" s="35">
        <f>IF($G$1=4,G56,G55)</f>
        <v>9.5073465859982775E-3</v>
      </c>
      <c r="H85" s="35">
        <f t="shared" ref="H85:M85" si="14">IF($G$1=4,H56,H55)</f>
        <v>2.1404109589041154E-2</v>
      </c>
      <c r="I85" s="35">
        <f t="shared" si="14"/>
        <v>2.0117351215423351E-2</v>
      </c>
      <c r="J85" s="35">
        <f t="shared" si="14"/>
        <v>2.2144831398562603E-2</v>
      </c>
      <c r="K85" s="35">
        <f t="shared" si="14"/>
        <v>2.1072415699281422E-2</v>
      </c>
      <c r="L85" s="35">
        <f t="shared" si="14"/>
        <v>2.0000000000000018E-2</v>
      </c>
      <c r="M85" s="35">
        <f t="shared" si="14"/>
        <v>2.0000000000000018E-2</v>
      </c>
      <c r="N85" s="21"/>
      <c r="O85" s="37"/>
      <c r="P85" s="80"/>
      <c r="Q85" s="80"/>
      <c r="R85" s="80"/>
      <c r="S85" s="80"/>
    </row>
    <row r="86" spans="3:30">
      <c r="C86" s="80" t="s">
        <v>85</v>
      </c>
      <c r="D86" s="80"/>
      <c r="E86" s="80"/>
      <c r="F86" s="174">
        <f>F32</f>
        <v>0</v>
      </c>
      <c r="G86" s="37">
        <f t="shared" ref="G86:M86" si="15">F86*(1+G85)</f>
        <v>0</v>
      </c>
      <c r="H86" s="37">
        <f t="shared" si="15"/>
        <v>0</v>
      </c>
      <c r="I86" s="37">
        <f t="shared" si="15"/>
        <v>0</v>
      </c>
      <c r="J86" s="37">
        <f t="shared" si="15"/>
        <v>0</v>
      </c>
      <c r="K86" s="37">
        <f t="shared" si="15"/>
        <v>0</v>
      </c>
      <c r="L86" s="37">
        <f t="shared" si="15"/>
        <v>0</v>
      </c>
      <c r="M86" s="37">
        <f t="shared" si="15"/>
        <v>0</v>
      </c>
      <c r="N86" s="80"/>
      <c r="O86" s="80"/>
      <c r="P86" s="80"/>
      <c r="Q86" s="80"/>
      <c r="R86" s="80"/>
      <c r="S86" s="80"/>
    </row>
    <row r="87" spans="3:30">
      <c r="N87" s="45"/>
      <c r="O87" s="80"/>
      <c r="P87" s="80"/>
      <c r="Q87" s="80"/>
      <c r="R87" s="80"/>
      <c r="S87" s="80"/>
    </row>
    <row r="88" spans="3:30" ht="23.25">
      <c r="C88" s="84" t="s">
        <v>71</v>
      </c>
      <c r="D88" s="85"/>
      <c r="E88" s="2"/>
      <c r="F88" s="85"/>
      <c r="G88" s="2"/>
      <c r="H88" s="2"/>
      <c r="I88" s="2"/>
      <c r="J88" s="2"/>
      <c r="K88" s="2"/>
      <c r="L88" s="2"/>
      <c r="M88" s="2"/>
      <c r="N88" s="2"/>
      <c r="O88" s="228"/>
      <c r="P88" s="228"/>
      <c r="Q88" s="228"/>
      <c r="R88" s="228"/>
      <c r="S88" s="228"/>
    </row>
    <row r="89" spans="3:30">
      <c r="N89" s="45"/>
      <c r="O89" s="80"/>
      <c r="P89" s="80"/>
      <c r="Q89" s="80"/>
      <c r="R89" s="80"/>
      <c r="S89" s="80"/>
    </row>
    <row r="90" spans="3:30" ht="15.75">
      <c r="C90" s="16" t="s">
        <v>20</v>
      </c>
      <c r="E90" s="13">
        <f>Inputs!D13</f>
        <v>0.3</v>
      </c>
      <c r="F90" s="13">
        <f>Inputs!E13</f>
        <v>0.3</v>
      </c>
      <c r="G90" s="13">
        <f>Inputs!F13</f>
        <v>0.28000000000000003</v>
      </c>
      <c r="H90" s="13">
        <f>Inputs!G13</f>
        <v>0.28000000000000003</v>
      </c>
      <c r="I90" s="13">
        <f>Inputs!H13</f>
        <v>0.28000000000000003</v>
      </c>
      <c r="J90" s="13">
        <f>Inputs!I13</f>
        <v>0.28000000000000003</v>
      </c>
      <c r="K90" s="13">
        <f>Inputs!J13</f>
        <v>0.28000000000000003</v>
      </c>
      <c r="L90" s="13">
        <f>Inputs!K13</f>
        <v>0.28000000000000003</v>
      </c>
      <c r="M90" s="13">
        <f>Inputs!L13</f>
        <v>0.28000000000000003</v>
      </c>
      <c r="N90" s="45"/>
      <c r="O90" s="80"/>
      <c r="P90" s="80"/>
      <c r="Q90" s="80"/>
      <c r="R90" s="80"/>
      <c r="S90" s="80"/>
    </row>
    <row r="91" spans="3:30">
      <c r="C91" s="74" t="s">
        <v>21</v>
      </c>
      <c r="E91" s="173">
        <f>F91+1</f>
        <v>30.017026323028421</v>
      </c>
      <c r="F91" s="177">
        <f>F26/F27</f>
        <v>29.017026323028421</v>
      </c>
      <c r="G91" s="18">
        <f t="shared" ref="G91:M91" si="16">F91-1</f>
        <v>28.017026323028421</v>
      </c>
      <c r="H91" s="18">
        <f t="shared" si="16"/>
        <v>27.017026323028421</v>
      </c>
      <c r="I91" s="18">
        <f t="shared" si="16"/>
        <v>26.017026323028421</v>
      </c>
      <c r="J91" s="18">
        <f t="shared" si="16"/>
        <v>25.017026323028421</v>
      </c>
      <c r="K91" s="18">
        <f t="shared" si="16"/>
        <v>24.017026323028421</v>
      </c>
      <c r="L91" s="18">
        <f t="shared" si="16"/>
        <v>23.017026323028421</v>
      </c>
      <c r="M91" s="18">
        <f t="shared" si="16"/>
        <v>22.017026323028421</v>
      </c>
      <c r="N91" s="45"/>
    </row>
    <row r="92" spans="3:30">
      <c r="C92" s="74" t="s">
        <v>114</v>
      </c>
      <c r="E92" s="80"/>
      <c r="F92" s="80"/>
      <c r="G92" s="35">
        <f>IF($G$1=4,G56,G55)</f>
        <v>9.5073465859982775E-3</v>
      </c>
      <c r="H92" s="35">
        <f t="shared" ref="H92:M92" si="17">IF($G$1=4,H56,H55)</f>
        <v>2.1404109589041154E-2</v>
      </c>
      <c r="I92" s="35">
        <f t="shared" si="17"/>
        <v>2.0117351215423351E-2</v>
      </c>
      <c r="J92" s="35">
        <f t="shared" si="17"/>
        <v>2.2144831398562603E-2</v>
      </c>
      <c r="K92" s="35">
        <f t="shared" si="17"/>
        <v>2.1072415699281422E-2</v>
      </c>
      <c r="L92" s="35">
        <f t="shared" si="17"/>
        <v>2.0000000000000018E-2</v>
      </c>
      <c r="M92" s="35">
        <f t="shared" si="17"/>
        <v>2.0000000000000018E-2</v>
      </c>
      <c r="N92" s="45"/>
    </row>
    <row r="93" spans="3:30">
      <c r="C93" s="74" t="s">
        <v>23</v>
      </c>
      <c r="E93" s="88">
        <f>E34</f>
        <v>317</v>
      </c>
      <c r="F93" s="179">
        <f>F28*0</f>
        <v>0</v>
      </c>
      <c r="G93" s="29">
        <f t="shared" ref="G93:M93" si="18">F93*(1+G92)</f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45"/>
    </row>
    <row r="94" spans="3:30">
      <c r="E94" s="63"/>
      <c r="F94" s="63"/>
      <c r="G94" s="29"/>
      <c r="H94" s="29"/>
      <c r="I94" s="29"/>
      <c r="J94" s="29"/>
      <c r="K94" s="29"/>
      <c r="L94" s="29"/>
      <c r="M94" s="29"/>
      <c r="N94" s="45"/>
    </row>
    <row r="95" spans="3:30" ht="21">
      <c r="C95" s="3" t="s">
        <v>224</v>
      </c>
      <c r="D95" s="75"/>
      <c r="N95" s="45"/>
    </row>
    <row r="96" spans="3:30" ht="15.75">
      <c r="C96" s="5" t="s">
        <v>196</v>
      </c>
      <c r="D96" s="78"/>
      <c r="E96" s="10" t="str">
        <f>E$21</f>
        <v>2009/10</v>
      </c>
      <c r="F96" s="10" t="str">
        <f t="shared" ref="F96:M96" si="19">F$21</f>
        <v>2010/11</v>
      </c>
      <c r="G96" s="10" t="str">
        <f t="shared" si="19"/>
        <v>2011/12</v>
      </c>
      <c r="H96" s="10" t="str">
        <f t="shared" si="19"/>
        <v>2012/13</v>
      </c>
      <c r="I96" s="10" t="str">
        <f t="shared" si="19"/>
        <v>2013/14</v>
      </c>
      <c r="J96" s="10" t="str">
        <f t="shared" si="19"/>
        <v>2014/15</v>
      </c>
      <c r="K96" s="10" t="str">
        <f t="shared" si="19"/>
        <v>2015/16</v>
      </c>
      <c r="L96" s="10" t="str">
        <f t="shared" si="19"/>
        <v>2016/17</v>
      </c>
      <c r="M96" s="10" t="str">
        <f t="shared" si="19"/>
        <v>2017/18</v>
      </c>
      <c r="N96" s="45"/>
      <c r="Q96" s="74" t="s">
        <v>169</v>
      </c>
    </row>
    <row r="97" spans="1:17">
      <c r="C97" s="74" t="s">
        <v>75</v>
      </c>
      <c r="E97" s="88">
        <f>E33</f>
        <v>487595</v>
      </c>
      <c r="F97" s="179">
        <f>F26</f>
        <v>488298.51896392228</v>
      </c>
      <c r="G97" s="29">
        <f t="shared" ref="G97:M97" si="20">F101</f>
        <v>487145.12880569237</v>
      </c>
      <c r="H97" s="29">
        <f t="shared" si="20"/>
        <v>474384.4876335325</v>
      </c>
      <c r="I97" s="29">
        <f t="shared" si="20"/>
        <v>466969.3881892176</v>
      </c>
      <c r="J97" s="29">
        <f t="shared" si="20"/>
        <v>458405.57390632562</v>
      </c>
      <c r="K97" s="29">
        <f t="shared" si="20"/>
        <v>450222.99322129175</v>
      </c>
      <c r="L97" s="29">
        <f t="shared" si="20"/>
        <v>440954.79959329712</v>
      </c>
      <c r="M97" s="29">
        <f t="shared" si="20"/>
        <v>430607.31069419859</v>
      </c>
      <c r="N97" s="45"/>
    </row>
    <row r="98" spans="1:17">
      <c r="C98" s="74" t="s">
        <v>23</v>
      </c>
      <c r="D98" s="78"/>
      <c r="E98" s="29">
        <f>E93</f>
        <v>317</v>
      </c>
      <c r="F98" s="29">
        <f t="shared" ref="F98:M98" si="21">F93</f>
        <v>0</v>
      </c>
      <c r="G98" s="29">
        <f t="shared" si="21"/>
        <v>0</v>
      </c>
      <c r="H98" s="29">
        <f t="shared" si="21"/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29">
        <f t="shared" si="21"/>
        <v>0</v>
      </c>
      <c r="N98" s="45"/>
    </row>
    <row r="99" spans="1:17">
      <c r="C99" s="74" t="s">
        <v>24</v>
      </c>
      <c r="E99" s="29">
        <f>(E97*0.999-E98)*E84</f>
        <v>8105.668168362592</v>
      </c>
      <c r="F99" s="29">
        <f t="shared" ref="F99:M99" si="22">(F97*0.999-F98)*F84</f>
        <v>15674.6098417701</v>
      </c>
      <c r="G99" s="29">
        <f t="shared" si="22"/>
        <v>4626.8261196592539</v>
      </c>
      <c r="H99" s="29">
        <f t="shared" si="22"/>
        <v>10143.623783088618</v>
      </c>
      <c r="I99" s="29">
        <f t="shared" si="22"/>
        <v>9384.7930018648021</v>
      </c>
      <c r="J99" s="29">
        <f t="shared" si="22"/>
        <v>10141.162832170592</v>
      </c>
      <c r="K99" s="29">
        <f t="shared" si="22"/>
        <v>9477.7987844632862</v>
      </c>
      <c r="L99" s="29">
        <f t="shared" si="22"/>
        <v>8810.2768958740835</v>
      </c>
      <c r="M99" s="29">
        <f t="shared" si="22"/>
        <v>8603.5340676700962</v>
      </c>
      <c r="N99" s="45"/>
    </row>
    <row r="100" spans="1:17">
      <c r="C100" s="74" t="s">
        <v>25</v>
      </c>
      <c r="E100" s="88"/>
      <c r="F100" s="29">
        <f t="shared" ref="F100:M100" si="23">F97/F91</f>
        <v>16828</v>
      </c>
      <c r="G100" s="29">
        <f t="shared" si="23"/>
        <v>17387.467291819135</v>
      </c>
      <c r="H100" s="29">
        <f t="shared" si="23"/>
        <v>17558.72322740356</v>
      </c>
      <c r="I100" s="29">
        <f t="shared" si="23"/>
        <v>17948.60728475681</v>
      </c>
      <c r="J100" s="29">
        <f t="shared" si="23"/>
        <v>18323.743517204472</v>
      </c>
      <c r="K100" s="29">
        <f t="shared" si="23"/>
        <v>18745.992412457872</v>
      </c>
      <c r="L100" s="29">
        <f t="shared" si="23"/>
        <v>19157.765794972569</v>
      </c>
      <c r="M100" s="29">
        <f t="shared" si="23"/>
        <v>19557.923235246828</v>
      </c>
      <c r="N100" s="45"/>
    </row>
    <row r="101" spans="1:17">
      <c r="C101" s="74" t="s">
        <v>26</v>
      </c>
      <c r="E101" s="78"/>
      <c r="F101" s="78">
        <f>F97-F98+F99-F100</f>
        <v>487145.12880569237</v>
      </c>
      <c r="G101" s="78">
        <f t="shared" ref="G101:M101" si="24">G97-G98+G99-G100</f>
        <v>474384.4876335325</v>
      </c>
      <c r="H101" s="78">
        <f t="shared" si="24"/>
        <v>466969.3881892176</v>
      </c>
      <c r="I101" s="29">
        <f t="shared" si="24"/>
        <v>458405.57390632562</v>
      </c>
      <c r="J101" s="29">
        <f t="shared" si="24"/>
        <v>450222.99322129175</v>
      </c>
      <c r="K101" s="29">
        <f t="shared" si="24"/>
        <v>440954.79959329712</v>
      </c>
      <c r="L101" s="29">
        <f t="shared" si="24"/>
        <v>430607.31069419859</v>
      </c>
      <c r="M101" s="29">
        <f t="shared" si="24"/>
        <v>419652.92152662185</v>
      </c>
      <c r="N101" s="45"/>
    </row>
    <row r="102" spans="1:17">
      <c r="N102" s="45"/>
    </row>
    <row r="103" spans="1:17" ht="15.75">
      <c r="C103" s="5" t="s">
        <v>197</v>
      </c>
      <c r="E103" s="10" t="str">
        <f>E$21</f>
        <v>2009/10</v>
      </c>
      <c r="F103" s="10" t="str">
        <f t="shared" ref="F103:M103" si="25">F$21</f>
        <v>2010/11</v>
      </c>
      <c r="G103" s="10" t="str">
        <f t="shared" si="25"/>
        <v>2011/12</v>
      </c>
      <c r="H103" s="10" t="str">
        <f t="shared" si="25"/>
        <v>2012/13</v>
      </c>
      <c r="I103" s="10" t="str">
        <f t="shared" si="25"/>
        <v>2013/14</v>
      </c>
      <c r="J103" s="10" t="str">
        <f t="shared" si="25"/>
        <v>2014/15</v>
      </c>
      <c r="K103" s="10" t="str">
        <f t="shared" si="25"/>
        <v>2015/16</v>
      </c>
      <c r="L103" s="10" t="str">
        <f t="shared" si="25"/>
        <v>2016/17</v>
      </c>
      <c r="M103" s="10" t="str">
        <f t="shared" si="25"/>
        <v>2017/18</v>
      </c>
      <c r="N103" s="45"/>
      <c r="Q103" s="74" t="s">
        <v>169</v>
      </c>
    </row>
    <row r="104" spans="1:17">
      <c r="C104" s="20" t="s">
        <v>41</v>
      </c>
      <c r="E104" s="180">
        <v>1</v>
      </c>
      <c r="F104" s="20">
        <f>E104+1</f>
        <v>2</v>
      </c>
      <c r="G104" s="20">
        <f t="shared" ref="G104:M104" si="26">F104+1</f>
        <v>3</v>
      </c>
      <c r="H104" s="20">
        <f t="shared" si="26"/>
        <v>4</v>
      </c>
      <c r="I104" s="20">
        <f t="shared" si="26"/>
        <v>5</v>
      </c>
      <c r="J104" s="20">
        <f t="shared" si="26"/>
        <v>6</v>
      </c>
      <c r="K104" s="20">
        <f t="shared" si="26"/>
        <v>7</v>
      </c>
      <c r="L104" s="20">
        <f t="shared" si="26"/>
        <v>8</v>
      </c>
      <c r="M104" s="20">
        <f t="shared" si="26"/>
        <v>9</v>
      </c>
      <c r="N104" s="45"/>
    </row>
    <row r="105" spans="1:17">
      <c r="C105" s="74" t="s">
        <v>22</v>
      </c>
      <c r="D105" s="78"/>
      <c r="E105" s="181">
        <v>0</v>
      </c>
      <c r="F105" s="78">
        <f>F$48</f>
        <v>11521</v>
      </c>
      <c r="G105" s="78">
        <f t="shared" ref="G105:M105" si="27">G$48</f>
        <v>11898.39590487747</v>
      </c>
      <c r="H105" s="78">
        <f t="shared" si="27"/>
        <v>16279.6723450229</v>
      </c>
      <c r="I105" s="78">
        <f t="shared" si="27"/>
        <v>25950.952115017339</v>
      </c>
      <c r="J105" s="78">
        <f t="shared" si="27"/>
        <v>11326.972118574446</v>
      </c>
      <c r="K105" s="78">
        <f t="shared" si="27"/>
        <v>10669.298823753605</v>
      </c>
      <c r="L105" s="78">
        <f t="shared" si="27"/>
        <v>10558.46804828866</v>
      </c>
      <c r="M105" s="78">
        <f t="shared" si="27"/>
        <v>10765.935389779879</v>
      </c>
      <c r="N105" s="45"/>
    </row>
    <row r="106" spans="1:17">
      <c r="A106" s="74">
        <v>1</v>
      </c>
      <c r="C106" s="74" t="s">
        <v>350</v>
      </c>
      <c r="E106" s="181">
        <v>0</v>
      </c>
      <c r="F106" s="78">
        <f>E142</f>
        <v>0</v>
      </c>
      <c r="G106" s="78">
        <f t="shared" ref="G106:M114" si="28">F142</f>
        <v>0</v>
      </c>
      <c r="H106" s="78">
        <f t="shared" si="28"/>
        <v>0</v>
      </c>
      <c r="I106" s="78">
        <f t="shared" si="28"/>
        <v>0</v>
      </c>
      <c r="J106" s="78">
        <f t="shared" si="28"/>
        <v>0</v>
      </c>
      <c r="K106" s="78">
        <f t="shared" si="28"/>
        <v>0</v>
      </c>
      <c r="L106" s="78">
        <f t="shared" si="28"/>
        <v>0</v>
      </c>
      <c r="M106" s="78">
        <f t="shared" si="28"/>
        <v>0</v>
      </c>
      <c r="N106" s="45"/>
    </row>
    <row r="107" spans="1:17">
      <c r="A107" s="74">
        <v>2</v>
      </c>
      <c r="C107" s="74" t="s">
        <v>351</v>
      </c>
      <c r="E107" s="181">
        <v>0</v>
      </c>
      <c r="F107" s="78">
        <f t="shared" ref="F107:J110" si="29">E143</f>
        <v>0</v>
      </c>
      <c r="G107" s="78">
        <f t="shared" si="29"/>
        <v>11521</v>
      </c>
      <c r="H107" s="78">
        <f t="shared" si="29"/>
        <v>11374.511917795064</v>
      </c>
      <c r="I107" s="78">
        <f t="shared" si="29"/>
        <v>11359.461582910062</v>
      </c>
      <c r="J107" s="78">
        <f t="shared" si="29"/>
        <v>11323.810336007618</v>
      </c>
      <c r="K107" s="78">
        <f t="shared" si="28"/>
        <v>11304.959674878102</v>
      </c>
      <c r="L107" s="78">
        <f t="shared" si="28"/>
        <v>11267.451760833232</v>
      </c>
      <c r="M107" s="78">
        <f t="shared" si="28"/>
        <v>11211.114502029066</v>
      </c>
      <c r="N107" s="45"/>
    </row>
    <row r="108" spans="1:17">
      <c r="A108" s="74">
        <v>3</v>
      </c>
      <c r="C108" s="74" t="s">
        <v>352</v>
      </c>
      <c r="E108" s="181">
        <v>0</v>
      </c>
      <c r="F108" s="78">
        <f t="shared" si="29"/>
        <v>0</v>
      </c>
      <c r="G108" s="78">
        <f t="shared" si="29"/>
        <v>0</v>
      </c>
      <c r="H108" s="78">
        <f t="shared" si="29"/>
        <v>11898.39590487747</v>
      </c>
      <c r="I108" s="78">
        <f t="shared" si="29"/>
        <v>11888.6616768731</v>
      </c>
      <c r="J108" s="78">
        <f t="shared" si="29"/>
        <v>11857.63320301553</v>
      </c>
      <c r="K108" s="78">
        <f t="shared" si="28"/>
        <v>11844.459579384271</v>
      </c>
      <c r="L108" s="78">
        <f t="shared" si="28"/>
        <v>11812.0400130081</v>
      </c>
      <c r="M108" s="78">
        <f t="shared" si="28"/>
        <v>11760.182276365626</v>
      </c>
      <c r="N108" s="45"/>
    </row>
    <row r="109" spans="1:17">
      <c r="A109" s="74">
        <v>4</v>
      </c>
      <c r="C109" s="74" t="s">
        <v>353</v>
      </c>
      <c r="E109" s="181">
        <v>0</v>
      </c>
      <c r="F109" s="78">
        <f t="shared" si="29"/>
        <v>0</v>
      </c>
      <c r="G109" s="78">
        <f t="shared" si="29"/>
        <v>0</v>
      </c>
      <c r="H109" s="78">
        <f t="shared" si="29"/>
        <v>0</v>
      </c>
      <c r="I109" s="78">
        <f t="shared" si="29"/>
        <v>16279.6723450229</v>
      </c>
      <c r="J109" s="78">
        <f t="shared" si="29"/>
        <v>16245.405734703678</v>
      </c>
      <c r="K109" s="78">
        <f t="shared" si="28"/>
        <v>16235.943739002121</v>
      </c>
      <c r="L109" s="78">
        <f t="shared" si="28"/>
        <v>16200.494207786982</v>
      </c>
      <c r="M109" s="78">
        <f t="shared" si="28"/>
        <v>16138.778039376366</v>
      </c>
      <c r="N109" s="45"/>
    </row>
    <row r="110" spans="1:17">
      <c r="A110" s="74">
        <v>5</v>
      </c>
      <c r="C110" s="74" t="s">
        <v>354</v>
      </c>
      <c r="E110" s="181">
        <v>0</v>
      </c>
      <c r="F110" s="78">
        <f t="shared" si="29"/>
        <v>0</v>
      </c>
      <c r="G110" s="78">
        <f t="shared" si="29"/>
        <v>0</v>
      </c>
      <c r="H110" s="78">
        <f t="shared" si="29"/>
        <v>0</v>
      </c>
      <c r="I110" s="78">
        <f t="shared" si="29"/>
        <v>0</v>
      </c>
      <c r="J110" s="78">
        <f t="shared" si="29"/>
        <v>25950.952115017339</v>
      </c>
      <c r="K110" s="78">
        <f t="shared" si="28"/>
        <v>25948.943749458405</v>
      </c>
      <c r="L110" s="78">
        <f t="shared" si="28"/>
        <v>25906.001957525663</v>
      </c>
      <c r="M110" s="78">
        <f t="shared" si="28"/>
        <v>25821.656834873254</v>
      </c>
      <c r="N110" s="45"/>
    </row>
    <row r="111" spans="1:17">
      <c r="A111" s="74">
        <v>6</v>
      </c>
      <c r="C111" s="74" t="s">
        <v>355</v>
      </c>
      <c r="E111" s="181">
        <v>0</v>
      </c>
      <c r="F111" s="78">
        <f>E147</f>
        <v>0</v>
      </c>
      <c r="G111" s="78">
        <f>F147</f>
        <v>0</v>
      </c>
      <c r="H111" s="78">
        <f>G147</f>
        <v>0</v>
      </c>
      <c r="I111" s="78">
        <f>H147</f>
        <v>0</v>
      </c>
      <c r="J111" s="78">
        <f>I147</f>
        <v>0</v>
      </c>
      <c r="K111" s="78">
        <f t="shared" si="28"/>
        <v>11326.972118574446</v>
      </c>
      <c r="L111" s="78">
        <f t="shared" si="28"/>
        <v>11313.948292147341</v>
      </c>
      <c r="M111" s="78">
        <f t="shared" si="28"/>
        <v>11283.092069532393</v>
      </c>
      <c r="N111" s="45"/>
    </row>
    <row r="112" spans="1:17">
      <c r="A112" s="74">
        <v>7</v>
      </c>
      <c r="C112" s="74" t="s">
        <v>356</v>
      </c>
      <c r="E112" s="181">
        <v>0</v>
      </c>
      <c r="F112" s="78">
        <f t="shared" ref="F112:J114" si="30">E148</f>
        <v>0</v>
      </c>
      <c r="G112" s="78">
        <f t="shared" si="30"/>
        <v>0</v>
      </c>
      <c r="H112" s="78">
        <f t="shared" si="30"/>
        <v>0</v>
      </c>
      <c r="I112" s="78">
        <f t="shared" si="30"/>
        <v>0</v>
      </c>
      <c r="J112" s="78">
        <f t="shared" si="30"/>
        <v>0</v>
      </c>
      <c r="K112" s="78">
        <f t="shared" si="28"/>
        <v>0</v>
      </c>
      <c r="L112" s="78">
        <f t="shared" si="28"/>
        <v>10669.298823753605</v>
      </c>
      <c r="M112" s="78">
        <f t="shared" si="28"/>
        <v>10645.58927081193</v>
      </c>
      <c r="N112" s="45"/>
    </row>
    <row r="113" spans="1:14">
      <c r="A113" s="74">
        <v>8</v>
      </c>
      <c r="C113" s="74" t="s">
        <v>357</v>
      </c>
      <c r="E113" s="181">
        <v>0</v>
      </c>
      <c r="F113" s="78">
        <f t="shared" si="30"/>
        <v>0</v>
      </c>
      <c r="G113" s="78">
        <f t="shared" si="30"/>
        <v>0</v>
      </c>
      <c r="H113" s="78">
        <f t="shared" si="30"/>
        <v>0</v>
      </c>
      <c r="I113" s="78">
        <f t="shared" si="30"/>
        <v>0</v>
      </c>
      <c r="J113" s="78">
        <f t="shared" si="30"/>
        <v>0</v>
      </c>
      <c r="K113" s="78">
        <f t="shared" si="28"/>
        <v>0</v>
      </c>
      <c r="L113" s="78">
        <f t="shared" si="28"/>
        <v>0</v>
      </c>
      <c r="M113" s="78">
        <f t="shared" si="28"/>
        <v>10558.46804828866</v>
      </c>
      <c r="N113" s="45"/>
    </row>
    <row r="114" spans="1:14">
      <c r="A114" s="74">
        <v>9</v>
      </c>
      <c r="C114" s="74" t="s">
        <v>358</v>
      </c>
      <c r="E114" s="181">
        <v>0</v>
      </c>
      <c r="F114" s="78">
        <f t="shared" si="30"/>
        <v>0</v>
      </c>
      <c r="G114" s="78">
        <f t="shared" si="30"/>
        <v>0</v>
      </c>
      <c r="H114" s="78">
        <f t="shared" si="30"/>
        <v>0</v>
      </c>
      <c r="I114" s="78">
        <f t="shared" si="30"/>
        <v>0</v>
      </c>
      <c r="J114" s="78">
        <f t="shared" si="30"/>
        <v>0</v>
      </c>
      <c r="K114" s="78">
        <f t="shared" si="28"/>
        <v>0</v>
      </c>
      <c r="L114" s="78">
        <f t="shared" si="28"/>
        <v>0</v>
      </c>
      <c r="M114" s="78">
        <f t="shared" si="28"/>
        <v>0</v>
      </c>
      <c r="N114" s="45"/>
    </row>
    <row r="115" spans="1:14">
      <c r="A115" s="74">
        <v>1</v>
      </c>
      <c r="C115" s="74" t="s">
        <v>359</v>
      </c>
      <c r="E115" s="181">
        <f>Inputs!$C$7+$A115</f>
        <v>46</v>
      </c>
      <c r="F115" s="78">
        <f>E115-1</f>
        <v>45</v>
      </c>
      <c r="G115" s="78">
        <f t="shared" ref="G115:M123" si="31">F115-1</f>
        <v>44</v>
      </c>
      <c r="H115" s="78">
        <f t="shared" si="31"/>
        <v>43</v>
      </c>
      <c r="I115" s="78">
        <f t="shared" si="31"/>
        <v>42</v>
      </c>
      <c r="J115" s="78">
        <f t="shared" si="31"/>
        <v>41</v>
      </c>
      <c r="K115" s="78">
        <f t="shared" si="31"/>
        <v>40</v>
      </c>
      <c r="L115" s="78">
        <f t="shared" si="31"/>
        <v>39</v>
      </c>
      <c r="M115" s="78">
        <f t="shared" si="31"/>
        <v>38</v>
      </c>
      <c r="N115" s="45"/>
    </row>
    <row r="116" spans="1:14">
      <c r="A116" s="74">
        <v>2</v>
      </c>
      <c r="C116" s="74" t="s">
        <v>360</v>
      </c>
      <c r="E116" s="181">
        <f>Inputs!$C$7+$A116</f>
        <v>47</v>
      </c>
      <c r="F116" s="78">
        <f t="shared" ref="F116:J123" si="32">E116-1</f>
        <v>46</v>
      </c>
      <c r="G116" s="78">
        <f t="shared" si="32"/>
        <v>45</v>
      </c>
      <c r="H116" s="78">
        <f t="shared" si="32"/>
        <v>44</v>
      </c>
      <c r="I116" s="78">
        <f t="shared" si="32"/>
        <v>43</v>
      </c>
      <c r="J116" s="78">
        <f t="shared" si="32"/>
        <v>42</v>
      </c>
      <c r="K116" s="78">
        <f t="shared" si="31"/>
        <v>41</v>
      </c>
      <c r="L116" s="78">
        <f t="shared" si="31"/>
        <v>40</v>
      </c>
      <c r="M116" s="78">
        <f t="shared" si="31"/>
        <v>39</v>
      </c>
      <c r="N116" s="45"/>
    </row>
    <row r="117" spans="1:14">
      <c r="A117" s="74">
        <v>3</v>
      </c>
      <c r="C117" s="74" t="s">
        <v>361</v>
      </c>
      <c r="E117" s="181">
        <f>Inputs!$C$7+$A117</f>
        <v>48</v>
      </c>
      <c r="F117" s="78">
        <f t="shared" si="32"/>
        <v>47</v>
      </c>
      <c r="G117" s="78">
        <f t="shared" si="32"/>
        <v>46</v>
      </c>
      <c r="H117" s="78">
        <f t="shared" si="32"/>
        <v>45</v>
      </c>
      <c r="I117" s="78">
        <f t="shared" si="32"/>
        <v>44</v>
      </c>
      <c r="J117" s="78">
        <f t="shared" si="32"/>
        <v>43</v>
      </c>
      <c r="K117" s="78">
        <f t="shared" si="31"/>
        <v>42</v>
      </c>
      <c r="L117" s="78">
        <f t="shared" si="31"/>
        <v>41</v>
      </c>
      <c r="M117" s="78">
        <f t="shared" si="31"/>
        <v>40</v>
      </c>
      <c r="N117" s="45"/>
    </row>
    <row r="118" spans="1:14">
      <c r="A118" s="74">
        <v>4</v>
      </c>
      <c r="C118" s="74" t="s">
        <v>362</v>
      </c>
      <c r="E118" s="181">
        <f>Inputs!$C$7+$A118</f>
        <v>49</v>
      </c>
      <c r="F118" s="78">
        <f t="shared" si="32"/>
        <v>48</v>
      </c>
      <c r="G118" s="78">
        <f t="shared" si="32"/>
        <v>47</v>
      </c>
      <c r="H118" s="78">
        <f t="shared" si="32"/>
        <v>46</v>
      </c>
      <c r="I118" s="78">
        <f t="shared" si="32"/>
        <v>45</v>
      </c>
      <c r="J118" s="78">
        <f t="shared" si="32"/>
        <v>44</v>
      </c>
      <c r="K118" s="78">
        <f t="shared" si="31"/>
        <v>43</v>
      </c>
      <c r="L118" s="78">
        <f t="shared" si="31"/>
        <v>42</v>
      </c>
      <c r="M118" s="78">
        <f t="shared" si="31"/>
        <v>41</v>
      </c>
      <c r="N118" s="45"/>
    </row>
    <row r="119" spans="1:14">
      <c r="A119" s="74">
        <v>5</v>
      </c>
      <c r="C119" s="74" t="s">
        <v>363</v>
      </c>
      <c r="E119" s="181">
        <f>Inputs!$C$7+$A119</f>
        <v>50</v>
      </c>
      <c r="F119" s="78">
        <f t="shared" si="32"/>
        <v>49</v>
      </c>
      <c r="G119" s="78">
        <f t="shared" si="32"/>
        <v>48</v>
      </c>
      <c r="H119" s="78">
        <f t="shared" si="32"/>
        <v>47</v>
      </c>
      <c r="I119" s="78">
        <f t="shared" si="32"/>
        <v>46</v>
      </c>
      <c r="J119" s="78">
        <f t="shared" si="32"/>
        <v>45</v>
      </c>
      <c r="K119" s="78">
        <f t="shared" si="31"/>
        <v>44</v>
      </c>
      <c r="L119" s="78">
        <f t="shared" si="31"/>
        <v>43</v>
      </c>
      <c r="M119" s="78">
        <f t="shared" si="31"/>
        <v>42</v>
      </c>
      <c r="N119" s="45"/>
    </row>
    <row r="120" spans="1:14">
      <c r="A120" s="74">
        <v>6</v>
      </c>
      <c r="C120" s="74" t="s">
        <v>364</v>
      </c>
      <c r="E120" s="181">
        <f>Inputs!$C$7+$A120</f>
        <v>51</v>
      </c>
      <c r="F120" s="78">
        <f t="shared" si="32"/>
        <v>50</v>
      </c>
      <c r="G120" s="78">
        <f t="shared" si="32"/>
        <v>49</v>
      </c>
      <c r="H120" s="78">
        <f t="shared" si="32"/>
        <v>48</v>
      </c>
      <c r="I120" s="78">
        <f t="shared" si="32"/>
        <v>47</v>
      </c>
      <c r="J120" s="78">
        <f t="shared" si="32"/>
        <v>46</v>
      </c>
      <c r="K120" s="78">
        <f t="shared" si="31"/>
        <v>45</v>
      </c>
      <c r="L120" s="78">
        <f t="shared" si="31"/>
        <v>44</v>
      </c>
      <c r="M120" s="78">
        <f t="shared" si="31"/>
        <v>43</v>
      </c>
      <c r="N120" s="45"/>
    </row>
    <row r="121" spans="1:14">
      <c r="A121" s="74">
        <v>7</v>
      </c>
      <c r="C121" s="74" t="s">
        <v>365</v>
      </c>
      <c r="E121" s="181">
        <f>Inputs!$C$7+$A121</f>
        <v>52</v>
      </c>
      <c r="F121" s="78">
        <f t="shared" si="32"/>
        <v>51</v>
      </c>
      <c r="G121" s="78">
        <f t="shared" si="32"/>
        <v>50</v>
      </c>
      <c r="H121" s="78">
        <f t="shared" si="32"/>
        <v>49</v>
      </c>
      <c r="I121" s="78">
        <f t="shared" si="32"/>
        <v>48</v>
      </c>
      <c r="J121" s="78">
        <f t="shared" si="32"/>
        <v>47</v>
      </c>
      <c r="K121" s="78">
        <f t="shared" si="31"/>
        <v>46</v>
      </c>
      <c r="L121" s="78">
        <f t="shared" si="31"/>
        <v>45</v>
      </c>
      <c r="M121" s="78">
        <f t="shared" si="31"/>
        <v>44</v>
      </c>
      <c r="N121" s="45"/>
    </row>
    <row r="122" spans="1:14">
      <c r="A122" s="74">
        <v>8</v>
      </c>
      <c r="C122" s="74" t="s">
        <v>366</v>
      </c>
      <c r="E122" s="181">
        <f>Inputs!$C$7+$A122</f>
        <v>53</v>
      </c>
      <c r="F122" s="78">
        <f t="shared" si="32"/>
        <v>52</v>
      </c>
      <c r="G122" s="78">
        <f t="shared" si="32"/>
        <v>51</v>
      </c>
      <c r="H122" s="78">
        <f t="shared" si="32"/>
        <v>50</v>
      </c>
      <c r="I122" s="78">
        <f t="shared" si="32"/>
        <v>49</v>
      </c>
      <c r="J122" s="78">
        <f t="shared" si="32"/>
        <v>48</v>
      </c>
      <c r="K122" s="78">
        <f t="shared" si="31"/>
        <v>47</v>
      </c>
      <c r="L122" s="78">
        <f t="shared" si="31"/>
        <v>46</v>
      </c>
      <c r="M122" s="78">
        <f t="shared" si="31"/>
        <v>45</v>
      </c>
      <c r="N122" s="45"/>
    </row>
    <row r="123" spans="1:14">
      <c r="A123" s="74">
        <v>9</v>
      </c>
      <c r="C123" s="74" t="s">
        <v>367</v>
      </c>
      <c r="E123" s="181">
        <f>Inputs!$C$7+$A123</f>
        <v>54</v>
      </c>
      <c r="F123" s="78">
        <f t="shared" si="32"/>
        <v>53</v>
      </c>
      <c r="G123" s="78">
        <f t="shared" si="32"/>
        <v>52</v>
      </c>
      <c r="H123" s="78">
        <f t="shared" si="32"/>
        <v>51</v>
      </c>
      <c r="I123" s="78">
        <f t="shared" si="32"/>
        <v>50</v>
      </c>
      <c r="J123" s="78">
        <f t="shared" si="32"/>
        <v>49</v>
      </c>
      <c r="K123" s="78">
        <f t="shared" si="31"/>
        <v>48</v>
      </c>
      <c r="L123" s="78">
        <f t="shared" si="31"/>
        <v>47</v>
      </c>
      <c r="M123" s="78">
        <f t="shared" si="31"/>
        <v>46</v>
      </c>
      <c r="N123" s="45"/>
    </row>
    <row r="124" spans="1:14">
      <c r="A124" s="74">
        <v>1</v>
      </c>
      <c r="C124" s="74" t="s">
        <v>368</v>
      </c>
      <c r="E124" s="78">
        <f>E106*E$84</f>
        <v>0</v>
      </c>
      <c r="F124" s="78">
        <f t="shared" ref="F124:M132" si="33">F106*F$84</f>
        <v>0</v>
      </c>
      <c r="G124" s="78">
        <f t="shared" si="33"/>
        <v>0</v>
      </c>
      <c r="H124" s="78">
        <f t="shared" si="33"/>
        <v>0</v>
      </c>
      <c r="I124" s="78">
        <f t="shared" si="33"/>
        <v>0</v>
      </c>
      <c r="J124" s="78">
        <f t="shared" si="33"/>
        <v>0</v>
      </c>
      <c r="K124" s="78">
        <f t="shared" si="33"/>
        <v>0</v>
      </c>
      <c r="L124" s="78">
        <f t="shared" si="33"/>
        <v>0</v>
      </c>
      <c r="M124" s="78">
        <f t="shared" si="33"/>
        <v>0</v>
      </c>
      <c r="N124" s="45"/>
    </row>
    <row r="125" spans="1:14">
      <c r="A125" s="74">
        <v>2</v>
      </c>
      <c r="C125" s="74" t="s">
        <v>369</v>
      </c>
      <c r="E125" s="78">
        <f t="shared" ref="E125:J132" si="34">E107*E$84</f>
        <v>0</v>
      </c>
      <c r="F125" s="78">
        <f t="shared" si="34"/>
        <v>0</v>
      </c>
      <c r="G125" s="78">
        <f t="shared" si="34"/>
        <v>109.53414001728615</v>
      </c>
      <c r="H125" s="78">
        <f t="shared" si="34"/>
        <v>243.46129961034021</v>
      </c>
      <c r="I125" s="78">
        <f t="shared" si="34"/>
        <v>228.52227828151061</v>
      </c>
      <c r="J125" s="78">
        <f t="shared" si="34"/>
        <v>250.76387068018926</v>
      </c>
      <c r="K125" s="78">
        <f t="shared" si="33"/>
        <v>238.22280973264472</v>
      </c>
      <c r="L125" s="78">
        <f t="shared" si="33"/>
        <v>225.34903521666484</v>
      </c>
      <c r="M125" s="78">
        <f t="shared" si="33"/>
        <v>224.22229004058153</v>
      </c>
      <c r="N125" s="45"/>
    </row>
    <row r="126" spans="1:14">
      <c r="A126" s="74">
        <v>3</v>
      </c>
      <c r="C126" s="74" t="s">
        <v>370</v>
      </c>
      <c r="E126" s="78">
        <f t="shared" si="34"/>
        <v>0</v>
      </c>
      <c r="F126" s="78">
        <f t="shared" si="34"/>
        <v>0</v>
      </c>
      <c r="G126" s="78">
        <f t="shared" si="34"/>
        <v>0</v>
      </c>
      <c r="H126" s="78">
        <f t="shared" si="34"/>
        <v>254.67456988179586</v>
      </c>
      <c r="I126" s="78">
        <f t="shared" si="34"/>
        <v>239.16838243500007</v>
      </c>
      <c r="J126" s="78">
        <f t="shared" si="34"/>
        <v>262.58528806677674</v>
      </c>
      <c r="K126" s="78">
        <f t="shared" si="33"/>
        <v>249.59137599012132</v>
      </c>
      <c r="L126" s="78">
        <f t="shared" si="33"/>
        <v>236.24080026016222</v>
      </c>
      <c r="M126" s="78">
        <f t="shared" si="33"/>
        <v>235.20364552731272</v>
      </c>
      <c r="N126" s="45"/>
    </row>
    <row r="127" spans="1:14">
      <c r="A127" s="74">
        <v>4</v>
      </c>
      <c r="C127" s="74" t="s">
        <v>371</v>
      </c>
      <c r="E127" s="78">
        <f t="shared" si="34"/>
        <v>0</v>
      </c>
      <c r="F127" s="78">
        <f t="shared" si="34"/>
        <v>0</v>
      </c>
      <c r="G127" s="78">
        <f t="shared" si="34"/>
        <v>0</v>
      </c>
      <c r="H127" s="78">
        <f t="shared" si="34"/>
        <v>0</v>
      </c>
      <c r="I127" s="78">
        <f t="shared" si="34"/>
        <v>327.50388623684034</v>
      </c>
      <c r="J127" s="78">
        <f t="shared" si="34"/>
        <v>359.751770996255</v>
      </c>
      <c r="K127" s="78">
        <f t="shared" si="33"/>
        <v>342.13055573839819</v>
      </c>
      <c r="L127" s="78">
        <f t="shared" si="33"/>
        <v>324.00988415573994</v>
      </c>
      <c r="M127" s="78">
        <f t="shared" si="33"/>
        <v>322.77556078752758</v>
      </c>
      <c r="N127" s="45"/>
    </row>
    <row r="128" spans="1:14">
      <c r="A128" s="74">
        <v>5</v>
      </c>
      <c r="C128" s="74" t="s">
        <v>372</v>
      </c>
      <c r="E128" s="78">
        <f t="shared" si="34"/>
        <v>0</v>
      </c>
      <c r="F128" s="78">
        <f t="shared" si="34"/>
        <v>0</v>
      </c>
      <c r="G128" s="78">
        <f t="shared" si="34"/>
        <v>0</v>
      </c>
      <c r="H128" s="78">
        <f t="shared" si="34"/>
        <v>0</v>
      </c>
      <c r="I128" s="78">
        <f t="shared" si="34"/>
        <v>0</v>
      </c>
      <c r="J128" s="78">
        <f t="shared" si="34"/>
        <v>574.67945921923058</v>
      </c>
      <c r="K128" s="78">
        <f t="shared" si="33"/>
        <v>546.80692964585785</v>
      </c>
      <c r="L128" s="78">
        <f t="shared" si="33"/>
        <v>518.12003915051366</v>
      </c>
      <c r="M128" s="78">
        <f t="shared" si="33"/>
        <v>516.43313669746556</v>
      </c>
      <c r="N128" s="45"/>
    </row>
    <row r="129" spans="1:14">
      <c r="A129" s="74">
        <v>6</v>
      </c>
      <c r="C129" s="74" t="s">
        <v>373</v>
      </c>
      <c r="E129" s="78">
        <f t="shared" si="34"/>
        <v>0</v>
      </c>
      <c r="F129" s="78">
        <f t="shared" si="34"/>
        <v>0</v>
      </c>
      <c r="G129" s="78">
        <f t="shared" si="34"/>
        <v>0</v>
      </c>
      <c r="H129" s="78">
        <f t="shared" si="34"/>
        <v>0</v>
      </c>
      <c r="I129" s="78">
        <f t="shared" si="34"/>
        <v>0</v>
      </c>
      <c r="J129" s="78">
        <f t="shared" si="34"/>
        <v>0</v>
      </c>
      <c r="K129" s="78">
        <f t="shared" si="33"/>
        <v>238.68666509677109</v>
      </c>
      <c r="L129" s="78">
        <f t="shared" si="33"/>
        <v>226.27896584294703</v>
      </c>
      <c r="M129" s="78">
        <f t="shared" si="33"/>
        <v>225.66184139064805</v>
      </c>
      <c r="N129" s="45"/>
    </row>
    <row r="130" spans="1:14">
      <c r="A130" s="74">
        <v>7</v>
      </c>
      <c r="C130" s="74" t="s">
        <v>374</v>
      </c>
      <c r="E130" s="78">
        <f t="shared" si="34"/>
        <v>0</v>
      </c>
      <c r="F130" s="78">
        <f t="shared" si="34"/>
        <v>0</v>
      </c>
      <c r="G130" s="78">
        <f t="shared" si="34"/>
        <v>0</v>
      </c>
      <c r="H130" s="78">
        <f t="shared" si="34"/>
        <v>0</v>
      </c>
      <c r="I130" s="78">
        <f t="shared" si="34"/>
        <v>0</v>
      </c>
      <c r="J130" s="78">
        <f t="shared" si="34"/>
        <v>0</v>
      </c>
      <c r="K130" s="78">
        <f t="shared" si="33"/>
        <v>0</v>
      </c>
      <c r="L130" s="78">
        <f t="shared" si="33"/>
        <v>213.38597647507228</v>
      </c>
      <c r="M130" s="78">
        <f t="shared" si="33"/>
        <v>212.91178541623879</v>
      </c>
      <c r="N130" s="45"/>
    </row>
    <row r="131" spans="1:14">
      <c r="A131" s="74">
        <v>8</v>
      </c>
      <c r="C131" s="74" t="s">
        <v>375</v>
      </c>
      <c r="E131" s="78">
        <f t="shared" si="34"/>
        <v>0</v>
      </c>
      <c r="F131" s="78">
        <f t="shared" si="34"/>
        <v>0</v>
      </c>
      <c r="G131" s="78">
        <f t="shared" si="34"/>
        <v>0</v>
      </c>
      <c r="H131" s="78">
        <f t="shared" si="34"/>
        <v>0</v>
      </c>
      <c r="I131" s="78">
        <f t="shared" si="34"/>
        <v>0</v>
      </c>
      <c r="J131" s="78">
        <f t="shared" si="34"/>
        <v>0</v>
      </c>
      <c r="K131" s="78">
        <f t="shared" si="33"/>
        <v>0</v>
      </c>
      <c r="L131" s="78">
        <f t="shared" si="33"/>
        <v>0</v>
      </c>
      <c r="M131" s="78">
        <f t="shared" si="33"/>
        <v>211.16936096577339</v>
      </c>
      <c r="N131" s="45"/>
    </row>
    <row r="132" spans="1:14">
      <c r="A132" s="74">
        <v>9</v>
      </c>
      <c r="C132" s="74" t="s">
        <v>376</v>
      </c>
      <c r="E132" s="78">
        <f t="shared" si="34"/>
        <v>0</v>
      </c>
      <c r="F132" s="78">
        <f t="shared" si="34"/>
        <v>0</v>
      </c>
      <c r="G132" s="78">
        <f t="shared" si="34"/>
        <v>0</v>
      </c>
      <c r="H132" s="78">
        <f t="shared" si="34"/>
        <v>0</v>
      </c>
      <c r="I132" s="78">
        <f t="shared" si="34"/>
        <v>0</v>
      </c>
      <c r="J132" s="78">
        <f t="shared" si="34"/>
        <v>0</v>
      </c>
      <c r="K132" s="78">
        <f t="shared" si="33"/>
        <v>0</v>
      </c>
      <c r="L132" s="78">
        <f t="shared" si="33"/>
        <v>0</v>
      </c>
      <c r="M132" s="78">
        <f t="shared" si="33"/>
        <v>0</v>
      </c>
      <c r="N132" s="45"/>
    </row>
    <row r="133" spans="1:14">
      <c r="A133" s="74">
        <v>1</v>
      </c>
      <c r="C133" s="74" t="s">
        <v>377</v>
      </c>
      <c r="E133" s="29">
        <f t="shared" ref="E133:M141" si="35">E106/E115</f>
        <v>0</v>
      </c>
      <c r="F133" s="29">
        <f t="shared" si="35"/>
        <v>0</v>
      </c>
      <c r="G133" s="29">
        <f t="shared" si="35"/>
        <v>0</v>
      </c>
      <c r="H133" s="29">
        <f t="shared" si="35"/>
        <v>0</v>
      </c>
      <c r="I133" s="29">
        <f t="shared" si="35"/>
        <v>0</v>
      </c>
      <c r="J133" s="29">
        <f t="shared" si="35"/>
        <v>0</v>
      </c>
      <c r="K133" s="29">
        <f t="shared" si="35"/>
        <v>0</v>
      </c>
      <c r="L133" s="29">
        <f t="shared" si="35"/>
        <v>0</v>
      </c>
      <c r="M133" s="29">
        <f t="shared" si="35"/>
        <v>0</v>
      </c>
      <c r="N133" s="45"/>
    </row>
    <row r="134" spans="1:14">
      <c r="A134" s="74">
        <v>2</v>
      </c>
      <c r="C134" s="74" t="s">
        <v>378</v>
      </c>
      <c r="E134" s="29">
        <f t="shared" si="35"/>
        <v>0</v>
      </c>
      <c r="F134" s="29">
        <f t="shared" si="35"/>
        <v>0</v>
      </c>
      <c r="G134" s="29">
        <f t="shared" si="35"/>
        <v>256.02222222222224</v>
      </c>
      <c r="H134" s="29">
        <f t="shared" si="35"/>
        <v>258.51163449534238</v>
      </c>
      <c r="I134" s="29">
        <f t="shared" si="35"/>
        <v>264.17352518395495</v>
      </c>
      <c r="J134" s="29">
        <f t="shared" si="35"/>
        <v>269.61453180970523</v>
      </c>
      <c r="K134" s="29">
        <f t="shared" si="35"/>
        <v>275.7307237775147</v>
      </c>
      <c r="L134" s="29">
        <f t="shared" si="35"/>
        <v>281.68629402083081</v>
      </c>
      <c r="M134" s="29">
        <f t="shared" si="35"/>
        <v>287.46447441100167</v>
      </c>
      <c r="N134" s="45"/>
    </row>
    <row r="135" spans="1:14">
      <c r="A135" s="74">
        <v>3</v>
      </c>
      <c r="C135" s="74" t="s">
        <v>379</v>
      </c>
      <c r="E135" s="29">
        <f t="shared" si="35"/>
        <v>0</v>
      </c>
      <c r="F135" s="29">
        <f t="shared" si="35"/>
        <v>0</v>
      </c>
      <c r="G135" s="29">
        <f t="shared" si="35"/>
        <v>0</v>
      </c>
      <c r="H135" s="29">
        <f t="shared" si="35"/>
        <v>264.40879788616598</v>
      </c>
      <c r="I135" s="29">
        <f t="shared" si="35"/>
        <v>270.19685629257043</v>
      </c>
      <c r="J135" s="29">
        <f t="shared" si="35"/>
        <v>275.7589116980356</v>
      </c>
      <c r="K135" s="29">
        <f t="shared" si="35"/>
        <v>282.01094236629217</v>
      </c>
      <c r="L135" s="29">
        <f t="shared" si="35"/>
        <v>288.09853690263657</v>
      </c>
      <c r="M135" s="29">
        <f t="shared" si="35"/>
        <v>294.00455690914066</v>
      </c>
      <c r="N135" s="45"/>
    </row>
    <row r="136" spans="1:14">
      <c r="A136" s="74">
        <v>4</v>
      </c>
      <c r="C136" s="74" t="s">
        <v>380</v>
      </c>
      <c r="E136" s="29">
        <f t="shared" si="35"/>
        <v>0</v>
      </c>
      <c r="F136" s="29">
        <f t="shared" si="35"/>
        <v>0</v>
      </c>
      <c r="G136" s="29">
        <f t="shared" si="35"/>
        <v>0</v>
      </c>
      <c r="H136" s="29">
        <f t="shared" si="35"/>
        <v>0</v>
      </c>
      <c r="I136" s="29">
        <f t="shared" si="35"/>
        <v>361.77049655606447</v>
      </c>
      <c r="J136" s="29">
        <f t="shared" si="35"/>
        <v>369.21376669781085</v>
      </c>
      <c r="K136" s="29">
        <f t="shared" si="35"/>
        <v>377.58008695353772</v>
      </c>
      <c r="L136" s="29">
        <f t="shared" si="35"/>
        <v>385.72605256635671</v>
      </c>
      <c r="M136" s="29">
        <f t="shared" si="35"/>
        <v>393.62873266771624</v>
      </c>
      <c r="N136" s="45"/>
    </row>
    <row r="137" spans="1:14">
      <c r="A137" s="74">
        <v>5</v>
      </c>
      <c r="C137" s="74" t="s">
        <v>381</v>
      </c>
      <c r="E137" s="29">
        <f t="shared" si="35"/>
        <v>0</v>
      </c>
      <c r="F137" s="29">
        <f t="shared" si="35"/>
        <v>0</v>
      </c>
      <c r="G137" s="29">
        <f t="shared" si="35"/>
        <v>0</v>
      </c>
      <c r="H137" s="29">
        <f t="shared" si="35"/>
        <v>0</v>
      </c>
      <c r="I137" s="29">
        <f t="shared" si="35"/>
        <v>0</v>
      </c>
      <c r="J137" s="29">
        <f t="shared" si="35"/>
        <v>576.68782477816308</v>
      </c>
      <c r="K137" s="29">
        <f t="shared" si="35"/>
        <v>589.74872157860011</v>
      </c>
      <c r="L137" s="29">
        <f t="shared" si="35"/>
        <v>602.46516180292235</v>
      </c>
      <c r="M137" s="29">
        <f t="shared" si="35"/>
        <v>614.80135321126795</v>
      </c>
      <c r="N137" s="45"/>
    </row>
    <row r="138" spans="1:14">
      <c r="A138" s="74">
        <v>6</v>
      </c>
      <c r="C138" s="74" t="s">
        <v>382</v>
      </c>
      <c r="E138" s="29">
        <f t="shared" si="35"/>
        <v>0</v>
      </c>
      <c r="F138" s="29">
        <f t="shared" si="35"/>
        <v>0</v>
      </c>
      <c r="G138" s="29">
        <f t="shared" si="35"/>
        <v>0</v>
      </c>
      <c r="H138" s="29">
        <f t="shared" si="35"/>
        <v>0</v>
      </c>
      <c r="I138" s="29">
        <f t="shared" si="35"/>
        <v>0</v>
      </c>
      <c r="J138" s="29">
        <f t="shared" si="35"/>
        <v>0</v>
      </c>
      <c r="K138" s="29">
        <f t="shared" si="35"/>
        <v>251.71049152387656</v>
      </c>
      <c r="L138" s="29">
        <f t="shared" si="35"/>
        <v>257.13518845789412</v>
      </c>
      <c r="M138" s="29">
        <f t="shared" si="35"/>
        <v>262.3974899891254</v>
      </c>
      <c r="N138" s="45"/>
    </row>
    <row r="139" spans="1:14">
      <c r="A139" s="74">
        <v>7</v>
      </c>
      <c r="C139" s="74" t="s">
        <v>383</v>
      </c>
      <c r="E139" s="29">
        <f t="shared" si="35"/>
        <v>0</v>
      </c>
      <c r="F139" s="29">
        <f t="shared" si="35"/>
        <v>0</v>
      </c>
      <c r="G139" s="29">
        <f t="shared" si="35"/>
        <v>0</v>
      </c>
      <c r="H139" s="29">
        <f t="shared" si="35"/>
        <v>0</v>
      </c>
      <c r="I139" s="29">
        <f t="shared" si="35"/>
        <v>0</v>
      </c>
      <c r="J139" s="29">
        <f t="shared" si="35"/>
        <v>0</v>
      </c>
      <c r="K139" s="29">
        <f t="shared" si="35"/>
        <v>0</v>
      </c>
      <c r="L139" s="29">
        <f t="shared" si="35"/>
        <v>237.09552941674676</v>
      </c>
      <c r="M139" s="29">
        <f t="shared" si="35"/>
        <v>241.94521070027113</v>
      </c>
      <c r="N139" s="45"/>
    </row>
    <row r="140" spans="1:14">
      <c r="A140" s="74">
        <v>8</v>
      </c>
      <c r="C140" s="74" t="s">
        <v>384</v>
      </c>
      <c r="E140" s="29">
        <f t="shared" si="35"/>
        <v>0</v>
      </c>
      <c r="F140" s="29">
        <f t="shared" si="35"/>
        <v>0</v>
      </c>
      <c r="G140" s="29">
        <f t="shared" si="35"/>
        <v>0</v>
      </c>
      <c r="H140" s="29">
        <f t="shared" si="35"/>
        <v>0</v>
      </c>
      <c r="I140" s="29">
        <f t="shared" si="35"/>
        <v>0</v>
      </c>
      <c r="J140" s="29">
        <f t="shared" si="35"/>
        <v>0</v>
      </c>
      <c r="K140" s="29">
        <f t="shared" si="35"/>
        <v>0</v>
      </c>
      <c r="L140" s="29">
        <f t="shared" si="35"/>
        <v>0</v>
      </c>
      <c r="M140" s="29">
        <f t="shared" si="35"/>
        <v>234.63262329530355</v>
      </c>
      <c r="N140" s="45"/>
    </row>
    <row r="141" spans="1:14">
      <c r="A141" s="74">
        <v>9</v>
      </c>
      <c r="C141" s="74" t="s">
        <v>385</v>
      </c>
      <c r="E141" s="29">
        <f t="shared" si="35"/>
        <v>0</v>
      </c>
      <c r="F141" s="29">
        <f t="shared" si="35"/>
        <v>0</v>
      </c>
      <c r="G141" s="29">
        <f t="shared" si="35"/>
        <v>0</v>
      </c>
      <c r="H141" s="29">
        <f t="shared" si="35"/>
        <v>0</v>
      </c>
      <c r="I141" s="29">
        <f t="shared" si="35"/>
        <v>0</v>
      </c>
      <c r="J141" s="29">
        <f t="shared" si="35"/>
        <v>0</v>
      </c>
      <c r="K141" s="29">
        <f t="shared" si="35"/>
        <v>0</v>
      </c>
      <c r="L141" s="29">
        <f t="shared" si="35"/>
        <v>0</v>
      </c>
      <c r="M141" s="29">
        <f t="shared" si="35"/>
        <v>0</v>
      </c>
      <c r="N141" s="45"/>
    </row>
    <row r="142" spans="1:14">
      <c r="A142" s="74">
        <v>1</v>
      </c>
      <c r="C142" s="74" t="s">
        <v>386</v>
      </c>
      <c r="E142" s="78">
        <f t="shared" ref="E142:M150" si="36">E106+E124-E133+IF($A142=E$104,E$105,0)</f>
        <v>0</v>
      </c>
      <c r="F142" s="78">
        <f t="shared" si="36"/>
        <v>0</v>
      </c>
      <c r="G142" s="78">
        <f t="shared" si="36"/>
        <v>0</v>
      </c>
      <c r="H142" s="78">
        <f t="shared" si="36"/>
        <v>0</v>
      </c>
      <c r="I142" s="78">
        <f t="shared" si="36"/>
        <v>0</v>
      </c>
      <c r="J142" s="29">
        <f t="shared" si="36"/>
        <v>0</v>
      </c>
      <c r="K142" s="29">
        <f t="shared" si="36"/>
        <v>0</v>
      </c>
      <c r="L142" s="29">
        <f t="shared" si="36"/>
        <v>0</v>
      </c>
      <c r="M142" s="29">
        <f t="shared" si="36"/>
        <v>0</v>
      </c>
      <c r="N142" s="45"/>
    </row>
    <row r="143" spans="1:14">
      <c r="A143" s="74">
        <v>2</v>
      </c>
      <c r="C143" s="74" t="s">
        <v>387</v>
      </c>
      <c r="E143" s="78">
        <f t="shared" si="36"/>
        <v>0</v>
      </c>
      <c r="F143" s="78">
        <f t="shared" si="36"/>
        <v>11521</v>
      </c>
      <c r="G143" s="78">
        <f t="shared" si="36"/>
        <v>11374.511917795064</v>
      </c>
      <c r="H143" s="78">
        <f t="shared" si="36"/>
        <v>11359.461582910062</v>
      </c>
      <c r="I143" s="78">
        <f t="shared" si="36"/>
        <v>11323.810336007618</v>
      </c>
      <c r="J143" s="29">
        <f t="shared" si="36"/>
        <v>11304.959674878102</v>
      </c>
      <c r="K143" s="29">
        <f t="shared" si="36"/>
        <v>11267.451760833232</v>
      </c>
      <c r="L143" s="29">
        <f t="shared" si="36"/>
        <v>11211.114502029066</v>
      </c>
      <c r="M143" s="29">
        <f t="shared" si="36"/>
        <v>11147.872317658646</v>
      </c>
      <c r="N143" s="45"/>
    </row>
    <row r="144" spans="1:14">
      <c r="A144" s="74">
        <v>3</v>
      </c>
      <c r="C144" s="74" t="s">
        <v>388</v>
      </c>
      <c r="E144" s="78">
        <f t="shared" si="36"/>
        <v>0</v>
      </c>
      <c r="F144" s="78">
        <f t="shared" si="36"/>
        <v>0</v>
      </c>
      <c r="G144" s="78">
        <f t="shared" si="36"/>
        <v>11898.39590487747</v>
      </c>
      <c r="H144" s="78">
        <f t="shared" si="36"/>
        <v>11888.6616768731</v>
      </c>
      <c r="I144" s="78">
        <f t="shared" si="36"/>
        <v>11857.63320301553</v>
      </c>
      <c r="J144" s="29">
        <f t="shared" si="36"/>
        <v>11844.459579384271</v>
      </c>
      <c r="K144" s="29">
        <f t="shared" si="36"/>
        <v>11812.0400130081</v>
      </c>
      <c r="L144" s="29">
        <f t="shared" si="36"/>
        <v>11760.182276365626</v>
      </c>
      <c r="M144" s="29">
        <f t="shared" si="36"/>
        <v>11701.381364983798</v>
      </c>
      <c r="N144" s="45"/>
    </row>
    <row r="145" spans="1:14">
      <c r="A145" s="74">
        <v>4</v>
      </c>
      <c r="C145" s="74" t="s">
        <v>389</v>
      </c>
      <c r="E145" s="78">
        <f t="shared" si="36"/>
        <v>0</v>
      </c>
      <c r="F145" s="78">
        <f t="shared" si="36"/>
        <v>0</v>
      </c>
      <c r="G145" s="78">
        <f t="shared" si="36"/>
        <v>0</v>
      </c>
      <c r="H145" s="78">
        <f t="shared" si="36"/>
        <v>16279.6723450229</v>
      </c>
      <c r="I145" s="78">
        <f t="shared" si="36"/>
        <v>16245.405734703678</v>
      </c>
      <c r="J145" s="29">
        <f t="shared" si="36"/>
        <v>16235.943739002121</v>
      </c>
      <c r="K145" s="29">
        <f t="shared" si="36"/>
        <v>16200.494207786982</v>
      </c>
      <c r="L145" s="29">
        <f t="shared" si="36"/>
        <v>16138.778039376366</v>
      </c>
      <c r="M145" s="29">
        <f t="shared" si="36"/>
        <v>16067.924867496178</v>
      </c>
      <c r="N145" s="45"/>
    </row>
    <row r="146" spans="1:14">
      <c r="A146" s="74">
        <v>5</v>
      </c>
      <c r="C146" s="74" t="s">
        <v>390</v>
      </c>
      <c r="E146" s="78">
        <f t="shared" si="36"/>
        <v>0</v>
      </c>
      <c r="F146" s="78">
        <f t="shared" si="36"/>
        <v>0</v>
      </c>
      <c r="G146" s="78">
        <f t="shared" si="36"/>
        <v>0</v>
      </c>
      <c r="H146" s="78">
        <f t="shared" si="36"/>
        <v>0</v>
      </c>
      <c r="I146" s="78">
        <f t="shared" si="36"/>
        <v>25950.952115017339</v>
      </c>
      <c r="J146" s="29">
        <f t="shared" si="36"/>
        <v>25948.943749458405</v>
      </c>
      <c r="K146" s="29">
        <f t="shared" si="36"/>
        <v>25906.001957525663</v>
      </c>
      <c r="L146" s="29">
        <f t="shared" si="36"/>
        <v>25821.656834873254</v>
      </c>
      <c r="M146" s="29">
        <f t="shared" si="36"/>
        <v>25723.288618359453</v>
      </c>
      <c r="N146" s="45"/>
    </row>
    <row r="147" spans="1:14">
      <c r="A147" s="74">
        <v>6</v>
      </c>
      <c r="C147" s="74" t="s">
        <v>391</v>
      </c>
      <c r="E147" s="78">
        <f t="shared" si="36"/>
        <v>0</v>
      </c>
      <c r="F147" s="78">
        <f t="shared" si="36"/>
        <v>0</v>
      </c>
      <c r="G147" s="78">
        <f t="shared" si="36"/>
        <v>0</v>
      </c>
      <c r="H147" s="78">
        <f t="shared" si="36"/>
        <v>0</v>
      </c>
      <c r="I147" s="78">
        <f t="shared" si="36"/>
        <v>0</v>
      </c>
      <c r="J147" s="29">
        <f t="shared" si="36"/>
        <v>11326.972118574446</v>
      </c>
      <c r="K147" s="29">
        <f t="shared" si="36"/>
        <v>11313.948292147341</v>
      </c>
      <c r="L147" s="29">
        <f t="shared" si="36"/>
        <v>11283.092069532393</v>
      </c>
      <c r="M147" s="29">
        <f t="shared" si="36"/>
        <v>11246.356420933915</v>
      </c>
      <c r="N147" s="45"/>
    </row>
    <row r="148" spans="1:14">
      <c r="A148" s="74">
        <v>7</v>
      </c>
      <c r="C148" s="74" t="s">
        <v>392</v>
      </c>
      <c r="E148" s="78">
        <f t="shared" si="36"/>
        <v>0</v>
      </c>
      <c r="F148" s="78">
        <f t="shared" si="36"/>
        <v>0</v>
      </c>
      <c r="G148" s="78">
        <f t="shared" si="36"/>
        <v>0</v>
      </c>
      <c r="H148" s="78">
        <f t="shared" si="36"/>
        <v>0</v>
      </c>
      <c r="I148" s="78">
        <f t="shared" si="36"/>
        <v>0</v>
      </c>
      <c r="J148" s="29">
        <f t="shared" si="36"/>
        <v>0</v>
      </c>
      <c r="K148" s="29">
        <f t="shared" si="36"/>
        <v>10669.298823753605</v>
      </c>
      <c r="L148" s="29">
        <f t="shared" si="36"/>
        <v>10645.58927081193</v>
      </c>
      <c r="M148" s="29">
        <f t="shared" si="36"/>
        <v>10616.555845527899</v>
      </c>
      <c r="N148" s="45"/>
    </row>
    <row r="149" spans="1:14">
      <c r="A149" s="74">
        <v>8</v>
      </c>
      <c r="C149" s="74" t="s">
        <v>393</v>
      </c>
      <c r="E149" s="78">
        <f t="shared" si="36"/>
        <v>0</v>
      </c>
      <c r="F149" s="78">
        <f t="shared" si="36"/>
        <v>0</v>
      </c>
      <c r="G149" s="78">
        <f t="shared" si="36"/>
        <v>0</v>
      </c>
      <c r="H149" s="78">
        <f t="shared" si="36"/>
        <v>0</v>
      </c>
      <c r="I149" s="78">
        <f t="shared" si="36"/>
        <v>0</v>
      </c>
      <c r="J149" s="29">
        <f t="shared" si="36"/>
        <v>0</v>
      </c>
      <c r="K149" s="29">
        <f t="shared" si="36"/>
        <v>0</v>
      </c>
      <c r="L149" s="29">
        <f t="shared" si="36"/>
        <v>10558.46804828866</v>
      </c>
      <c r="M149" s="29">
        <f t="shared" si="36"/>
        <v>10535.00478595913</v>
      </c>
      <c r="N149" s="45"/>
    </row>
    <row r="150" spans="1:14">
      <c r="A150" s="74">
        <v>9</v>
      </c>
      <c r="C150" s="74" t="s">
        <v>394</v>
      </c>
      <c r="E150" s="78">
        <f t="shared" si="36"/>
        <v>0</v>
      </c>
      <c r="F150" s="78">
        <f t="shared" si="36"/>
        <v>0</v>
      </c>
      <c r="G150" s="78">
        <f t="shared" si="36"/>
        <v>0</v>
      </c>
      <c r="H150" s="78">
        <f t="shared" si="36"/>
        <v>0</v>
      </c>
      <c r="I150" s="78">
        <f t="shared" si="36"/>
        <v>0</v>
      </c>
      <c r="J150" s="29">
        <f t="shared" si="36"/>
        <v>0</v>
      </c>
      <c r="K150" s="29">
        <f t="shared" si="36"/>
        <v>0</v>
      </c>
      <c r="L150" s="29">
        <f t="shared" si="36"/>
        <v>0</v>
      </c>
      <c r="M150" s="29">
        <f t="shared" si="36"/>
        <v>10765.935389779879</v>
      </c>
      <c r="N150" s="45"/>
    </row>
    <row r="151" spans="1:14">
      <c r="C151" s="74" t="s">
        <v>104</v>
      </c>
      <c r="E151" s="78">
        <f>SUM(E106:E114)</f>
        <v>0</v>
      </c>
      <c r="F151" s="78">
        <f t="shared" ref="F151:M151" si="37">SUM(F106:F114)</f>
        <v>0</v>
      </c>
      <c r="G151" s="78">
        <f t="shared" si="37"/>
        <v>11521</v>
      </c>
      <c r="H151" s="78">
        <f t="shared" si="37"/>
        <v>23272.907822672532</v>
      </c>
      <c r="I151" s="78">
        <f t="shared" si="37"/>
        <v>39527.795604806059</v>
      </c>
      <c r="J151" s="78">
        <f t="shared" si="37"/>
        <v>65377.801388744163</v>
      </c>
      <c r="K151" s="78">
        <f t="shared" si="37"/>
        <v>76661.278861297338</v>
      </c>
      <c r="L151" s="78">
        <f t="shared" si="37"/>
        <v>87169.235055054916</v>
      </c>
      <c r="M151" s="78">
        <f t="shared" si="37"/>
        <v>97418.881041277302</v>
      </c>
      <c r="N151" s="45"/>
    </row>
    <row r="152" spans="1:14">
      <c r="C152" s="74" t="s">
        <v>105</v>
      </c>
      <c r="E152" s="78">
        <f>SUM(E124:E132)</f>
        <v>0</v>
      </c>
      <c r="F152" s="78">
        <f t="shared" ref="F152:M152" si="38">SUM(F124:F132)</f>
        <v>0</v>
      </c>
      <c r="G152" s="78">
        <f t="shared" si="38"/>
        <v>109.53414001728615</v>
      </c>
      <c r="H152" s="78">
        <f t="shared" si="38"/>
        <v>498.13586949213607</v>
      </c>
      <c r="I152" s="78">
        <f t="shared" si="38"/>
        <v>795.19454695335105</v>
      </c>
      <c r="J152" s="78">
        <f t="shared" si="38"/>
        <v>1447.7803889624515</v>
      </c>
      <c r="K152" s="78">
        <f t="shared" si="38"/>
        <v>1615.4383362037931</v>
      </c>
      <c r="L152" s="78">
        <f t="shared" si="38"/>
        <v>1743.3847011010998</v>
      </c>
      <c r="M152" s="78">
        <f t="shared" si="38"/>
        <v>1948.3776208255474</v>
      </c>
      <c r="N152" s="45"/>
    </row>
    <row r="153" spans="1:14">
      <c r="C153" s="74" t="s">
        <v>49</v>
      </c>
      <c r="E153" s="78">
        <f>SUM(E133:E141)</f>
        <v>0</v>
      </c>
      <c r="F153" s="78">
        <f t="shared" ref="F153:M153" si="39">SUM(F133:F141)</f>
        <v>0</v>
      </c>
      <c r="G153" s="78">
        <f t="shared" si="39"/>
        <v>256.02222222222224</v>
      </c>
      <c r="H153" s="78">
        <f t="shared" si="39"/>
        <v>522.92043238150836</v>
      </c>
      <c r="I153" s="78">
        <f t="shared" si="39"/>
        <v>896.14087803258985</v>
      </c>
      <c r="J153" s="78">
        <f t="shared" si="39"/>
        <v>1491.2750349837147</v>
      </c>
      <c r="K153" s="78">
        <f t="shared" si="39"/>
        <v>1776.7809661998213</v>
      </c>
      <c r="L153" s="78">
        <f t="shared" si="39"/>
        <v>2052.2067631673872</v>
      </c>
      <c r="M153" s="78">
        <f t="shared" si="39"/>
        <v>2328.8744411838265</v>
      </c>
      <c r="N153" s="45"/>
    </row>
    <row r="154" spans="1:14">
      <c r="C154" s="74" t="s">
        <v>106</v>
      </c>
      <c r="E154" s="78"/>
      <c r="F154" s="78">
        <f t="shared" ref="F154:M154" si="40">SUM(F142:F150)</f>
        <v>11521</v>
      </c>
      <c r="G154" s="78">
        <f t="shared" si="40"/>
        <v>23272.907822672532</v>
      </c>
      <c r="H154" s="78">
        <f t="shared" si="40"/>
        <v>39527.795604806059</v>
      </c>
      <c r="I154" s="78">
        <f t="shared" si="40"/>
        <v>65377.801388744163</v>
      </c>
      <c r="J154" s="78">
        <f t="shared" si="40"/>
        <v>76661.278861297338</v>
      </c>
      <c r="K154" s="78">
        <f t="shared" si="40"/>
        <v>87169.235055054916</v>
      </c>
      <c r="L154" s="78">
        <f t="shared" si="40"/>
        <v>97418.881041277302</v>
      </c>
      <c r="M154" s="78">
        <f t="shared" si="40"/>
        <v>107804.31961069888</v>
      </c>
      <c r="N154" s="45"/>
    </row>
    <row r="155" spans="1:14">
      <c r="E155" s="78"/>
      <c r="F155" s="78"/>
      <c r="G155" s="78"/>
      <c r="H155" s="78"/>
      <c r="I155" s="78"/>
      <c r="J155" s="78"/>
      <c r="K155" s="78"/>
      <c r="L155" s="78"/>
      <c r="M155" s="78"/>
      <c r="N155" s="45"/>
    </row>
    <row r="156" spans="1:14" ht="15.75">
      <c r="C156" s="5" t="s">
        <v>198</v>
      </c>
      <c r="E156" s="10" t="str">
        <f>E$21</f>
        <v>2009/10</v>
      </c>
      <c r="F156" s="10" t="str">
        <f t="shared" ref="F156:M156" si="41">F$21</f>
        <v>2010/11</v>
      </c>
      <c r="G156" s="10" t="str">
        <f t="shared" si="41"/>
        <v>2011/12</v>
      </c>
      <c r="H156" s="10" t="str">
        <f t="shared" si="41"/>
        <v>2012/13</v>
      </c>
      <c r="I156" s="10" t="str">
        <f t="shared" si="41"/>
        <v>2013/14</v>
      </c>
      <c r="J156" s="10" t="str">
        <f t="shared" si="41"/>
        <v>2014/15</v>
      </c>
      <c r="K156" s="10" t="str">
        <f t="shared" si="41"/>
        <v>2015/16</v>
      </c>
      <c r="L156" s="10" t="str">
        <f t="shared" si="41"/>
        <v>2016/17</v>
      </c>
      <c r="M156" s="10" t="str">
        <f t="shared" si="41"/>
        <v>2017/18</v>
      </c>
      <c r="N156" s="45"/>
    </row>
    <row r="157" spans="1:14">
      <c r="C157" s="20" t="s">
        <v>41</v>
      </c>
      <c r="E157" s="20">
        <v>1</v>
      </c>
      <c r="F157" s="20">
        <v>2</v>
      </c>
      <c r="G157" s="20">
        <v>3</v>
      </c>
      <c r="H157" s="20">
        <v>4</v>
      </c>
      <c r="I157" s="20">
        <v>5</v>
      </c>
      <c r="J157" s="20">
        <v>6</v>
      </c>
      <c r="K157" s="20">
        <v>7</v>
      </c>
      <c r="L157" s="20">
        <v>8</v>
      </c>
      <c r="M157" s="20">
        <v>9</v>
      </c>
      <c r="N157" s="45"/>
    </row>
    <row r="158" spans="1:14">
      <c r="C158" s="74" t="s">
        <v>22</v>
      </c>
      <c r="D158" s="78"/>
      <c r="E158" s="181">
        <v>0</v>
      </c>
      <c r="F158" s="78">
        <f t="shared" ref="F158:M158" si="42">F$48</f>
        <v>11521</v>
      </c>
      <c r="G158" s="78">
        <f t="shared" si="42"/>
        <v>11898.39590487747</v>
      </c>
      <c r="H158" s="78">
        <f t="shared" si="42"/>
        <v>16279.6723450229</v>
      </c>
      <c r="I158" s="78">
        <f t="shared" si="42"/>
        <v>25950.952115017339</v>
      </c>
      <c r="J158" s="78">
        <f t="shared" si="42"/>
        <v>11326.972118574446</v>
      </c>
      <c r="K158" s="78">
        <f t="shared" si="42"/>
        <v>10669.298823753605</v>
      </c>
      <c r="L158" s="78">
        <f t="shared" si="42"/>
        <v>10558.46804828866</v>
      </c>
      <c r="M158" s="78">
        <f t="shared" si="42"/>
        <v>10765.935389779879</v>
      </c>
      <c r="N158" s="45"/>
    </row>
    <row r="159" spans="1:14">
      <c r="A159" s="74">
        <v>1</v>
      </c>
      <c r="C159" s="74" t="s">
        <v>395</v>
      </c>
      <c r="E159" s="181">
        <v>0</v>
      </c>
      <c r="F159" s="78">
        <f>E186</f>
        <v>0</v>
      </c>
      <c r="G159" s="78">
        <f t="shared" ref="G159:M167" si="43">F186</f>
        <v>0</v>
      </c>
      <c r="H159" s="78">
        <f t="shared" si="43"/>
        <v>0</v>
      </c>
      <c r="I159" s="78">
        <f t="shared" si="43"/>
        <v>0</v>
      </c>
      <c r="J159" s="78">
        <f t="shared" si="43"/>
        <v>0</v>
      </c>
      <c r="K159" s="78">
        <f t="shared" si="43"/>
        <v>0</v>
      </c>
      <c r="L159" s="78">
        <f t="shared" si="43"/>
        <v>0</v>
      </c>
      <c r="M159" s="78">
        <f t="shared" si="43"/>
        <v>0</v>
      </c>
      <c r="N159" s="45"/>
    </row>
    <row r="160" spans="1:14">
      <c r="A160" s="74">
        <v>2</v>
      </c>
      <c r="C160" s="74" t="s">
        <v>396</v>
      </c>
      <c r="E160" s="181">
        <v>0</v>
      </c>
      <c r="F160" s="78">
        <f t="shared" ref="F160:J163" si="44">E187</f>
        <v>0</v>
      </c>
      <c r="G160" s="78">
        <f t="shared" si="44"/>
        <v>11521</v>
      </c>
      <c r="H160" s="78">
        <f t="shared" si="44"/>
        <v>11264.977777777778</v>
      </c>
      <c r="I160" s="78">
        <f t="shared" si="44"/>
        <v>11008.955555555556</v>
      </c>
      <c r="J160" s="78">
        <f t="shared" si="44"/>
        <v>10752.933333333334</v>
      </c>
      <c r="K160" s="78">
        <f t="shared" si="43"/>
        <v>10496.911111111112</v>
      </c>
      <c r="L160" s="78">
        <f t="shared" si="43"/>
        <v>10240.888888888891</v>
      </c>
      <c r="M160" s="78">
        <f t="shared" si="43"/>
        <v>9984.8666666666686</v>
      </c>
      <c r="N160" s="45"/>
    </row>
    <row r="161" spans="1:14">
      <c r="A161" s="74">
        <v>3</v>
      </c>
      <c r="C161" s="74" t="s">
        <v>397</v>
      </c>
      <c r="E161" s="181">
        <v>0</v>
      </c>
      <c r="F161" s="78">
        <f t="shared" si="44"/>
        <v>0</v>
      </c>
      <c r="G161" s="78">
        <f t="shared" si="44"/>
        <v>0</v>
      </c>
      <c r="H161" s="78">
        <f t="shared" si="44"/>
        <v>11898.39590487747</v>
      </c>
      <c r="I161" s="78">
        <f t="shared" si="44"/>
        <v>11633.987106991304</v>
      </c>
      <c r="J161" s="78">
        <f t="shared" si="44"/>
        <v>11369.578309105138</v>
      </c>
      <c r="K161" s="78">
        <f t="shared" si="43"/>
        <v>11105.169511218972</v>
      </c>
      <c r="L161" s="78">
        <f t="shared" si="43"/>
        <v>10840.760713332806</v>
      </c>
      <c r="M161" s="78">
        <f t="shared" si="43"/>
        <v>10576.351915446639</v>
      </c>
      <c r="N161" s="45"/>
    </row>
    <row r="162" spans="1:14">
      <c r="A162" s="74">
        <v>4</v>
      </c>
      <c r="C162" s="74" t="s">
        <v>398</v>
      </c>
      <c r="E162" s="181">
        <v>0</v>
      </c>
      <c r="F162" s="78">
        <f t="shared" si="44"/>
        <v>0</v>
      </c>
      <c r="G162" s="78">
        <f t="shared" si="44"/>
        <v>0</v>
      </c>
      <c r="H162" s="78">
        <f t="shared" si="44"/>
        <v>0</v>
      </c>
      <c r="I162" s="78">
        <f t="shared" si="44"/>
        <v>16279.6723450229</v>
      </c>
      <c r="J162" s="78">
        <f t="shared" si="44"/>
        <v>15917.901848466836</v>
      </c>
      <c r="K162" s="78">
        <f t="shared" si="43"/>
        <v>15556.131351910772</v>
      </c>
      <c r="L162" s="78">
        <f t="shared" si="43"/>
        <v>15194.360855354707</v>
      </c>
      <c r="M162" s="78">
        <f t="shared" si="43"/>
        <v>14832.590358798643</v>
      </c>
      <c r="N162" s="45"/>
    </row>
    <row r="163" spans="1:14">
      <c r="A163" s="74">
        <v>5</v>
      </c>
      <c r="C163" s="74" t="s">
        <v>399</v>
      </c>
      <c r="E163" s="181">
        <v>0</v>
      </c>
      <c r="F163" s="78">
        <f t="shared" si="44"/>
        <v>0</v>
      </c>
      <c r="G163" s="78">
        <f t="shared" si="44"/>
        <v>0</v>
      </c>
      <c r="H163" s="78">
        <f t="shared" si="44"/>
        <v>0</v>
      </c>
      <c r="I163" s="78">
        <f t="shared" si="44"/>
        <v>0</v>
      </c>
      <c r="J163" s="78">
        <f t="shared" si="44"/>
        <v>25950.952115017339</v>
      </c>
      <c r="K163" s="78">
        <f t="shared" si="43"/>
        <v>25374.264290239174</v>
      </c>
      <c r="L163" s="78">
        <f t="shared" si="43"/>
        <v>24797.57646546101</v>
      </c>
      <c r="M163" s="78">
        <f t="shared" si="43"/>
        <v>24220.888640682846</v>
      </c>
      <c r="N163" s="45"/>
    </row>
    <row r="164" spans="1:14">
      <c r="A164" s="74">
        <v>6</v>
      </c>
      <c r="C164" s="74" t="s">
        <v>400</v>
      </c>
      <c r="E164" s="181">
        <v>0</v>
      </c>
      <c r="F164" s="78">
        <f>E191</f>
        <v>0</v>
      </c>
      <c r="G164" s="78">
        <f>F191</f>
        <v>0</v>
      </c>
      <c r="H164" s="78">
        <f>G191</f>
        <v>0</v>
      </c>
      <c r="I164" s="78">
        <f>H191</f>
        <v>0</v>
      </c>
      <c r="J164" s="78">
        <f>I191</f>
        <v>0</v>
      </c>
      <c r="K164" s="78">
        <f t="shared" si="43"/>
        <v>11326.972118574446</v>
      </c>
      <c r="L164" s="78">
        <f t="shared" si="43"/>
        <v>11075.26162705057</v>
      </c>
      <c r="M164" s="78">
        <f t="shared" si="43"/>
        <v>10823.551135526694</v>
      </c>
      <c r="N164" s="45"/>
    </row>
    <row r="165" spans="1:14">
      <c r="A165" s="74">
        <v>7</v>
      </c>
      <c r="C165" s="74" t="s">
        <v>401</v>
      </c>
      <c r="E165" s="181">
        <v>0</v>
      </c>
      <c r="F165" s="78">
        <f t="shared" ref="F165:J167" si="45">E192</f>
        <v>0</v>
      </c>
      <c r="G165" s="78">
        <f t="shared" si="45"/>
        <v>0</v>
      </c>
      <c r="H165" s="78">
        <f t="shared" si="45"/>
        <v>0</v>
      </c>
      <c r="I165" s="78">
        <f t="shared" si="45"/>
        <v>0</v>
      </c>
      <c r="J165" s="78">
        <f t="shared" si="45"/>
        <v>0</v>
      </c>
      <c r="K165" s="78">
        <f t="shared" si="43"/>
        <v>0</v>
      </c>
      <c r="L165" s="78">
        <f t="shared" si="43"/>
        <v>10669.298823753605</v>
      </c>
      <c r="M165" s="78">
        <f t="shared" si="43"/>
        <v>10432.203294336858</v>
      </c>
      <c r="N165" s="45"/>
    </row>
    <row r="166" spans="1:14">
      <c r="A166" s="74">
        <v>8</v>
      </c>
      <c r="C166" s="74" t="s">
        <v>402</v>
      </c>
      <c r="E166" s="181">
        <v>0</v>
      </c>
      <c r="F166" s="78">
        <f t="shared" si="45"/>
        <v>0</v>
      </c>
      <c r="G166" s="78">
        <f t="shared" si="45"/>
        <v>0</v>
      </c>
      <c r="H166" s="78">
        <f t="shared" si="45"/>
        <v>0</v>
      </c>
      <c r="I166" s="78">
        <f t="shared" si="45"/>
        <v>0</v>
      </c>
      <c r="J166" s="78">
        <f t="shared" si="45"/>
        <v>0</v>
      </c>
      <c r="K166" s="78">
        <f t="shared" si="43"/>
        <v>0</v>
      </c>
      <c r="L166" s="78">
        <f t="shared" si="43"/>
        <v>0</v>
      </c>
      <c r="M166" s="78">
        <f t="shared" si="43"/>
        <v>10558.46804828866</v>
      </c>
      <c r="N166" s="45"/>
    </row>
    <row r="167" spans="1:14">
      <c r="A167" s="74">
        <v>9</v>
      </c>
      <c r="C167" s="74" t="s">
        <v>403</v>
      </c>
      <c r="E167" s="181">
        <v>0</v>
      </c>
      <c r="F167" s="78">
        <f t="shared" si="45"/>
        <v>0</v>
      </c>
      <c r="G167" s="78">
        <f t="shared" si="45"/>
        <v>0</v>
      </c>
      <c r="H167" s="78">
        <f t="shared" si="45"/>
        <v>0</v>
      </c>
      <c r="I167" s="78">
        <f t="shared" si="45"/>
        <v>0</v>
      </c>
      <c r="J167" s="78">
        <f t="shared" si="45"/>
        <v>0</v>
      </c>
      <c r="K167" s="78">
        <f t="shared" si="43"/>
        <v>0</v>
      </c>
      <c r="L167" s="78">
        <f t="shared" si="43"/>
        <v>0</v>
      </c>
      <c r="M167" s="78">
        <f t="shared" si="43"/>
        <v>0</v>
      </c>
      <c r="N167" s="45"/>
    </row>
    <row r="168" spans="1:14">
      <c r="A168" s="74">
        <v>1</v>
      </c>
      <c r="C168" s="74" t="s">
        <v>359</v>
      </c>
      <c r="E168" s="181">
        <f>Inputs!$C$7+$A168</f>
        <v>46</v>
      </c>
      <c r="F168" s="78">
        <f>E168-1</f>
        <v>45</v>
      </c>
      <c r="G168" s="78">
        <f t="shared" ref="G168:M176" si="46">F168-1</f>
        <v>44</v>
      </c>
      <c r="H168" s="78">
        <f t="shared" si="46"/>
        <v>43</v>
      </c>
      <c r="I168" s="78">
        <f t="shared" si="46"/>
        <v>42</v>
      </c>
      <c r="J168" s="78">
        <f t="shared" si="46"/>
        <v>41</v>
      </c>
      <c r="K168" s="78">
        <f t="shared" si="46"/>
        <v>40</v>
      </c>
      <c r="L168" s="78">
        <f t="shared" si="46"/>
        <v>39</v>
      </c>
      <c r="M168" s="78">
        <f t="shared" si="46"/>
        <v>38</v>
      </c>
      <c r="N168" s="45"/>
    </row>
    <row r="169" spans="1:14">
      <c r="A169" s="74">
        <v>2</v>
      </c>
      <c r="C169" s="74" t="s">
        <v>360</v>
      </c>
      <c r="E169" s="181">
        <f>Inputs!$C$7+$A169</f>
        <v>47</v>
      </c>
      <c r="F169" s="78">
        <f t="shared" ref="F169:J176" si="47">E169-1</f>
        <v>46</v>
      </c>
      <c r="G169" s="78">
        <f t="shared" si="47"/>
        <v>45</v>
      </c>
      <c r="H169" s="78">
        <f t="shared" si="47"/>
        <v>44</v>
      </c>
      <c r="I169" s="78">
        <f t="shared" si="47"/>
        <v>43</v>
      </c>
      <c r="J169" s="78">
        <f t="shared" si="47"/>
        <v>42</v>
      </c>
      <c r="K169" s="78">
        <f t="shared" si="46"/>
        <v>41</v>
      </c>
      <c r="L169" s="78">
        <f t="shared" si="46"/>
        <v>40</v>
      </c>
      <c r="M169" s="78">
        <f t="shared" si="46"/>
        <v>39</v>
      </c>
      <c r="N169" s="45"/>
    </row>
    <row r="170" spans="1:14">
      <c r="A170" s="74">
        <v>3</v>
      </c>
      <c r="C170" s="74" t="s">
        <v>361</v>
      </c>
      <c r="E170" s="181">
        <f>Inputs!$C$7+$A170</f>
        <v>48</v>
      </c>
      <c r="F170" s="78">
        <f t="shared" si="47"/>
        <v>47</v>
      </c>
      <c r="G170" s="78">
        <f t="shared" si="47"/>
        <v>46</v>
      </c>
      <c r="H170" s="78">
        <f t="shared" si="47"/>
        <v>45</v>
      </c>
      <c r="I170" s="78">
        <f t="shared" si="47"/>
        <v>44</v>
      </c>
      <c r="J170" s="78">
        <f t="shared" si="47"/>
        <v>43</v>
      </c>
      <c r="K170" s="78">
        <f t="shared" si="46"/>
        <v>42</v>
      </c>
      <c r="L170" s="78">
        <f t="shared" si="46"/>
        <v>41</v>
      </c>
      <c r="M170" s="78">
        <f t="shared" si="46"/>
        <v>40</v>
      </c>
      <c r="N170" s="45"/>
    </row>
    <row r="171" spans="1:14">
      <c r="A171" s="74">
        <v>4</v>
      </c>
      <c r="C171" s="74" t="s">
        <v>362</v>
      </c>
      <c r="E171" s="181">
        <f>Inputs!$C$7+$A171</f>
        <v>49</v>
      </c>
      <c r="F171" s="78">
        <f t="shared" si="47"/>
        <v>48</v>
      </c>
      <c r="G171" s="78">
        <f t="shared" si="47"/>
        <v>47</v>
      </c>
      <c r="H171" s="78">
        <f t="shared" si="47"/>
        <v>46</v>
      </c>
      <c r="I171" s="78">
        <f t="shared" si="47"/>
        <v>45</v>
      </c>
      <c r="J171" s="78">
        <f t="shared" si="47"/>
        <v>44</v>
      </c>
      <c r="K171" s="78">
        <f t="shared" si="46"/>
        <v>43</v>
      </c>
      <c r="L171" s="78">
        <f t="shared" si="46"/>
        <v>42</v>
      </c>
      <c r="M171" s="78">
        <f t="shared" si="46"/>
        <v>41</v>
      </c>
      <c r="N171" s="45"/>
    </row>
    <row r="172" spans="1:14">
      <c r="A172" s="74">
        <v>5</v>
      </c>
      <c r="C172" s="74" t="s">
        <v>363</v>
      </c>
      <c r="E172" s="181">
        <f>Inputs!$C$7+$A172</f>
        <v>50</v>
      </c>
      <c r="F172" s="78">
        <f t="shared" si="47"/>
        <v>49</v>
      </c>
      <c r="G172" s="78">
        <f t="shared" si="47"/>
        <v>48</v>
      </c>
      <c r="H172" s="78">
        <f t="shared" si="47"/>
        <v>47</v>
      </c>
      <c r="I172" s="78">
        <f t="shared" si="47"/>
        <v>46</v>
      </c>
      <c r="J172" s="78">
        <f t="shared" si="47"/>
        <v>45</v>
      </c>
      <c r="K172" s="78">
        <f t="shared" si="46"/>
        <v>44</v>
      </c>
      <c r="L172" s="78">
        <f t="shared" si="46"/>
        <v>43</v>
      </c>
      <c r="M172" s="78">
        <f t="shared" si="46"/>
        <v>42</v>
      </c>
      <c r="N172" s="45"/>
    </row>
    <row r="173" spans="1:14">
      <c r="A173" s="74">
        <v>6</v>
      </c>
      <c r="C173" s="74" t="s">
        <v>364</v>
      </c>
      <c r="E173" s="181">
        <f>Inputs!$C$7+$A173</f>
        <v>51</v>
      </c>
      <c r="F173" s="78">
        <f t="shared" si="47"/>
        <v>50</v>
      </c>
      <c r="G173" s="78">
        <f t="shared" si="47"/>
        <v>49</v>
      </c>
      <c r="H173" s="78">
        <f t="shared" si="47"/>
        <v>48</v>
      </c>
      <c r="I173" s="78">
        <f t="shared" si="47"/>
        <v>47</v>
      </c>
      <c r="J173" s="78">
        <f t="shared" si="47"/>
        <v>46</v>
      </c>
      <c r="K173" s="78">
        <f t="shared" si="46"/>
        <v>45</v>
      </c>
      <c r="L173" s="78">
        <f t="shared" si="46"/>
        <v>44</v>
      </c>
      <c r="M173" s="78">
        <f t="shared" si="46"/>
        <v>43</v>
      </c>
      <c r="N173" s="45"/>
    </row>
    <row r="174" spans="1:14">
      <c r="A174" s="74">
        <v>7</v>
      </c>
      <c r="C174" s="74" t="s">
        <v>365</v>
      </c>
      <c r="E174" s="181">
        <f>Inputs!$C$7+$A174</f>
        <v>52</v>
      </c>
      <c r="F174" s="78">
        <f t="shared" si="47"/>
        <v>51</v>
      </c>
      <c r="G174" s="78">
        <f t="shared" si="47"/>
        <v>50</v>
      </c>
      <c r="H174" s="78">
        <f t="shared" si="47"/>
        <v>49</v>
      </c>
      <c r="I174" s="78">
        <f t="shared" si="47"/>
        <v>48</v>
      </c>
      <c r="J174" s="78">
        <f t="shared" si="47"/>
        <v>47</v>
      </c>
      <c r="K174" s="78">
        <f t="shared" si="46"/>
        <v>46</v>
      </c>
      <c r="L174" s="78">
        <f t="shared" si="46"/>
        <v>45</v>
      </c>
      <c r="M174" s="78">
        <f t="shared" si="46"/>
        <v>44</v>
      </c>
      <c r="N174" s="45"/>
    </row>
    <row r="175" spans="1:14">
      <c r="A175" s="74">
        <v>8</v>
      </c>
      <c r="C175" s="74" t="s">
        <v>366</v>
      </c>
      <c r="E175" s="181">
        <f>Inputs!$C$7+$A175</f>
        <v>53</v>
      </c>
      <c r="F175" s="78">
        <f t="shared" si="47"/>
        <v>52</v>
      </c>
      <c r="G175" s="78">
        <f t="shared" si="47"/>
        <v>51</v>
      </c>
      <c r="H175" s="78">
        <f t="shared" si="47"/>
        <v>50</v>
      </c>
      <c r="I175" s="78">
        <f t="shared" si="47"/>
        <v>49</v>
      </c>
      <c r="J175" s="78">
        <f t="shared" si="47"/>
        <v>48</v>
      </c>
      <c r="K175" s="78">
        <f t="shared" si="46"/>
        <v>47</v>
      </c>
      <c r="L175" s="78">
        <f t="shared" si="46"/>
        <v>46</v>
      </c>
      <c r="M175" s="78">
        <f t="shared" si="46"/>
        <v>45</v>
      </c>
      <c r="N175" s="45"/>
    </row>
    <row r="176" spans="1:14">
      <c r="A176" s="74">
        <v>9</v>
      </c>
      <c r="C176" s="74" t="s">
        <v>367</v>
      </c>
      <c r="E176" s="181">
        <f>Inputs!$C$7+$A176</f>
        <v>54</v>
      </c>
      <c r="F176" s="78">
        <f t="shared" si="47"/>
        <v>53</v>
      </c>
      <c r="G176" s="78">
        <f t="shared" si="47"/>
        <v>52</v>
      </c>
      <c r="H176" s="78">
        <f t="shared" si="47"/>
        <v>51</v>
      </c>
      <c r="I176" s="78">
        <f t="shared" si="47"/>
        <v>50</v>
      </c>
      <c r="J176" s="78">
        <f t="shared" si="47"/>
        <v>49</v>
      </c>
      <c r="K176" s="78">
        <f t="shared" si="46"/>
        <v>48</v>
      </c>
      <c r="L176" s="78">
        <f t="shared" si="46"/>
        <v>47</v>
      </c>
      <c r="M176" s="78">
        <f t="shared" si="46"/>
        <v>46</v>
      </c>
      <c r="N176" s="45"/>
    </row>
    <row r="177" spans="1:14">
      <c r="A177" s="74">
        <v>1</v>
      </c>
      <c r="C177" s="74" t="s">
        <v>404</v>
      </c>
      <c r="E177" s="78">
        <f t="shared" ref="E177:M185" si="48">E159/E168</f>
        <v>0</v>
      </c>
      <c r="F177" s="78">
        <f t="shared" si="48"/>
        <v>0</v>
      </c>
      <c r="G177" s="78">
        <f t="shared" si="48"/>
        <v>0</v>
      </c>
      <c r="H177" s="78">
        <f t="shared" si="48"/>
        <v>0</v>
      </c>
      <c r="I177" s="78">
        <f t="shared" si="48"/>
        <v>0</v>
      </c>
      <c r="J177" s="78">
        <f t="shared" si="48"/>
        <v>0</v>
      </c>
      <c r="K177" s="78">
        <f t="shared" si="48"/>
        <v>0</v>
      </c>
      <c r="L177" s="78">
        <f t="shared" si="48"/>
        <v>0</v>
      </c>
      <c r="M177" s="78">
        <f t="shared" si="48"/>
        <v>0</v>
      </c>
      <c r="N177" s="45"/>
    </row>
    <row r="178" spans="1:14">
      <c r="A178" s="74">
        <v>2</v>
      </c>
      <c r="C178" s="74" t="s">
        <v>405</v>
      </c>
      <c r="E178" s="78">
        <f t="shared" si="48"/>
        <v>0</v>
      </c>
      <c r="F178" s="78">
        <f t="shared" si="48"/>
        <v>0</v>
      </c>
      <c r="G178" s="78">
        <f t="shared" si="48"/>
        <v>256.02222222222224</v>
      </c>
      <c r="H178" s="78">
        <f t="shared" si="48"/>
        <v>256.02222222222224</v>
      </c>
      <c r="I178" s="78">
        <f t="shared" si="48"/>
        <v>256.02222222222224</v>
      </c>
      <c r="J178" s="78">
        <f t="shared" si="48"/>
        <v>256.02222222222224</v>
      </c>
      <c r="K178" s="78">
        <f t="shared" si="48"/>
        <v>256.02222222222224</v>
      </c>
      <c r="L178" s="78">
        <f t="shared" si="48"/>
        <v>256.02222222222224</v>
      </c>
      <c r="M178" s="78">
        <f t="shared" si="48"/>
        <v>256.0222222222223</v>
      </c>
      <c r="N178" s="45"/>
    </row>
    <row r="179" spans="1:14">
      <c r="A179" s="74">
        <v>3</v>
      </c>
      <c r="C179" s="74" t="s">
        <v>406</v>
      </c>
      <c r="E179" s="78">
        <f t="shared" si="48"/>
        <v>0</v>
      </c>
      <c r="F179" s="78">
        <f t="shared" si="48"/>
        <v>0</v>
      </c>
      <c r="G179" s="78">
        <f t="shared" si="48"/>
        <v>0</v>
      </c>
      <c r="H179" s="78">
        <f t="shared" si="48"/>
        <v>264.40879788616598</v>
      </c>
      <c r="I179" s="78">
        <f t="shared" si="48"/>
        <v>264.40879788616598</v>
      </c>
      <c r="J179" s="78">
        <f t="shared" si="48"/>
        <v>264.40879788616598</v>
      </c>
      <c r="K179" s="78">
        <f t="shared" si="48"/>
        <v>264.40879788616598</v>
      </c>
      <c r="L179" s="78">
        <f t="shared" si="48"/>
        <v>264.40879788616598</v>
      </c>
      <c r="M179" s="78">
        <f t="shared" si="48"/>
        <v>264.40879788616598</v>
      </c>
      <c r="N179" s="45"/>
    </row>
    <row r="180" spans="1:14">
      <c r="A180" s="74">
        <v>4</v>
      </c>
      <c r="C180" s="74" t="s">
        <v>407</v>
      </c>
      <c r="E180" s="78">
        <f t="shared" si="48"/>
        <v>0</v>
      </c>
      <c r="F180" s="78">
        <f t="shared" si="48"/>
        <v>0</v>
      </c>
      <c r="G180" s="78">
        <f t="shared" si="48"/>
        <v>0</v>
      </c>
      <c r="H180" s="78">
        <f t="shared" si="48"/>
        <v>0</v>
      </c>
      <c r="I180" s="78">
        <f t="shared" si="48"/>
        <v>361.77049655606447</v>
      </c>
      <c r="J180" s="78">
        <f t="shared" si="48"/>
        <v>361.77049655606447</v>
      </c>
      <c r="K180" s="78">
        <f t="shared" si="48"/>
        <v>361.77049655606447</v>
      </c>
      <c r="L180" s="78">
        <f t="shared" si="48"/>
        <v>361.77049655606447</v>
      </c>
      <c r="M180" s="78">
        <f t="shared" si="48"/>
        <v>361.77049655606447</v>
      </c>
      <c r="N180" s="45"/>
    </row>
    <row r="181" spans="1:14">
      <c r="A181" s="74">
        <v>5</v>
      </c>
      <c r="C181" s="74" t="s">
        <v>408</v>
      </c>
      <c r="E181" s="78">
        <f t="shared" si="48"/>
        <v>0</v>
      </c>
      <c r="F181" s="78">
        <f t="shared" si="48"/>
        <v>0</v>
      </c>
      <c r="G181" s="78">
        <f t="shared" si="48"/>
        <v>0</v>
      </c>
      <c r="H181" s="78">
        <f t="shared" si="48"/>
        <v>0</v>
      </c>
      <c r="I181" s="78">
        <f t="shared" si="48"/>
        <v>0</v>
      </c>
      <c r="J181" s="78">
        <f t="shared" si="48"/>
        <v>576.68782477816308</v>
      </c>
      <c r="K181" s="78">
        <f t="shared" si="48"/>
        <v>576.68782477816308</v>
      </c>
      <c r="L181" s="78">
        <f t="shared" si="48"/>
        <v>576.68782477816308</v>
      </c>
      <c r="M181" s="78">
        <f t="shared" si="48"/>
        <v>576.68782477816296</v>
      </c>
      <c r="N181" s="45"/>
    </row>
    <row r="182" spans="1:14">
      <c r="A182" s="74">
        <v>6</v>
      </c>
      <c r="C182" s="74" t="s">
        <v>409</v>
      </c>
      <c r="E182" s="78">
        <f t="shared" si="48"/>
        <v>0</v>
      </c>
      <c r="F182" s="78">
        <f t="shared" si="48"/>
        <v>0</v>
      </c>
      <c r="G182" s="78">
        <f t="shared" si="48"/>
        <v>0</v>
      </c>
      <c r="H182" s="78">
        <f t="shared" si="48"/>
        <v>0</v>
      </c>
      <c r="I182" s="78">
        <f t="shared" si="48"/>
        <v>0</v>
      </c>
      <c r="J182" s="78">
        <f t="shared" si="48"/>
        <v>0</v>
      </c>
      <c r="K182" s="78">
        <f t="shared" si="48"/>
        <v>251.71049152387656</v>
      </c>
      <c r="L182" s="78">
        <f t="shared" si="48"/>
        <v>251.71049152387658</v>
      </c>
      <c r="M182" s="78">
        <f t="shared" si="48"/>
        <v>251.71049152387658</v>
      </c>
      <c r="N182" s="45"/>
    </row>
    <row r="183" spans="1:14">
      <c r="A183" s="74">
        <v>7</v>
      </c>
      <c r="C183" s="74" t="s">
        <v>410</v>
      </c>
      <c r="E183" s="78">
        <f t="shared" si="48"/>
        <v>0</v>
      </c>
      <c r="F183" s="78">
        <f t="shared" si="48"/>
        <v>0</v>
      </c>
      <c r="G183" s="78">
        <f t="shared" si="48"/>
        <v>0</v>
      </c>
      <c r="H183" s="78">
        <f t="shared" si="48"/>
        <v>0</v>
      </c>
      <c r="I183" s="78">
        <f t="shared" si="48"/>
        <v>0</v>
      </c>
      <c r="J183" s="78">
        <f t="shared" si="48"/>
        <v>0</v>
      </c>
      <c r="K183" s="78">
        <f t="shared" si="48"/>
        <v>0</v>
      </c>
      <c r="L183" s="78">
        <f t="shared" si="48"/>
        <v>237.09552941674676</v>
      </c>
      <c r="M183" s="78">
        <f t="shared" si="48"/>
        <v>237.09552941674676</v>
      </c>
      <c r="N183" s="45"/>
    </row>
    <row r="184" spans="1:14">
      <c r="A184" s="74">
        <v>8</v>
      </c>
      <c r="C184" s="74" t="s">
        <v>411</v>
      </c>
      <c r="E184" s="78">
        <f t="shared" si="48"/>
        <v>0</v>
      </c>
      <c r="F184" s="78">
        <f t="shared" si="48"/>
        <v>0</v>
      </c>
      <c r="G184" s="78">
        <f t="shared" si="48"/>
        <v>0</v>
      </c>
      <c r="H184" s="78">
        <f t="shared" si="48"/>
        <v>0</v>
      </c>
      <c r="I184" s="78">
        <f t="shared" si="48"/>
        <v>0</v>
      </c>
      <c r="J184" s="78">
        <f t="shared" si="48"/>
        <v>0</v>
      </c>
      <c r="K184" s="78">
        <f t="shared" si="48"/>
        <v>0</v>
      </c>
      <c r="L184" s="78">
        <f t="shared" si="48"/>
        <v>0</v>
      </c>
      <c r="M184" s="78">
        <f t="shared" si="48"/>
        <v>234.63262329530355</v>
      </c>
      <c r="N184" s="45"/>
    </row>
    <row r="185" spans="1:14">
      <c r="A185" s="74">
        <v>9</v>
      </c>
      <c r="C185" s="74" t="s">
        <v>412</v>
      </c>
      <c r="E185" s="78">
        <f t="shared" si="48"/>
        <v>0</v>
      </c>
      <c r="F185" s="78">
        <f t="shared" si="48"/>
        <v>0</v>
      </c>
      <c r="G185" s="78">
        <f t="shared" si="48"/>
        <v>0</v>
      </c>
      <c r="H185" s="78">
        <f t="shared" si="48"/>
        <v>0</v>
      </c>
      <c r="I185" s="78">
        <f t="shared" si="48"/>
        <v>0</v>
      </c>
      <c r="J185" s="78">
        <f t="shared" si="48"/>
        <v>0</v>
      </c>
      <c r="K185" s="78">
        <f t="shared" si="48"/>
        <v>0</v>
      </c>
      <c r="L185" s="78">
        <f t="shared" si="48"/>
        <v>0</v>
      </c>
      <c r="M185" s="78">
        <f t="shared" si="48"/>
        <v>0</v>
      </c>
      <c r="N185" s="45"/>
    </row>
    <row r="186" spans="1:14">
      <c r="A186" s="74">
        <v>1</v>
      </c>
      <c r="C186" s="74" t="s">
        <v>413</v>
      </c>
      <c r="E186" s="78">
        <f t="shared" ref="E186:M194" si="49">E159-E177+IF($A186=E$157,E$158,0)</f>
        <v>0</v>
      </c>
      <c r="F186" s="78">
        <f t="shared" si="49"/>
        <v>0</v>
      </c>
      <c r="G186" s="78">
        <f t="shared" si="49"/>
        <v>0</v>
      </c>
      <c r="H186" s="78">
        <f t="shared" si="49"/>
        <v>0</v>
      </c>
      <c r="I186" s="78">
        <f t="shared" si="49"/>
        <v>0</v>
      </c>
      <c r="J186" s="78">
        <f t="shared" si="49"/>
        <v>0</v>
      </c>
      <c r="K186" s="78">
        <f t="shared" si="49"/>
        <v>0</v>
      </c>
      <c r="L186" s="78">
        <f t="shared" si="49"/>
        <v>0</v>
      </c>
      <c r="M186" s="78">
        <f t="shared" si="49"/>
        <v>0</v>
      </c>
      <c r="N186" s="45"/>
    </row>
    <row r="187" spans="1:14">
      <c r="A187" s="74">
        <v>2</v>
      </c>
      <c r="C187" s="74" t="s">
        <v>414</v>
      </c>
      <c r="E187" s="78">
        <f t="shared" si="49"/>
        <v>0</v>
      </c>
      <c r="F187" s="78">
        <f t="shared" si="49"/>
        <v>11521</v>
      </c>
      <c r="G187" s="78">
        <f t="shared" si="49"/>
        <v>11264.977777777778</v>
      </c>
      <c r="H187" s="78">
        <f t="shared" si="49"/>
        <v>11008.955555555556</v>
      </c>
      <c r="I187" s="78">
        <f t="shared" si="49"/>
        <v>10752.933333333334</v>
      </c>
      <c r="J187" s="78">
        <f t="shared" si="49"/>
        <v>10496.911111111112</v>
      </c>
      <c r="K187" s="78">
        <f t="shared" si="49"/>
        <v>10240.888888888891</v>
      </c>
      <c r="L187" s="78">
        <f t="shared" si="49"/>
        <v>9984.8666666666686</v>
      </c>
      <c r="M187" s="78">
        <f t="shared" si="49"/>
        <v>9728.8444444444467</v>
      </c>
      <c r="N187" s="45"/>
    </row>
    <row r="188" spans="1:14">
      <c r="A188" s="74">
        <v>3</v>
      </c>
      <c r="C188" s="74" t="s">
        <v>415</v>
      </c>
      <c r="E188" s="78">
        <f t="shared" si="49"/>
        <v>0</v>
      </c>
      <c r="F188" s="78">
        <f t="shared" si="49"/>
        <v>0</v>
      </c>
      <c r="G188" s="78">
        <f t="shared" si="49"/>
        <v>11898.39590487747</v>
      </c>
      <c r="H188" s="78">
        <f t="shared" si="49"/>
        <v>11633.987106991304</v>
      </c>
      <c r="I188" s="78">
        <f t="shared" si="49"/>
        <v>11369.578309105138</v>
      </c>
      <c r="J188" s="78">
        <f t="shared" si="49"/>
        <v>11105.169511218972</v>
      </c>
      <c r="K188" s="78">
        <f t="shared" si="49"/>
        <v>10840.760713332806</v>
      </c>
      <c r="L188" s="78">
        <f t="shared" si="49"/>
        <v>10576.351915446639</v>
      </c>
      <c r="M188" s="78">
        <f t="shared" si="49"/>
        <v>10311.943117560473</v>
      </c>
      <c r="N188" s="45"/>
    </row>
    <row r="189" spans="1:14">
      <c r="A189" s="74">
        <v>4</v>
      </c>
      <c r="C189" s="74" t="s">
        <v>416</v>
      </c>
      <c r="E189" s="78">
        <f t="shared" si="49"/>
        <v>0</v>
      </c>
      <c r="F189" s="78">
        <f t="shared" si="49"/>
        <v>0</v>
      </c>
      <c r="G189" s="78">
        <f t="shared" si="49"/>
        <v>0</v>
      </c>
      <c r="H189" s="78">
        <f t="shared" si="49"/>
        <v>16279.6723450229</v>
      </c>
      <c r="I189" s="78">
        <f t="shared" si="49"/>
        <v>15917.901848466836</v>
      </c>
      <c r="J189" s="78">
        <f t="shared" si="49"/>
        <v>15556.131351910772</v>
      </c>
      <c r="K189" s="78">
        <f t="shared" si="49"/>
        <v>15194.360855354707</v>
      </c>
      <c r="L189" s="78">
        <f t="shared" si="49"/>
        <v>14832.590358798643</v>
      </c>
      <c r="M189" s="78">
        <f t="shared" si="49"/>
        <v>14470.819862242579</v>
      </c>
      <c r="N189" s="45"/>
    </row>
    <row r="190" spans="1:14">
      <c r="A190" s="74">
        <v>5</v>
      </c>
      <c r="C190" s="74" t="s">
        <v>417</v>
      </c>
      <c r="E190" s="78">
        <f t="shared" si="49"/>
        <v>0</v>
      </c>
      <c r="F190" s="78">
        <f t="shared" si="49"/>
        <v>0</v>
      </c>
      <c r="G190" s="78">
        <f t="shared" si="49"/>
        <v>0</v>
      </c>
      <c r="H190" s="78">
        <f t="shared" si="49"/>
        <v>0</v>
      </c>
      <c r="I190" s="78">
        <f t="shared" si="49"/>
        <v>25950.952115017339</v>
      </c>
      <c r="J190" s="78">
        <f t="shared" si="49"/>
        <v>25374.264290239174</v>
      </c>
      <c r="K190" s="78">
        <f t="shared" si="49"/>
        <v>24797.57646546101</v>
      </c>
      <c r="L190" s="78">
        <f t="shared" si="49"/>
        <v>24220.888640682846</v>
      </c>
      <c r="M190" s="78">
        <f t="shared" si="49"/>
        <v>23644.200815904682</v>
      </c>
      <c r="N190" s="45"/>
    </row>
    <row r="191" spans="1:14">
      <c r="A191" s="74">
        <v>6</v>
      </c>
      <c r="C191" s="74" t="s">
        <v>418</v>
      </c>
      <c r="E191" s="78">
        <f t="shared" si="49"/>
        <v>0</v>
      </c>
      <c r="F191" s="78">
        <f t="shared" si="49"/>
        <v>0</v>
      </c>
      <c r="G191" s="78">
        <f t="shared" si="49"/>
        <v>0</v>
      </c>
      <c r="H191" s="78">
        <f t="shared" si="49"/>
        <v>0</v>
      </c>
      <c r="I191" s="78">
        <f t="shared" si="49"/>
        <v>0</v>
      </c>
      <c r="J191" s="78">
        <f t="shared" si="49"/>
        <v>11326.972118574446</v>
      </c>
      <c r="K191" s="78">
        <f t="shared" si="49"/>
        <v>11075.26162705057</v>
      </c>
      <c r="L191" s="78">
        <f t="shared" si="49"/>
        <v>10823.551135526694</v>
      </c>
      <c r="M191" s="78">
        <f t="shared" si="49"/>
        <v>10571.840644002817</v>
      </c>
      <c r="N191" s="45"/>
    </row>
    <row r="192" spans="1:14">
      <c r="A192" s="74">
        <v>7</v>
      </c>
      <c r="C192" s="74" t="s">
        <v>419</v>
      </c>
      <c r="E192" s="78">
        <f t="shared" si="49"/>
        <v>0</v>
      </c>
      <c r="F192" s="78">
        <f t="shared" si="49"/>
        <v>0</v>
      </c>
      <c r="G192" s="78">
        <f t="shared" si="49"/>
        <v>0</v>
      </c>
      <c r="H192" s="78">
        <f t="shared" si="49"/>
        <v>0</v>
      </c>
      <c r="I192" s="78">
        <f t="shared" si="49"/>
        <v>0</v>
      </c>
      <c r="J192" s="78">
        <f t="shared" si="49"/>
        <v>0</v>
      </c>
      <c r="K192" s="78">
        <f t="shared" si="49"/>
        <v>10669.298823753605</v>
      </c>
      <c r="L192" s="78">
        <f t="shared" si="49"/>
        <v>10432.203294336858</v>
      </c>
      <c r="M192" s="78">
        <f t="shared" si="49"/>
        <v>10195.107764920111</v>
      </c>
      <c r="N192" s="45"/>
    </row>
    <row r="193" spans="1:14">
      <c r="A193" s="74">
        <v>8</v>
      </c>
      <c r="C193" s="74" t="s">
        <v>420</v>
      </c>
      <c r="E193" s="78">
        <f t="shared" si="49"/>
        <v>0</v>
      </c>
      <c r="F193" s="78">
        <f t="shared" si="49"/>
        <v>0</v>
      </c>
      <c r="G193" s="78">
        <f t="shared" si="49"/>
        <v>0</v>
      </c>
      <c r="H193" s="78">
        <f t="shared" si="49"/>
        <v>0</v>
      </c>
      <c r="I193" s="78">
        <f t="shared" si="49"/>
        <v>0</v>
      </c>
      <c r="J193" s="78">
        <f t="shared" si="49"/>
        <v>0</v>
      </c>
      <c r="K193" s="78">
        <f t="shared" si="49"/>
        <v>0</v>
      </c>
      <c r="L193" s="78">
        <f t="shared" si="49"/>
        <v>10558.46804828866</v>
      </c>
      <c r="M193" s="78">
        <f t="shared" si="49"/>
        <v>10323.835424993356</v>
      </c>
      <c r="N193" s="45"/>
    </row>
    <row r="194" spans="1:14">
      <c r="A194" s="74">
        <v>9</v>
      </c>
      <c r="C194" s="74" t="s">
        <v>421</v>
      </c>
      <c r="E194" s="78">
        <f t="shared" si="49"/>
        <v>0</v>
      </c>
      <c r="F194" s="78">
        <f t="shared" si="49"/>
        <v>0</v>
      </c>
      <c r="G194" s="78">
        <f t="shared" si="49"/>
        <v>0</v>
      </c>
      <c r="H194" s="78">
        <f t="shared" si="49"/>
        <v>0</v>
      </c>
      <c r="I194" s="78">
        <f t="shared" si="49"/>
        <v>0</v>
      </c>
      <c r="J194" s="78">
        <f t="shared" si="49"/>
        <v>0</v>
      </c>
      <c r="K194" s="78">
        <f t="shared" si="49"/>
        <v>0</v>
      </c>
      <c r="L194" s="78">
        <f t="shared" si="49"/>
        <v>0</v>
      </c>
      <c r="M194" s="78">
        <f t="shared" si="49"/>
        <v>10765.935389779879</v>
      </c>
      <c r="N194" s="45"/>
    </row>
    <row r="195" spans="1:14">
      <c r="C195" s="74" t="s">
        <v>47</v>
      </c>
      <c r="E195" s="78">
        <f>SUM(E159:E167)</f>
        <v>0</v>
      </c>
      <c r="F195" s="78">
        <f t="shared" ref="F195:M195" si="50">SUM(F159:F167)</f>
        <v>0</v>
      </c>
      <c r="G195" s="78">
        <f t="shared" si="50"/>
        <v>11521</v>
      </c>
      <c r="H195" s="78">
        <f>SUM(H159:H167)</f>
        <v>23163.373682655249</v>
      </c>
      <c r="I195" s="78">
        <f t="shared" si="50"/>
        <v>38922.615007569766</v>
      </c>
      <c r="J195" s="78">
        <f t="shared" si="50"/>
        <v>63991.365605922649</v>
      </c>
      <c r="K195" s="78">
        <f t="shared" si="50"/>
        <v>73859.448383054478</v>
      </c>
      <c r="L195" s="78">
        <f t="shared" si="50"/>
        <v>82818.147373841595</v>
      </c>
      <c r="M195" s="78">
        <f t="shared" si="50"/>
        <v>91428.920059747004</v>
      </c>
      <c r="N195" s="45"/>
    </row>
    <row r="196" spans="1:14">
      <c r="C196" s="74" t="s">
        <v>43</v>
      </c>
      <c r="E196" s="78">
        <f>SUM(E177:E185)</f>
        <v>0</v>
      </c>
      <c r="F196" s="78">
        <f t="shared" ref="F196:M196" si="51">SUM(F177:F185)</f>
        <v>0</v>
      </c>
      <c r="G196" s="78">
        <f t="shared" si="51"/>
        <v>256.02222222222224</v>
      </c>
      <c r="H196" s="78">
        <f t="shared" si="51"/>
        <v>520.43102010838822</v>
      </c>
      <c r="I196" s="78">
        <f t="shared" si="51"/>
        <v>882.2015166644527</v>
      </c>
      <c r="J196" s="78">
        <f t="shared" si="51"/>
        <v>1458.8893414426157</v>
      </c>
      <c r="K196" s="78">
        <f t="shared" si="51"/>
        <v>1710.5998329664922</v>
      </c>
      <c r="L196" s="78">
        <f t="shared" si="51"/>
        <v>1947.6953623832389</v>
      </c>
      <c r="M196" s="78">
        <f t="shared" si="51"/>
        <v>2182.3279856785425</v>
      </c>
      <c r="N196" s="45"/>
    </row>
    <row r="197" spans="1:14" s="40" customFormat="1">
      <c r="C197" s="40" t="s">
        <v>48</v>
      </c>
      <c r="E197" s="63">
        <f>SUM(E186:E194)</f>
        <v>0</v>
      </c>
      <c r="F197" s="63">
        <f t="shared" ref="F197:M197" si="52">SUM(F186:F194)</f>
        <v>11521</v>
      </c>
      <c r="G197" s="63">
        <f t="shared" si="52"/>
        <v>23163.373682655249</v>
      </c>
      <c r="H197" s="63">
        <f t="shared" si="52"/>
        <v>38922.615007569766</v>
      </c>
      <c r="I197" s="63">
        <f t="shared" si="52"/>
        <v>63991.365605922649</v>
      </c>
      <c r="J197" s="63">
        <f t="shared" si="52"/>
        <v>73859.448383054478</v>
      </c>
      <c r="K197" s="63">
        <f t="shared" si="52"/>
        <v>82818.147373841595</v>
      </c>
      <c r="L197" s="63">
        <f t="shared" si="52"/>
        <v>91428.920059747004</v>
      </c>
      <c r="M197" s="63">
        <f t="shared" si="52"/>
        <v>100012.52746384835</v>
      </c>
      <c r="N197" s="70"/>
    </row>
    <row r="198" spans="1:14" s="40" customFormat="1">
      <c r="E198" s="63"/>
      <c r="F198" s="63"/>
      <c r="G198" s="63"/>
      <c r="H198" s="63"/>
      <c r="I198" s="63"/>
      <c r="J198" s="63"/>
      <c r="K198" s="63"/>
      <c r="L198" s="63"/>
      <c r="M198" s="63"/>
      <c r="N198" s="70"/>
    </row>
    <row r="199" spans="1:14" ht="15.75">
      <c r="C199" s="5" t="s">
        <v>199</v>
      </c>
      <c r="N199" s="45"/>
    </row>
    <row r="200" spans="1:14">
      <c r="C200" s="74" t="s">
        <v>45</v>
      </c>
      <c r="E200" s="63">
        <f>E97</f>
        <v>487595</v>
      </c>
      <c r="F200" s="182">
        <f>F26-E99</f>
        <v>480192.8507955597</v>
      </c>
      <c r="G200" s="78">
        <f t="shared" ref="G200:M200" si="53">F203</f>
        <v>463644.19258882711</v>
      </c>
      <c r="H200" s="78">
        <f t="shared" si="53"/>
        <v>447095.53438209451</v>
      </c>
      <c r="I200" s="78">
        <f t="shared" si="53"/>
        <v>430546.87617536192</v>
      </c>
      <c r="J200" s="78">
        <f t="shared" si="53"/>
        <v>413998.21796862932</v>
      </c>
      <c r="K200" s="78">
        <f t="shared" si="53"/>
        <v>397449.55976189673</v>
      </c>
      <c r="L200" s="78">
        <f t="shared" si="53"/>
        <v>380900.90155516414</v>
      </c>
      <c r="M200" s="78">
        <f t="shared" si="53"/>
        <v>364352.24334843154</v>
      </c>
      <c r="N200" s="45"/>
    </row>
    <row r="201" spans="1:14">
      <c r="C201" s="74" t="s">
        <v>23</v>
      </c>
      <c r="E201" s="78">
        <f t="shared" ref="E201:M201" si="54">E93</f>
        <v>317</v>
      </c>
      <c r="F201" s="78">
        <f t="shared" si="54"/>
        <v>0</v>
      </c>
      <c r="G201" s="78">
        <f t="shared" si="54"/>
        <v>0</v>
      </c>
      <c r="H201" s="78">
        <f t="shared" si="54"/>
        <v>0</v>
      </c>
      <c r="I201" s="78">
        <f t="shared" si="54"/>
        <v>0</v>
      </c>
      <c r="J201" s="78">
        <f t="shared" si="54"/>
        <v>0</v>
      </c>
      <c r="K201" s="78">
        <f t="shared" si="54"/>
        <v>0</v>
      </c>
      <c r="L201" s="78">
        <f t="shared" si="54"/>
        <v>0</v>
      </c>
      <c r="M201" s="78">
        <f t="shared" si="54"/>
        <v>0</v>
      </c>
      <c r="N201" s="45"/>
    </row>
    <row r="202" spans="1:14">
      <c r="C202" s="80" t="s">
        <v>44</v>
      </c>
      <c r="E202" s="78">
        <f t="shared" ref="E202:M202" si="55">E200/E$91</f>
        <v>16243.947510081221</v>
      </c>
      <c r="F202" s="78">
        <f t="shared" si="55"/>
        <v>16548.658206732583</v>
      </c>
      <c r="G202" s="78">
        <f t="shared" si="55"/>
        <v>16548.658206732583</v>
      </c>
      <c r="H202" s="78">
        <f t="shared" si="55"/>
        <v>16548.658206732583</v>
      </c>
      <c r="I202" s="78">
        <f t="shared" si="55"/>
        <v>16548.658206732583</v>
      </c>
      <c r="J202" s="78">
        <f t="shared" si="55"/>
        <v>16548.658206732583</v>
      </c>
      <c r="K202" s="78">
        <f t="shared" si="55"/>
        <v>16548.658206732583</v>
      </c>
      <c r="L202" s="78">
        <f t="shared" si="55"/>
        <v>16548.65820673258</v>
      </c>
      <c r="M202" s="78">
        <f t="shared" si="55"/>
        <v>16548.65820673258</v>
      </c>
      <c r="N202" s="45"/>
    </row>
    <row r="203" spans="1:14">
      <c r="C203" s="74" t="s">
        <v>42</v>
      </c>
      <c r="E203" s="78"/>
      <c r="F203" s="78">
        <f t="shared" ref="F203:M203" si="56">F200-F201-F202</f>
        <v>463644.19258882711</v>
      </c>
      <c r="G203" s="78">
        <f t="shared" si="56"/>
        <v>447095.53438209451</v>
      </c>
      <c r="H203" s="78">
        <f t="shared" si="56"/>
        <v>430546.87617536192</v>
      </c>
      <c r="I203" s="78">
        <f t="shared" si="56"/>
        <v>413998.21796862932</v>
      </c>
      <c r="J203" s="78">
        <f t="shared" si="56"/>
        <v>397449.55976189673</v>
      </c>
      <c r="K203" s="78">
        <f t="shared" si="56"/>
        <v>380900.90155516414</v>
      </c>
      <c r="L203" s="78">
        <f t="shared" si="56"/>
        <v>364352.24334843154</v>
      </c>
      <c r="M203" s="78">
        <f t="shared" si="56"/>
        <v>347803.58514169895</v>
      </c>
      <c r="N203" s="45"/>
    </row>
    <row r="204" spans="1:14">
      <c r="E204" s="78"/>
      <c r="F204" s="78"/>
      <c r="G204" s="78"/>
      <c r="H204" s="78"/>
      <c r="I204" s="78"/>
      <c r="J204" s="78"/>
      <c r="K204" s="78"/>
      <c r="L204" s="78"/>
      <c r="M204" s="78"/>
      <c r="N204" s="45"/>
    </row>
    <row r="205" spans="1:14" ht="15.75">
      <c r="C205" s="5" t="s">
        <v>46</v>
      </c>
      <c r="E205" s="109"/>
      <c r="F205" s="109"/>
      <c r="G205" s="109"/>
      <c r="H205" s="109"/>
      <c r="I205" s="109"/>
      <c r="J205" s="109"/>
      <c r="K205" s="109"/>
      <c r="L205" s="109"/>
      <c r="M205" s="109"/>
      <c r="N205" s="45"/>
    </row>
    <row r="206" spans="1:14">
      <c r="C206" s="74" t="s">
        <v>111</v>
      </c>
      <c r="E206" s="63">
        <f>E97</f>
        <v>487595</v>
      </c>
      <c r="F206" s="181">
        <f>F97</f>
        <v>488298.51896392228</v>
      </c>
      <c r="G206" s="78">
        <f t="shared" ref="G206:M206" si="57">G97+G151</f>
        <v>498666.12880569237</v>
      </c>
      <c r="H206" s="78">
        <f t="shared" si="57"/>
        <v>497657.39545620501</v>
      </c>
      <c r="I206" s="78">
        <f t="shared" si="57"/>
        <v>506497.18379402364</v>
      </c>
      <c r="J206" s="78">
        <f t="shared" si="57"/>
        <v>523783.37529506977</v>
      </c>
      <c r="K206" s="78">
        <f t="shared" si="57"/>
        <v>526884.2720825891</v>
      </c>
      <c r="L206" s="78">
        <f t="shared" si="57"/>
        <v>528124.03464835207</v>
      </c>
      <c r="M206" s="78">
        <f t="shared" si="57"/>
        <v>528026.19173547591</v>
      </c>
      <c r="N206" s="45"/>
    </row>
    <row r="207" spans="1:14">
      <c r="C207" s="74" t="s">
        <v>110</v>
      </c>
      <c r="E207" s="78">
        <f t="shared" ref="E207:M209" si="58">E99+E152</f>
        <v>8105.668168362592</v>
      </c>
      <c r="F207" s="78">
        <f t="shared" si="58"/>
        <v>15674.6098417701</v>
      </c>
      <c r="G207" s="78">
        <f t="shared" si="58"/>
        <v>4736.3602596765404</v>
      </c>
      <c r="H207" s="78">
        <f t="shared" si="58"/>
        <v>10641.759652580755</v>
      </c>
      <c r="I207" s="78">
        <f t="shared" si="58"/>
        <v>10179.987548818153</v>
      </c>
      <c r="J207" s="78">
        <f t="shared" si="58"/>
        <v>11588.943221133044</v>
      </c>
      <c r="K207" s="78">
        <f t="shared" si="58"/>
        <v>11093.23712066708</v>
      </c>
      <c r="L207" s="78">
        <f t="shared" si="58"/>
        <v>10553.661596975184</v>
      </c>
      <c r="M207" s="78">
        <f t="shared" si="58"/>
        <v>10551.911688495644</v>
      </c>
      <c r="N207" s="45"/>
    </row>
    <row r="208" spans="1:14">
      <c r="C208" s="74" t="s">
        <v>109</v>
      </c>
      <c r="E208" s="78"/>
      <c r="F208" s="78">
        <f t="shared" si="58"/>
        <v>16828</v>
      </c>
      <c r="G208" s="78">
        <f t="shared" si="58"/>
        <v>17643.489514041357</v>
      </c>
      <c r="H208" s="78">
        <f t="shared" si="58"/>
        <v>18081.64365978507</v>
      </c>
      <c r="I208" s="78">
        <f t="shared" si="58"/>
        <v>18844.748162789401</v>
      </c>
      <c r="J208" s="78">
        <f t="shared" si="58"/>
        <v>19815.018552188187</v>
      </c>
      <c r="K208" s="78">
        <f t="shared" si="58"/>
        <v>20522.773378657694</v>
      </c>
      <c r="L208" s="78">
        <f t="shared" si="58"/>
        <v>21209.972558139954</v>
      </c>
      <c r="M208" s="78">
        <f t="shared" si="58"/>
        <v>21886.797676430655</v>
      </c>
      <c r="N208" s="45"/>
    </row>
    <row r="209" spans="3:15">
      <c r="C209" s="74" t="s">
        <v>112</v>
      </c>
      <c r="E209" s="78"/>
      <c r="F209" s="78">
        <f t="shared" si="58"/>
        <v>498666.12880569237</v>
      </c>
      <c r="G209" s="78">
        <f t="shared" si="58"/>
        <v>497657.39545620501</v>
      </c>
      <c r="H209" s="78">
        <f t="shared" si="58"/>
        <v>506497.18379402364</v>
      </c>
      <c r="I209" s="78">
        <f t="shared" si="58"/>
        <v>523783.37529506977</v>
      </c>
      <c r="J209" s="29">
        <f t="shared" si="58"/>
        <v>526884.2720825891</v>
      </c>
      <c r="K209" s="29">
        <f t="shared" si="58"/>
        <v>528124.03464835207</v>
      </c>
      <c r="L209" s="29">
        <f t="shared" si="58"/>
        <v>528026.19173547591</v>
      </c>
      <c r="M209" s="29">
        <f t="shared" si="58"/>
        <v>527457.24113732076</v>
      </c>
      <c r="N209" s="45"/>
    </row>
    <row r="210" spans="3:15">
      <c r="C210" s="74" t="s">
        <v>28</v>
      </c>
      <c r="E210" s="78">
        <f t="shared" ref="E210:M210" si="59">E196+E202</f>
        <v>16243.947510081221</v>
      </c>
      <c r="F210" s="78">
        <f t="shared" si="59"/>
        <v>16548.658206732583</v>
      </c>
      <c r="G210" s="78">
        <f t="shared" si="59"/>
        <v>16804.680428954805</v>
      </c>
      <c r="H210" s="78">
        <f t="shared" si="59"/>
        <v>17069.089226840973</v>
      </c>
      <c r="I210" s="78">
        <f t="shared" si="59"/>
        <v>17430.859723397036</v>
      </c>
      <c r="J210" s="78">
        <f t="shared" si="59"/>
        <v>18007.5475481752</v>
      </c>
      <c r="K210" s="78">
        <f t="shared" si="59"/>
        <v>18259.258039699074</v>
      </c>
      <c r="L210" s="78">
        <f t="shared" si="59"/>
        <v>18496.353569115818</v>
      </c>
      <c r="M210" s="78">
        <f t="shared" si="59"/>
        <v>18730.986192411121</v>
      </c>
      <c r="N210" s="45"/>
    </row>
    <row r="211" spans="3:15">
      <c r="C211" s="74" t="s">
        <v>134</v>
      </c>
      <c r="E211" s="82"/>
      <c r="F211" s="82">
        <f>F206+F158+F207-F208-F93-F209</f>
        <v>0</v>
      </c>
      <c r="G211" s="82">
        <f>G206+G158+G207-G208-G93-G209</f>
        <v>0</v>
      </c>
      <c r="H211" s="82">
        <f>H206+H158+H207-H208-H93-H209</f>
        <v>0</v>
      </c>
      <c r="I211" s="82">
        <f>I206+I158+I207-I208-I93-I209</f>
        <v>0</v>
      </c>
      <c r="J211" s="82">
        <f>J206+J158+J207-J208-J93-J209</f>
        <v>0</v>
      </c>
      <c r="K211" s="82">
        <f t="shared" ref="K211:M211" si="60">K206+K158+K207-K208-K93-K209</f>
        <v>0</v>
      </c>
      <c r="L211" s="82">
        <f t="shared" si="60"/>
        <v>0</v>
      </c>
      <c r="M211" s="82">
        <f t="shared" si="60"/>
        <v>0</v>
      </c>
      <c r="N211" s="45"/>
    </row>
    <row r="212" spans="3:15">
      <c r="F212" s="78"/>
      <c r="G212" s="78"/>
      <c r="N212" s="45"/>
    </row>
    <row r="213" spans="3:15" ht="15.75">
      <c r="C213" s="5" t="s">
        <v>56</v>
      </c>
      <c r="N213" s="45"/>
    </row>
    <row r="214" spans="3:15" ht="15.75">
      <c r="C214" s="16" t="s">
        <v>115</v>
      </c>
      <c r="E214" s="63"/>
      <c r="F214" s="116">
        <f>F206/$F$206</f>
        <v>1</v>
      </c>
      <c r="G214" s="116">
        <f t="shared" ref="G214:M214" si="61">G206/$F$206</f>
        <v>1.021232114043205</v>
      </c>
      <c r="H214" s="116">
        <f t="shared" si="61"/>
        <v>1.0191663012047232</v>
      </c>
      <c r="I214" s="116">
        <f t="shared" si="61"/>
        <v>1.0372695474659959</v>
      </c>
      <c r="J214" s="116">
        <f t="shared" si="61"/>
        <v>1.0726704156433644</v>
      </c>
      <c r="K214" s="116">
        <f t="shared" si="61"/>
        <v>1.0790208276702098</v>
      </c>
      <c r="L214" s="116">
        <f t="shared" si="61"/>
        <v>1.0815597716104732</v>
      </c>
      <c r="M214" s="116">
        <f t="shared" si="61"/>
        <v>1.08135939641154</v>
      </c>
      <c r="N214" s="45"/>
    </row>
    <row r="215" spans="3:15">
      <c r="C215" s="74" t="s">
        <v>56</v>
      </c>
      <c r="F215" s="181">
        <f>IF(F40&gt;0,F40,0)</f>
        <v>94</v>
      </c>
      <c r="G215" s="78">
        <f t="shared" ref="G215:M215" si="62">$F215*G214</f>
        <v>95.995818720061266</v>
      </c>
      <c r="H215" s="78">
        <f t="shared" si="62"/>
        <v>95.801632313243985</v>
      </c>
      <c r="I215" s="78">
        <f t="shared" si="62"/>
        <v>97.503337461803611</v>
      </c>
      <c r="J215" s="78">
        <f t="shared" si="62"/>
        <v>100.83101907047626</v>
      </c>
      <c r="K215" s="78">
        <f t="shared" si="62"/>
        <v>101.42795780099972</v>
      </c>
      <c r="L215" s="78">
        <f t="shared" si="62"/>
        <v>101.66661853138449</v>
      </c>
      <c r="M215" s="78">
        <f t="shared" si="62"/>
        <v>101.64778326268475</v>
      </c>
      <c r="N215" s="45"/>
    </row>
    <row r="216" spans="3:15">
      <c r="N216" s="45"/>
    </row>
    <row r="217" spans="3:15" ht="15.75">
      <c r="C217" s="5" t="s">
        <v>29</v>
      </c>
      <c r="N217" s="45"/>
    </row>
    <row r="218" spans="3:15">
      <c r="C218" s="74" t="s">
        <v>166</v>
      </c>
      <c r="D218" s="35">
        <f>F30/F31</f>
        <v>0.11993477151811092</v>
      </c>
      <c r="N218" s="45"/>
    </row>
    <row r="219" spans="3:15">
      <c r="C219" s="74" t="s">
        <v>122</v>
      </c>
      <c r="D219" s="78"/>
      <c r="E219" s="88">
        <f>E35</f>
        <v>109726.6850092409</v>
      </c>
      <c r="F219" s="179">
        <f>F31</f>
        <v>109768</v>
      </c>
      <c r="G219" s="78">
        <f t="shared" ref="G219:M219" si="63">F223</f>
        <v>108124</v>
      </c>
      <c r="H219" s="78">
        <f t="shared" si="63"/>
        <v>107054.56866925325</v>
      </c>
      <c r="I219" s="78">
        <f t="shared" si="63"/>
        <v>110494.67578095934</v>
      </c>
      <c r="J219" s="78">
        <f t="shared" si="63"/>
        <v>123193.47420221957</v>
      </c>
      <c r="K219" s="78">
        <f t="shared" si="63"/>
        <v>119745.26513982851</v>
      </c>
      <c r="L219" s="78">
        <f t="shared" si="63"/>
        <v>116052.94294866116</v>
      </c>
      <c r="M219" s="78">
        <f t="shared" si="63"/>
        <v>112692.62780039778</v>
      </c>
      <c r="N219" s="45"/>
    </row>
    <row r="220" spans="3:15">
      <c r="C220" s="74" t="s">
        <v>17</v>
      </c>
      <c r="E220" s="181">
        <f>E36</f>
        <v>13396.385181650627</v>
      </c>
      <c r="F220" s="78">
        <f t="shared" ref="F220:M220" si="64">F219*$D218</f>
        <v>13165</v>
      </c>
      <c r="G220" s="78">
        <f t="shared" si="64"/>
        <v>12967.827235624225</v>
      </c>
      <c r="H220" s="78">
        <f t="shared" si="64"/>
        <v>12839.565233316804</v>
      </c>
      <c r="I220" s="78">
        <f t="shared" si="64"/>
        <v>13252.153693757104</v>
      </c>
      <c r="J220" s="78">
        <f t="shared" si="64"/>
        <v>14775.181180965497</v>
      </c>
      <c r="K220" s="78">
        <f t="shared" si="64"/>
        <v>14361.621014920946</v>
      </c>
      <c r="L220" s="78">
        <f t="shared" si="64"/>
        <v>13918.783196552038</v>
      </c>
      <c r="M220" s="78">
        <f t="shared" si="64"/>
        <v>13515.764567016224</v>
      </c>
      <c r="N220" s="45"/>
    </row>
    <row r="221" spans="3:15">
      <c r="C221" s="74" t="s">
        <v>65</v>
      </c>
      <c r="E221" s="97"/>
      <c r="F221" s="78">
        <f t="shared" ref="F221:M221" si="65">F48</f>
        <v>11521</v>
      </c>
      <c r="G221" s="78">
        <f t="shared" si="65"/>
        <v>11898.39590487747</v>
      </c>
      <c r="H221" s="78">
        <f t="shared" si="65"/>
        <v>16279.6723450229</v>
      </c>
      <c r="I221" s="78">
        <f t="shared" si="65"/>
        <v>25950.952115017339</v>
      </c>
      <c r="J221" s="78">
        <f t="shared" si="65"/>
        <v>11326.972118574446</v>
      </c>
      <c r="K221" s="78">
        <f t="shared" si="65"/>
        <v>10669.298823753605</v>
      </c>
      <c r="L221" s="78">
        <f t="shared" si="65"/>
        <v>10558.46804828866</v>
      </c>
      <c r="M221" s="78">
        <f t="shared" si="65"/>
        <v>10765.935389779879</v>
      </c>
      <c r="N221" s="45"/>
      <c r="O221" s="15"/>
    </row>
    <row r="222" spans="3:15">
      <c r="C222" s="74" t="s">
        <v>23</v>
      </c>
      <c r="E222" s="97"/>
      <c r="F222" s="78">
        <f t="shared" ref="F222:M222" si="66">F93</f>
        <v>0</v>
      </c>
      <c r="G222" s="78">
        <f t="shared" si="66"/>
        <v>0</v>
      </c>
      <c r="H222" s="78">
        <f t="shared" si="66"/>
        <v>0</v>
      </c>
      <c r="I222" s="78">
        <f t="shared" si="66"/>
        <v>0</v>
      </c>
      <c r="J222" s="78">
        <f t="shared" si="66"/>
        <v>0</v>
      </c>
      <c r="K222" s="78">
        <f t="shared" si="66"/>
        <v>0</v>
      </c>
      <c r="L222" s="78">
        <f t="shared" si="66"/>
        <v>0</v>
      </c>
      <c r="M222" s="78">
        <f t="shared" si="66"/>
        <v>0</v>
      </c>
      <c r="N222" s="45"/>
      <c r="O222" s="15"/>
    </row>
    <row r="223" spans="3:15">
      <c r="C223" s="74" t="s">
        <v>87</v>
      </c>
      <c r="E223" s="97"/>
      <c r="F223" s="78">
        <f t="shared" ref="F223:M223" si="67">F219-F220+F221-F222</f>
        <v>108124</v>
      </c>
      <c r="G223" s="78">
        <f t="shared" si="67"/>
        <v>107054.56866925325</v>
      </c>
      <c r="H223" s="78">
        <f t="shared" si="67"/>
        <v>110494.67578095934</v>
      </c>
      <c r="I223" s="78">
        <f t="shared" si="67"/>
        <v>123193.47420221957</v>
      </c>
      <c r="J223" s="78">
        <f t="shared" si="67"/>
        <v>119745.26513982851</v>
      </c>
      <c r="K223" s="78">
        <f t="shared" si="67"/>
        <v>116052.94294866116</v>
      </c>
      <c r="L223" s="78">
        <f t="shared" si="67"/>
        <v>112692.62780039778</v>
      </c>
      <c r="M223" s="78">
        <f t="shared" si="67"/>
        <v>109942.79862316145</v>
      </c>
      <c r="N223" s="45"/>
      <c r="O223" s="15"/>
    </row>
    <row r="224" spans="3:15">
      <c r="E224" s="97"/>
      <c r="F224" s="78"/>
      <c r="G224" s="78"/>
      <c r="H224" s="78"/>
      <c r="I224" s="78"/>
      <c r="J224" s="78"/>
      <c r="K224" s="78"/>
      <c r="L224" s="78"/>
      <c r="M224" s="78"/>
      <c r="N224" s="45"/>
      <c r="O224" s="15"/>
    </row>
    <row r="225" spans="1:15" ht="21">
      <c r="C225" s="3" t="s">
        <v>226</v>
      </c>
      <c r="D225" s="3"/>
      <c r="E225" s="3"/>
      <c r="F225" s="3"/>
      <c r="G225" s="3"/>
      <c r="N225" s="45"/>
      <c r="O225" s="15"/>
    </row>
    <row r="226" spans="1:15" ht="15.75">
      <c r="C226" s="5" t="s">
        <v>88</v>
      </c>
      <c r="N226" s="45"/>
      <c r="O226" s="15"/>
    </row>
    <row r="227" spans="1:15">
      <c r="A227" s="80"/>
      <c r="B227" s="80"/>
      <c r="C227" s="74" t="s">
        <v>238</v>
      </c>
      <c r="E227" s="78">
        <f t="shared" ref="E227:M227" si="68">E210-E220</f>
        <v>2847.5623284305948</v>
      </c>
      <c r="F227" s="78">
        <f t="shared" si="68"/>
        <v>3383.6582067325835</v>
      </c>
      <c r="G227" s="78">
        <f t="shared" si="68"/>
        <v>3836.8531933305803</v>
      </c>
      <c r="H227" s="78">
        <f t="shared" si="68"/>
        <v>4229.5239935241698</v>
      </c>
      <c r="I227" s="78">
        <f t="shared" si="68"/>
        <v>4178.7060296399322</v>
      </c>
      <c r="J227" s="78">
        <f t="shared" si="68"/>
        <v>3232.3663672097027</v>
      </c>
      <c r="K227" s="78">
        <f t="shared" si="68"/>
        <v>3897.6370247781288</v>
      </c>
      <c r="L227" s="78">
        <f t="shared" si="68"/>
        <v>4577.5703725637795</v>
      </c>
      <c r="M227" s="78">
        <f t="shared" si="68"/>
        <v>5215.2216253948973</v>
      </c>
      <c r="N227" s="45"/>
      <c r="O227" s="15"/>
    </row>
    <row r="228" spans="1:15">
      <c r="A228" s="80"/>
      <c r="B228" s="80"/>
      <c r="C228" s="74" t="s">
        <v>239</v>
      </c>
      <c r="E228" s="97"/>
      <c r="F228" s="97"/>
      <c r="G228" s="78">
        <f t="shared" ref="G228:M228" si="69">G208-G220</f>
        <v>4675.6622784171323</v>
      </c>
      <c r="H228" s="78">
        <f t="shared" si="69"/>
        <v>5242.0784264682661</v>
      </c>
      <c r="I228" s="78">
        <f t="shared" si="69"/>
        <v>5592.5944690322976</v>
      </c>
      <c r="J228" s="78">
        <f t="shared" si="69"/>
        <v>5039.8373712226894</v>
      </c>
      <c r="K228" s="78">
        <f t="shared" si="69"/>
        <v>6161.1523637367482</v>
      </c>
      <c r="L228" s="78">
        <f t="shared" si="69"/>
        <v>7291.1893615879162</v>
      </c>
      <c r="M228" s="78">
        <f t="shared" si="69"/>
        <v>8371.0331094144312</v>
      </c>
      <c r="N228" s="45"/>
      <c r="O228" s="15"/>
    </row>
    <row r="229" spans="1:15">
      <c r="N229" s="45"/>
      <c r="O229" s="15"/>
    </row>
    <row r="230" spans="1:15" ht="15.75">
      <c r="A230" s="110"/>
      <c r="C230" s="5" t="s">
        <v>216</v>
      </c>
      <c r="N230" s="45"/>
      <c r="O230" s="15"/>
    </row>
    <row r="231" spans="1:15">
      <c r="A231" s="110"/>
      <c r="C231" s="74" t="s">
        <v>216</v>
      </c>
      <c r="E231" s="114"/>
      <c r="F231" s="22"/>
      <c r="G231" s="22"/>
      <c r="H231" s="22"/>
      <c r="I231" s="22"/>
      <c r="J231" s="22"/>
      <c r="K231" s="22"/>
      <c r="L231" s="22"/>
      <c r="M231" s="22"/>
      <c r="N231" s="45"/>
      <c r="O231" s="15"/>
    </row>
    <row r="232" spans="1:15">
      <c r="A232" s="110"/>
      <c r="C232" s="74" t="s">
        <v>216</v>
      </c>
      <c r="E232" s="78"/>
      <c r="F232" s="78"/>
      <c r="G232" s="78"/>
      <c r="H232" s="78"/>
      <c r="I232" s="78"/>
      <c r="J232" s="78"/>
      <c r="K232" s="78"/>
      <c r="L232" s="78"/>
      <c r="M232" s="78"/>
      <c r="N232" s="45"/>
      <c r="O232" s="15"/>
    </row>
    <row r="233" spans="1:15">
      <c r="A233" s="110"/>
      <c r="C233" s="74" t="s">
        <v>216</v>
      </c>
      <c r="E233" s="88"/>
      <c r="F233" s="78"/>
      <c r="G233" s="78"/>
      <c r="H233" s="78"/>
      <c r="I233" s="78"/>
      <c r="J233" s="78"/>
      <c r="K233" s="78"/>
      <c r="L233" s="78"/>
      <c r="M233" s="78"/>
      <c r="N233" s="45"/>
      <c r="O233" s="15"/>
    </row>
    <row r="234" spans="1:15">
      <c r="A234" s="110"/>
      <c r="C234" s="74" t="s">
        <v>216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45"/>
      <c r="O234" s="15"/>
    </row>
    <row r="235" spans="1:15">
      <c r="E235" s="22"/>
      <c r="F235" s="22"/>
      <c r="G235" s="22"/>
      <c r="H235" s="22"/>
      <c r="I235" s="22"/>
      <c r="J235" s="22"/>
      <c r="K235" s="22"/>
      <c r="L235" s="22"/>
      <c r="M235" s="22"/>
      <c r="N235" s="45"/>
      <c r="O235" s="15"/>
    </row>
    <row r="236" spans="1:15" ht="21">
      <c r="C236" s="3" t="s">
        <v>225</v>
      </c>
      <c r="D236" s="3"/>
      <c r="E236" s="3"/>
      <c r="F236" s="3"/>
      <c r="G236" s="3"/>
      <c r="H236" s="22"/>
      <c r="I236" s="22"/>
      <c r="J236" s="22"/>
      <c r="K236" s="22"/>
      <c r="L236" s="22"/>
      <c r="M236" s="22"/>
      <c r="N236" s="45"/>
      <c r="O236" s="15"/>
    </row>
    <row r="237" spans="1:15" ht="15.75">
      <c r="C237" s="5" t="s">
        <v>31</v>
      </c>
      <c r="E237" s="97"/>
      <c r="F237" s="97"/>
      <c r="G237" s="97"/>
      <c r="N237" s="45"/>
      <c r="O237" s="15"/>
    </row>
    <row r="238" spans="1:15">
      <c r="C238" s="80" t="s">
        <v>32</v>
      </c>
      <c r="D238" s="80"/>
      <c r="E238" s="207"/>
      <c r="F238" s="97"/>
      <c r="G238" s="97"/>
      <c r="H238" s="22">
        <f t="shared" ref="H238:M238" si="70">(H260*Leverage*Debt+H215)/SQRT(1+Debt)</f>
        <v>11773.056431192326</v>
      </c>
      <c r="I238" s="22">
        <f t="shared" si="70"/>
        <v>11774.714128437372</v>
      </c>
      <c r="J238" s="22">
        <f t="shared" si="70"/>
        <v>12176.572163993627</v>
      </c>
      <c r="K238" s="22">
        <f t="shared" si="70"/>
        <v>12248.659777475163</v>
      </c>
      <c r="L238" s="22">
        <f t="shared" si="70"/>
        <v>12277.48096398137</v>
      </c>
      <c r="M238" s="22">
        <f t="shared" si="70"/>
        <v>12275.206376154485</v>
      </c>
      <c r="N238" s="45"/>
      <c r="O238" s="15"/>
    </row>
    <row r="239" spans="1:15">
      <c r="C239" s="74" t="s">
        <v>216</v>
      </c>
      <c r="E239" s="97"/>
      <c r="F239" s="97"/>
      <c r="G239" s="97"/>
      <c r="H239" s="22"/>
      <c r="I239" s="22"/>
      <c r="J239" s="22"/>
      <c r="K239" s="22"/>
      <c r="L239" s="22"/>
      <c r="M239" s="22"/>
      <c r="N239" s="45"/>
      <c r="O239" s="15"/>
    </row>
    <row r="240" spans="1:15">
      <c r="A240" s="110"/>
      <c r="C240" s="74" t="s">
        <v>216</v>
      </c>
      <c r="E240" s="97"/>
      <c r="F240" s="97"/>
      <c r="G240" s="97"/>
      <c r="H240" s="22"/>
      <c r="I240" s="22"/>
      <c r="J240" s="22"/>
      <c r="K240" s="22"/>
      <c r="L240" s="22"/>
      <c r="M240" s="22"/>
      <c r="N240" s="45"/>
      <c r="O240" s="15"/>
    </row>
    <row r="241" spans="1:15">
      <c r="E241" s="97"/>
      <c r="F241" s="97"/>
      <c r="G241" s="97"/>
      <c r="H241" s="78"/>
      <c r="I241" s="78"/>
      <c r="J241" s="78"/>
      <c r="K241" s="78"/>
      <c r="L241" s="78"/>
      <c r="M241" s="78"/>
      <c r="N241" s="45"/>
      <c r="O241" s="15"/>
    </row>
    <row r="242" spans="1:15" ht="15.75">
      <c r="C242" s="5" t="s">
        <v>73</v>
      </c>
      <c r="E242" s="97"/>
      <c r="F242" s="97"/>
      <c r="G242" s="97"/>
      <c r="H242" s="78"/>
      <c r="I242" s="78"/>
      <c r="J242" s="78"/>
      <c r="K242" s="78"/>
      <c r="L242" s="78"/>
      <c r="M242" s="78"/>
      <c r="N242" s="45"/>
      <c r="O242" s="15"/>
    </row>
    <row r="243" spans="1:15">
      <c r="C243" s="74" t="s">
        <v>109</v>
      </c>
      <c r="E243" s="97"/>
      <c r="F243" s="97"/>
      <c r="G243" s="97"/>
      <c r="H243" s="78">
        <f t="shared" ref="H243:M243" si="71">H208</f>
        <v>18081.64365978507</v>
      </c>
      <c r="I243" s="78">
        <f t="shared" si="71"/>
        <v>18844.748162789401</v>
      </c>
      <c r="J243" s="78">
        <f t="shared" si="71"/>
        <v>19815.018552188187</v>
      </c>
      <c r="K243" s="78">
        <f t="shared" si="71"/>
        <v>20522.773378657694</v>
      </c>
      <c r="L243" s="78">
        <f t="shared" si="71"/>
        <v>21209.972558139954</v>
      </c>
      <c r="M243" s="78">
        <f t="shared" si="71"/>
        <v>21886.797676430655</v>
      </c>
      <c r="N243" s="45"/>
      <c r="O243" s="15"/>
    </row>
    <row r="244" spans="1:15">
      <c r="C244" s="74" t="s">
        <v>116</v>
      </c>
      <c r="E244" s="97"/>
      <c r="F244" s="97"/>
      <c r="G244" s="97"/>
      <c r="H244" s="78">
        <f t="shared" ref="H244:M244" si="72">H93</f>
        <v>0</v>
      </c>
      <c r="I244" s="78">
        <f t="shared" si="72"/>
        <v>0</v>
      </c>
      <c r="J244" s="78">
        <f t="shared" si="72"/>
        <v>0</v>
      </c>
      <c r="K244" s="78">
        <f t="shared" si="72"/>
        <v>0</v>
      </c>
      <c r="L244" s="78">
        <f t="shared" si="72"/>
        <v>0</v>
      </c>
      <c r="M244" s="78">
        <f t="shared" si="72"/>
        <v>0</v>
      </c>
      <c r="N244" s="45"/>
      <c r="O244" s="15"/>
    </row>
    <row r="245" spans="1:15" ht="15.75" thickBot="1">
      <c r="C245" s="74" t="s">
        <v>73</v>
      </c>
      <c r="E245" s="97"/>
      <c r="F245" s="97"/>
      <c r="G245" s="97"/>
      <c r="H245" s="48">
        <f t="shared" ref="H245:M245" si="73">H243+H244</f>
        <v>18081.64365978507</v>
      </c>
      <c r="I245" s="48">
        <f t="shared" si="73"/>
        <v>18844.748162789401</v>
      </c>
      <c r="J245" s="48">
        <f t="shared" si="73"/>
        <v>19815.018552188187</v>
      </c>
      <c r="K245" s="48">
        <f t="shared" si="73"/>
        <v>20522.773378657694</v>
      </c>
      <c r="L245" s="48">
        <f t="shared" si="73"/>
        <v>21209.972558139954</v>
      </c>
      <c r="M245" s="48">
        <f t="shared" si="73"/>
        <v>21886.797676430655</v>
      </c>
      <c r="N245" s="45"/>
      <c r="O245" s="15"/>
    </row>
    <row r="246" spans="1:15" ht="15.75" thickTop="1">
      <c r="E246" s="97"/>
      <c r="F246" s="97"/>
      <c r="G246" s="97"/>
      <c r="H246" s="49"/>
      <c r="I246" s="49"/>
      <c r="J246" s="49"/>
      <c r="K246" s="49"/>
      <c r="L246" s="49"/>
      <c r="M246" s="49"/>
      <c r="N246" s="45"/>
      <c r="O246" s="15"/>
    </row>
    <row r="247" spans="1:15" ht="15.75">
      <c r="C247" s="79" t="s">
        <v>85</v>
      </c>
      <c r="E247" s="97"/>
      <c r="F247" s="97"/>
      <c r="G247" s="97"/>
      <c r="H247" s="49"/>
      <c r="I247" s="49"/>
      <c r="J247" s="49"/>
      <c r="K247" s="49"/>
      <c r="L247" s="49"/>
      <c r="M247" s="49"/>
      <c r="N247" s="45"/>
      <c r="O247" s="15"/>
    </row>
    <row r="248" spans="1:15">
      <c r="C248" s="74" t="s">
        <v>85</v>
      </c>
      <c r="E248" s="97"/>
      <c r="F248" s="97"/>
      <c r="G248" s="97"/>
      <c r="H248" s="78">
        <f t="shared" ref="H248:M248" si="74">H86</f>
        <v>0</v>
      </c>
      <c r="I248" s="78">
        <f t="shared" si="74"/>
        <v>0</v>
      </c>
      <c r="J248" s="78">
        <f t="shared" si="74"/>
        <v>0</v>
      </c>
      <c r="K248" s="78">
        <f t="shared" si="74"/>
        <v>0</v>
      </c>
      <c r="L248" s="78">
        <f t="shared" si="74"/>
        <v>0</v>
      </c>
      <c r="M248" s="78">
        <f t="shared" si="74"/>
        <v>0</v>
      </c>
      <c r="N248" s="45"/>
      <c r="O248" s="15"/>
    </row>
    <row r="249" spans="1:15">
      <c r="E249" s="97"/>
      <c r="F249" s="97"/>
      <c r="G249" s="97"/>
      <c r="H249" s="49"/>
      <c r="I249" s="49"/>
      <c r="J249" s="49"/>
      <c r="K249" s="49"/>
      <c r="L249" s="49"/>
      <c r="M249" s="49"/>
      <c r="N249" s="45"/>
      <c r="O249" s="15"/>
    </row>
    <row r="250" spans="1:15" ht="15.75">
      <c r="C250" s="5" t="s">
        <v>135</v>
      </c>
      <c r="E250" s="97"/>
      <c r="F250" s="97"/>
      <c r="G250" s="97"/>
      <c r="H250" s="78">
        <f t="shared" ref="H250:M250" si="75">H47</f>
        <v>31912.609425647923</v>
      </c>
      <c r="I250" s="78">
        <f t="shared" si="75"/>
        <v>32861.579199367348</v>
      </c>
      <c r="J250" s="78">
        <f t="shared" si="75"/>
        <v>33812.014781153383</v>
      </c>
      <c r="K250" s="78">
        <f t="shared" si="75"/>
        <v>34848.816607910398</v>
      </c>
      <c r="L250" s="78">
        <f t="shared" si="75"/>
        <v>35632.497069711142</v>
      </c>
      <c r="M250" s="78">
        <f t="shared" si="75"/>
        <v>36478.256976429977</v>
      </c>
      <c r="N250" s="45"/>
      <c r="O250" s="15"/>
    </row>
    <row r="251" spans="1:15">
      <c r="C251" s="74" t="s">
        <v>136</v>
      </c>
      <c r="E251" s="97"/>
      <c r="F251" s="97"/>
      <c r="G251" s="97"/>
      <c r="H251" s="78">
        <f>H250*H67</f>
        <v>31912.609425647923</v>
      </c>
      <c r="I251" s="78">
        <f>I250*I67</f>
        <v>34058.752511736697</v>
      </c>
      <c r="J251" s="78">
        <f>J250*J67</f>
        <v>35043.813213232817</v>
      </c>
      <c r="K251" s="78">
        <f>K250*K67</f>
        <v>36118.386550290015</v>
      </c>
      <c r="L251" s="181">
        <f>L250*L67</f>
        <v>36930.617110934196</v>
      </c>
      <c r="M251" s="78">
        <f>M250*IF(ISNUMBER(M67),M67,0)</f>
        <v>36809.663582399917</v>
      </c>
      <c r="N251" s="45"/>
      <c r="O251" s="15"/>
    </row>
    <row r="252" spans="1:15">
      <c r="E252" s="97"/>
      <c r="F252" s="97"/>
      <c r="G252" s="97"/>
      <c r="H252" s="78"/>
      <c r="I252" s="78"/>
      <c r="J252" s="78"/>
      <c r="K252" s="78"/>
      <c r="L252" s="78"/>
      <c r="M252" s="78"/>
      <c r="N252" s="45"/>
      <c r="O252" s="15"/>
    </row>
    <row r="253" spans="1:15" ht="15.75">
      <c r="A253" s="110"/>
      <c r="C253" s="5" t="s">
        <v>130</v>
      </c>
      <c r="E253" s="97"/>
      <c r="F253" s="97"/>
      <c r="G253" s="97"/>
      <c r="O253" s="15"/>
    </row>
    <row r="254" spans="1:15" ht="46.5" customHeight="1">
      <c r="A254" s="110"/>
      <c r="C254" s="125" t="s">
        <v>234</v>
      </c>
      <c r="E254" s="97"/>
      <c r="F254" s="97"/>
      <c r="G254" s="126"/>
      <c r="H254" s="127" t="str">
        <f t="shared" ref="H254:M254" si="76">H13</f>
        <v/>
      </c>
      <c r="I254" s="127" t="str">
        <f t="shared" si="76"/>
        <v>01/07/13 to 30/06/14</v>
      </c>
      <c r="J254" s="127" t="str">
        <f t="shared" si="76"/>
        <v>01/07/14 to 30/06/15</v>
      </c>
      <c r="K254" s="127" t="str">
        <f t="shared" si="76"/>
        <v>01/07/15 to 30/06/16</v>
      </c>
      <c r="L254" s="127" t="str">
        <f t="shared" si="76"/>
        <v>01/07/16 to 30/06/17</v>
      </c>
      <c r="M254" s="127" t="str">
        <f t="shared" si="76"/>
        <v>01/07/17 to 30/09/17</v>
      </c>
      <c r="O254" s="15"/>
    </row>
    <row r="255" spans="1:15">
      <c r="A255" s="110"/>
      <c r="C255" s="133" t="s">
        <v>251</v>
      </c>
      <c r="E255" s="97"/>
      <c r="F255" s="97"/>
      <c r="G255" s="126"/>
      <c r="H255" s="118"/>
      <c r="I255" s="118"/>
      <c r="J255" s="118"/>
      <c r="K255" s="118"/>
      <c r="L255" s="118"/>
      <c r="M255" s="118"/>
      <c r="O255" s="15"/>
    </row>
    <row r="256" spans="1:15">
      <c r="A256" s="110"/>
      <c r="C256" s="74" t="s">
        <v>193</v>
      </c>
      <c r="E256" s="97"/>
      <c r="F256" s="97"/>
      <c r="G256" s="126"/>
      <c r="H256" s="17">
        <f t="shared" ref="H256:M256" si="77">H50/12</f>
        <v>0</v>
      </c>
      <c r="I256" s="17">
        <f t="shared" si="77"/>
        <v>1</v>
      </c>
      <c r="J256" s="17">
        <f t="shared" si="77"/>
        <v>1</v>
      </c>
      <c r="K256" s="17">
        <f t="shared" si="77"/>
        <v>1</v>
      </c>
      <c r="L256" s="17">
        <f t="shared" si="77"/>
        <v>1</v>
      </c>
      <c r="M256" s="17">
        <f t="shared" si="77"/>
        <v>0.25</v>
      </c>
      <c r="O256" s="15"/>
    </row>
    <row r="257" spans="1:62" ht="18">
      <c r="C257" s="74" t="s">
        <v>263</v>
      </c>
      <c r="E257" s="97"/>
      <c r="F257" s="97"/>
      <c r="G257" s="126"/>
      <c r="H257" s="44">
        <f t="shared" ref="H257:M257" si="78">(1+WACC)^H256-1</f>
        <v>0</v>
      </c>
      <c r="I257" s="44">
        <f t="shared" si="78"/>
        <v>7.4400000000000022E-2</v>
      </c>
      <c r="J257" s="44">
        <f t="shared" si="78"/>
        <v>7.4400000000000022E-2</v>
      </c>
      <c r="K257" s="44">
        <f t="shared" si="78"/>
        <v>7.4400000000000022E-2</v>
      </c>
      <c r="L257" s="44">
        <f t="shared" si="78"/>
        <v>7.4400000000000022E-2</v>
      </c>
      <c r="M257" s="44">
        <f t="shared" si="78"/>
        <v>1.8102490709061669E-2</v>
      </c>
      <c r="O257" s="15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</row>
    <row r="258" spans="1:62">
      <c r="E258" s="97"/>
      <c r="F258" s="97"/>
      <c r="G258" s="97"/>
      <c r="H258" s="77"/>
      <c r="I258" s="77"/>
      <c r="J258" s="77"/>
      <c r="K258" s="77"/>
      <c r="L258" s="77"/>
      <c r="M258" s="77"/>
      <c r="O258" s="15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</row>
    <row r="259" spans="1:62" ht="15.75">
      <c r="C259" s="5" t="s">
        <v>149</v>
      </c>
      <c r="N259" s="45"/>
      <c r="O259" s="15"/>
    </row>
    <row r="260" spans="1:62">
      <c r="A260" s="110"/>
      <c r="C260" s="74" t="s">
        <v>305</v>
      </c>
      <c r="E260" s="97"/>
      <c r="F260" s="97"/>
      <c r="G260" s="97"/>
      <c r="H260" s="181">
        <f>H206+(1-H256)*(H209-H206)</f>
        <v>506497.18379402364</v>
      </c>
      <c r="I260" s="63">
        <f>I206</f>
        <v>506497.18379402364</v>
      </c>
      <c r="J260" s="63">
        <f>J206</f>
        <v>523783.37529506977</v>
      </c>
      <c r="K260" s="63">
        <f>K206</f>
        <v>526884.2720825891</v>
      </c>
      <c r="L260" s="63">
        <f>L206</f>
        <v>528124.03464835207</v>
      </c>
      <c r="M260" s="63">
        <f>M206</f>
        <v>528026.19173547591</v>
      </c>
      <c r="N260" s="45"/>
      <c r="O260" s="15"/>
    </row>
    <row r="261" spans="1:62">
      <c r="C261" s="74" t="s">
        <v>65</v>
      </c>
      <c r="E261" s="97"/>
      <c r="F261" s="97"/>
      <c r="G261" s="97"/>
      <c r="H261" s="78">
        <f t="shared" ref="H261:M261" si="79">H48*H256</f>
        <v>0</v>
      </c>
      <c r="I261" s="78">
        <f t="shared" si="79"/>
        <v>25950.952115017339</v>
      </c>
      <c r="J261" s="78">
        <f t="shared" si="79"/>
        <v>11326.972118574446</v>
      </c>
      <c r="K261" s="78">
        <f t="shared" si="79"/>
        <v>10669.298823753605</v>
      </c>
      <c r="L261" s="78">
        <f t="shared" si="79"/>
        <v>10558.46804828866</v>
      </c>
      <c r="M261" s="78">
        <f t="shared" si="79"/>
        <v>2691.4838474449698</v>
      </c>
      <c r="N261" s="45"/>
      <c r="O261" s="15"/>
    </row>
    <row r="262" spans="1:62">
      <c r="C262" s="74" t="s">
        <v>76</v>
      </c>
      <c r="E262" s="97"/>
      <c r="F262" s="97"/>
      <c r="G262" s="97"/>
      <c r="H262" s="47">
        <f t="shared" ref="H262:M262" si="80">H215*H256</f>
        <v>0</v>
      </c>
      <c r="I262" s="47">
        <f t="shared" si="80"/>
        <v>97.503337461803611</v>
      </c>
      <c r="J262" s="47">
        <f t="shared" si="80"/>
        <v>100.83101907047626</v>
      </c>
      <c r="K262" s="47">
        <f t="shared" si="80"/>
        <v>101.42795780099972</v>
      </c>
      <c r="L262" s="47">
        <f t="shared" si="80"/>
        <v>101.66661853138449</v>
      </c>
      <c r="M262" s="47">
        <f t="shared" si="80"/>
        <v>25.411945815671189</v>
      </c>
      <c r="N262" s="45"/>
      <c r="O262" s="15"/>
    </row>
    <row r="263" spans="1:62">
      <c r="C263" s="74" t="s">
        <v>27</v>
      </c>
      <c r="E263" s="97"/>
      <c r="F263" s="97"/>
      <c r="G263" s="97"/>
      <c r="H263" s="47">
        <f t="shared" ref="H263:M263" si="81">H207*H256</f>
        <v>0</v>
      </c>
      <c r="I263" s="47">
        <f t="shared" si="81"/>
        <v>10179.987548818153</v>
      </c>
      <c r="J263" s="47">
        <f t="shared" si="81"/>
        <v>11588.943221133044</v>
      </c>
      <c r="K263" s="47">
        <f t="shared" si="81"/>
        <v>11093.23712066708</v>
      </c>
      <c r="L263" s="47">
        <f t="shared" si="81"/>
        <v>10553.661596975184</v>
      </c>
      <c r="M263" s="47">
        <f t="shared" si="81"/>
        <v>2637.977922123911</v>
      </c>
      <c r="N263" s="45"/>
      <c r="O263" s="15"/>
    </row>
    <row r="264" spans="1:62" ht="15.75" thickBot="1">
      <c r="C264" s="74" t="s">
        <v>149</v>
      </c>
      <c r="E264" s="97"/>
      <c r="F264" s="97"/>
      <c r="G264" s="97"/>
      <c r="H264" s="28">
        <f t="shared" ref="H264:M264" si="82">H260*H257+H261*(H67-1)+H262-H263</f>
        <v>0</v>
      </c>
      <c r="I264" s="28">
        <f t="shared" si="82"/>
        <v>28546.319966691113</v>
      </c>
      <c r="J264" s="28">
        <f t="shared" si="82"/>
        <v>27894.021469885207</v>
      </c>
      <c r="K264" s="28">
        <f t="shared" si="82"/>
        <v>28597.071671950842</v>
      </c>
      <c r="L264" s="28">
        <f t="shared" si="82"/>
        <v>29225.086538486914</v>
      </c>
      <c r="M264" s="28">
        <f t="shared" si="82"/>
        <v>6970.475505581775</v>
      </c>
      <c r="N264" s="45"/>
      <c r="O264" s="15"/>
    </row>
    <row r="265" spans="1:62" ht="15.75" thickTop="1"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15"/>
      <c r="AY265" s="92"/>
      <c r="AZ265" s="92"/>
      <c r="BA265" s="92"/>
    </row>
    <row r="266" spans="1:62">
      <c r="A266" s="110"/>
      <c r="C266" s="40" t="s">
        <v>246</v>
      </c>
      <c r="D266" s="40"/>
      <c r="E266" s="40"/>
      <c r="F266" s="40"/>
      <c r="G266" s="40"/>
      <c r="H266" s="134"/>
      <c r="I266" s="134"/>
      <c r="J266" s="134"/>
      <c r="K266" s="134"/>
      <c r="L266" s="134"/>
      <c r="M266" s="134"/>
      <c r="O266" s="15"/>
    </row>
    <row r="267" spans="1:62">
      <c r="A267" s="110"/>
      <c r="C267" s="74" t="s">
        <v>73</v>
      </c>
      <c r="H267" s="78">
        <f t="shared" ref="H267:L267" si="83">H256*H245</f>
        <v>0</v>
      </c>
      <c r="I267" s="78">
        <f t="shared" si="83"/>
        <v>18844.748162789401</v>
      </c>
      <c r="J267" s="78">
        <f t="shared" si="83"/>
        <v>19815.018552188187</v>
      </c>
      <c r="K267" s="78">
        <f t="shared" si="83"/>
        <v>20522.773378657694</v>
      </c>
      <c r="L267" s="78">
        <f t="shared" si="83"/>
        <v>21209.972558139954</v>
      </c>
      <c r="M267" s="78">
        <f>M256*M245</f>
        <v>5471.6994191076637</v>
      </c>
      <c r="O267" s="15"/>
    </row>
    <row r="268" spans="1:62">
      <c r="A268" s="110"/>
      <c r="C268" s="74" t="s">
        <v>135</v>
      </c>
      <c r="H268" s="78">
        <f t="shared" ref="H268:L268" si="84">H256*H250</f>
        <v>0</v>
      </c>
      <c r="I268" s="78">
        <f t="shared" si="84"/>
        <v>32861.579199367348</v>
      </c>
      <c r="J268" s="78">
        <f t="shared" si="84"/>
        <v>33812.014781153383</v>
      </c>
      <c r="K268" s="78">
        <f t="shared" si="84"/>
        <v>34848.816607910398</v>
      </c>
      <c r="L268" s="78">
        <f t="shared" si="84"/>
        <v>35632.497069711142</v>
      </c>
      <c r="M268" s="78">
        <f>M256*M250</f>
        <v>9119.5642441074942</v>
      </c>
      <c r="O268" s="15"/>
    </row>
    <row r="269" spans="1:62">
      <c r="A269" s="110"/>
      <c r="C269" s="74" t="s">
        <v>136</v>
      </c>
      <c r="H269" s="78">
        <f t="shared" ref="H269:L269" si="85">H256*H251</f>
        <v>0</v>
      </c>
      <c r="I269" s="78">
        <f t="shared" si="85"/>
        <v>34058.752511736697</v>
      </c>
      <c r="J269" s="78">
        <f t="shared" si="85"/>
        <v>35043.813213232817</v>
      </c>
      <c r="K269" s="78">
        <f t="shared" si="85"/>
        <v>36118.386550290015</v>
      </c>
      <c r="L269" s="78">
        <f t="shared" si="85"/>
        <v>36930.617110934196</v>
      </c>
      <c r="M269" s="78">
        <f>M256*M251</f>
        <v>9202.4158955999792</v>
      </c>
      <c r="O269" s="15"/>
    </row>
    <row r="270" spans="1:62">
      <c r="A270" s="110"/>
      <c r="C270" s="74" t="s">
        <v>85</v>
      </c>
      <c r="H270" s="78">
        <f t="shared" ref="H270:L270" si="86">H256*H248</f>
        <v>0</v>
      </c>
      <c r="I270" s="78">
        <f t="shared" si="86"/>
        <v>0</v>
      </c>
      <c r="J270" s="78">
        <f t="shared" si="86"/>
        <v>0</v>
      </c>
      <c r="K270" s="78">
        <f t="shared" si="86"/>
        <v>0</v>
      </c>
      <c r="L270" s="78">
        <f t="shared" si="86"/>
        <v>0</v>
      </c>
      <c r="M270" s="78">
        <f>M256*M248</f>
        <v>0</v>
      </c>
      <c r="O270" s="15"/>
    </row>
    <row r="271" spans="1:62">
      <c r="A271" s="110"/>
      <c r="C271" s="74" t="s">
        <v>216</v>
      </c>
      <c r="H271" s="22"/>
      <c r="I271" s="22"/>
      <c r="J271" s="22"/>
      <c r="K271" s="22"/>
      <c r="L271" s="22"/>
      <c r="M271" s="22"/>
      <c r="O271" s="15"/>
    </row>
    <row r="272" spans="1:62">
      <c r="A272" s="110"/>
      <c r="C272" s="74" t="s">
        <v>17</v>
      </c>
      <c r="H272" s="78">
        <f t="shared" ref="H272:M272" si="87">H256*H220</f>
        <v>0</v>
      </c>
      <c r="I272" s="78">
        <f t="shared" si="87"/>
        <v>13252.153693757104</v>
      </c>
      <c r="J272" s="78">
        <f t="shared" si="87"/>
        <v>14775.181180965497</v>
      </c>
      <c r="K272" s="78">
        <f t="shared" si="87"/>
        <v>14361.621014920946</v>
      </c>
      <c r="L272" s="78">
        <f t="shared" si="87"/>
        <v>13918.783196552038</v>
      </c>
      <c r="M272" s="78">
        <f t="shared" si="87"/>
        <v>3378.9411417540559</v>
      </c>
      <c r="O272" s="15"/>
    </row>
    <row r="273" spans="1:16">
      <c r="A273" s="110"/>
      <c r="C273" s="74" t="s">
        <v>245</v>
      </c>
      <c r="H273" s="73">
        <f>H256*H238</f>
        <v>0</v>
      </c>
      <c r="I273" s="73">
        <f t="shared" ref="I273:M273" si="88">I256*I238</f>
        <v>11774.714128437372</v>
      </c>
      <c r="J273" s="73">
        <f t="shared" si="88"/>
        <v>12176.572163993627</v>
      </c>
      <c r="K273" s="73">
        <f t="shared" si="88"/>
        <v>12248.659777475163</v>
      </c>
      <c r="L273" s="73">
        <f t="shared" si="88"/>
        <v>12277.48096398137</v>
      </c>
      <c r="M273" s="73">
        <f t="shared" si="88"/>
        <v>3068.8015940386213</v>
      </c>
      <c r="O273" s="15"/>
    </row>
    <row r="274" spans="1:16">
      <c r="A274" s="110"/>
      <c r="C274" s="80" t="s">
        <v>125</v>
      </c>
      <c r="H274" s="22">
        <f t="shared" ref="H274:M274" si="89">(H264+H267+H269+(H270-H268-H272-H273)*H90*H67-H270*H67)/(H68-H90*H67)</f>
        <v>0</v>
      </c>
      <c r="I274" s="22">
        <f t="shared" si="89"/>
        <v>87445.378682415729</v>
      </c>
      <c r="J274" s="22">
        <f t="shared" si="89"/>
        <v>88079.2171200952</v>
      </c>
      <c r="K274" s="22">
        <f t="shared" si="89"/>
        <v>91167.971431135273</v>
      </c>
      <c r="L274" s="22">
        <f t="shared" si="89"/>
        <v>93900.420418484893</v>
      </c>
      <c r="M274" s="22">
        <f t="shared" si="89"/>
        <v>23972.149153440136</v>
      </c>
      <c r="O274" s="15"/>
      <c r="P274" s="128"/>
    </row>
    <row r="275" spans="1:16">
      <c r="A275" s="110"/>
      <c r="C275" s="74" t="s">
        <v>133</v>
      </c>
      <c r="E275" s="97"/>
      <c r="F275" s="97"/>
      <c r="G275" s="97"/>
      <c r="H275" s="22">
        <f t="shared" ref="H275:M275" si="90">(H274+(H270-H268-H272-H273))*H90</f>
        <v>0</v>
      </c>
      <c r="I275" s="22">
        <f t="shared" si="90"/>
        <v>8275.9408650390924</v>
      </c>
      <c r="J275" s="138">
        <f t="shared" si="90"/>
        <v>7648.3257183151536</v>
      </c>
      <c r="K275" s="138">
        <f t="shared" si="90"/>
        <v>8318.4847286320564</v>
      </c>
      <c r="L275" s="22">
        <f t="shared" si="90"/>
        <v>8980.064572707297</v>
      </c>
      <c r="M275" s="22">
        <f t="shared" si="90"/>
        <v>2353.35580859119</v>
      </c>
      <c r="O275" s="15"/>
      <c r="P275" s="128"/>
    </row>
    <row r="276" spans="1:16">
      <c r="A276" s="110"/>
      <c r="C276" s="74" t="s">
        <v>118</v>
      </c>
      <c r="E276" s="97"/>
      <c r="F276" s="97"/>
      <c r="G276" s="97"/>
      <c r="H276" s="22">
        <f t="shared" ref="H276:M276" si="91">IF(H275&lt;0,#N/A,H275)</f>
        <v>0</v>
      </c>
      <c r="I276" s="22">
        <f t="shared" si="91"/>
        <v>8275.9408650390924</v>
      </c>
      <c r="J276" s="22">
        <f t="shared" si="91"/>
        <v>7648.3257183151536</v>
      </c>
      <c r="K276" s="22">
        <f t="shared" si="91"/>
        <v>8318.4847286320564</v>
      </c>
      <c r="L276" s="22">
        <f t="shared" si="91"/>
        <v>8980.064572707297</v>
      </c>
      <c r="M276" s="22">
        <f t="shared" si="91"/>
        <v>2353.35580859119</v>
      </c>
      <c r="O276" s="15"/>
      <c r="P276" s="128"/>
    </row>
    <row r="277" spans="1:16">
      <c r="A277" s="110"/>
      <c r="C277" s="74" t="s">
        <v>126</v>
      </c>
      <c r="E277" s="97"/>
      <c r="F277" s="97"/>
      <c r="G277" s="97"/>
      <c r="H277" s="22">
        <f t="shared" ref="H277:M277" si="92">H264+H267+H269+H276*H67-H270*H67</f>
        <v>0</v>
      </c>
      <c r="I277" s="22">
        <f t="shared" si="92"/>
        <v>90027.260575374748</v>
      </c>
      <c r="J277" s="22">
        <f t="shared" si="92"/>
        <v>90679.813506718303</v>
      </c>
      <c r="K277" s="22">
        <f t="shared" si="92"/>
        <v>93859.765305237233</v>
      </c>
      <c r="L277" s="22">
        <f t="shared" si="92"/>
        <v>96672.89163277534</v>
      </c>
      <c r="M277" s="22">
        <f t="shared" si="92"/>
        <v>24019.326972290899</v>
      </c>
      <c r="O277" s="15"/>
      <c r="P277" s="128"/>
    </row>
    <row r="278" spans="1:16">
      <c r="A278" s="110"/>
      <c r="C278" s="74" t="s">
        <v>127</v>
      </c>
      <c r="E278" s="97"/>
      <c r="F278" s="97"/>
      <c r="G278" s="97"/>
      <c r="H278" s="22">
        <f t="shared" ref="H278:M278" si="93">H277/H68</f>
        <v>0</v>
      </c>
      <c r="I278" s="22">
        <f t="shared" si="93"/>
        <v>87445.378682415729</v>
      </c>
      <c r="J278" s="22">
        <f t="shared" si="93"/>
        <v>88079.2171200952</v>
      </c>
      <c r="K278" s="22">
        <f t="shared" si="93"/>
        <v>91167.971431135273</v>
      </c>
      <c r="L278" s="22">
        <f t="shared" si="93"/>
        <v>93900.420418484893</v>
      </c>
      <c r="M278" s="22">
        <f t="shared" si="93"/>
        <v>23972.149153440132</v>
      </c>
      <c r="O278" s="15"/>
      <c r="P278" s="128"/>
    </row>
    <row r="279" spans="1:16">
      <c r="A279" s="110"/>
      <c r="C279" s="74" t="s">
        <v>128</v>
      </c>
      <c r="E279" s="97"/>
      <c r="F279" s="97"/>
      <c r="G279" s="97"/>
      <c r="H279" s="69">
        <f t="shared" ref="H279:M279" si="94">H274-H278</f>
        <v>0</v>
      </c>
      <c r="I279" s="69">
        <f t="shared" si="94"/>
        <v>0</v>
      </c>
      <c r="J279" s="69">
        <f t="shared" si="94"/>
        <v>0</v>
      </c>
      <c r="K279" s="69">
        <f t="shared" si="94"/>
        <v>0</v>
      </c>
      <c r="L279" s="69">
        <f t="shared" si="94"/>
        <v>0</v>
      </c>
      <c r="M279" s="69">
        <f t="shared" si="94"/>
        <v>0</v>
      </c>
      <c r="O279" s="15"/>
      <c r="P279" s="128"/>
    </row>
    <row r="280" spans="1:16">
      <c r="E280" s="97"/>
      <c r="F280" s="97"/>
      <c r="G280" s="97"/>
      <c r="H280" s="22"/>
      <c r="I280" s="22"/>
      <c r="J280" s="22"/>
      <c r="K280" s="22"/>
      <c r="L280" s="22"/>
      <c r="M280" s="22"/>
      <c r="N280" s="97"/>
      <c r="O280" s="15"/>
      <c r="P280" s="128"/>
    </row>
    <row r="281" spans="1:16">
      <c r="E281" s="97"/>
      <c r="F281" s="97"/>
      <c r="G281" s="97"/>
      <c r="O281" s="15"/>
    </row>
    <row r="282" spans="1:16" ht="15.75">
      <c r="C282" s="113" t="s">
        <v>129</v>
      </c>
      <c r="E282" s="97"/>
      <c r="F282" s="97"/>
      <c r="G282" s="97"/>
      <c r="H282" s="83"/>
      <c r="I282" s="22"/>
      <c r="N282" s="45"/>
      <c r="O282" s="15"/>
    </row>
    <row r="283" spans="1:16">
      <c r="C283" s="74" t="s">
        <v>206</v>
      </c>
      <c r="D283" s="80"/>
      <c r="E283" s="97"/>
      <c r="F283" s="97"/>
      <c r="G283" s="97"/>
      <c r="H283" s="115">
        <f>I283-1</f>
        <v>0</v>
      </c>
      <c r="I283" s="183">
        <f>IF($G$1 = 4,1.5,1)</f>
        <v>1</v>
      </c>
      <c r="J283" s="65">
        <f>I283+J256</f>
        <v>2</v>
      </c>
      <c r="K283" s="65">
        <f>J283+K256</f>
        <v>3</v>
      </c>
      <c r="L283" s="65">
        <f>K283+L256</f>
        <v>4</v>
      </c>
      <c r="M283" s="65">
        <f>L283+M256</f>
        <v>4.25</v>
      </c>
      <c r="N283" s="45"/>
      <c r="O283" s="15"/>
    </row>
    <row r="284" spans="1:16">
      <c r="C284" s="74" t="s">
        <v>94</v>
      </c>
      <c r="D284" s="80"/>
      <c r="E284" s="97"/>
      <c r="F284" s="97"/>
      <c r="G284" s="97"/>
      <c r="H284" s="46">
        <f>H277</f>
        <v>0</v>
      </c>
      <c r="I284" s="46">
        <f t="shared" ref="I284:M284" si="95">I277</f>
        <v>90027.260575374748</v>
      </c>
      <c r="J284" s="46">
        <f t="shared" si="95"/>
        <v>90679.813506718303</v>
      </c>
      <c r="K284" s="46">
        <f t="shared" si="95"/>
        <v>93859.765305237233</v>
      </c>
      <c r="L284" s="46">
        <f t="shared" si="95"/>
        <v>96672.89163277534</v>
      </c>
      <c r="M284" s="46">
        <f t="shared" si="95"/>
        <v>24019.326972290899</v>
      </c>
      <c r="N284" s="45"/>
      <c r="O284" s="15"/>
    </row>
    <row r="285" spans="1:16">
      <c r="C285" s="74" t="s">
        <v>95</v>
      </c>
      <c r="D285" s="80"/>
      <c r="E285" s="80"/>
      <c r="F285" s="46"/>
      <c r="G285" s="46"/>
      <c r="H285" s="46">
        <f t="shared" ref="H285:M285" si="96">H284/(1+WACC)^H$283</f>
        <v>0</v>
      </c>
      <c r="I285" s="46">
        <f t="shared" si="96"/>
        <v>83793.057125255727</v>
      </c>
      <c r="J285" s="46">
        <f t="shared" si="96"/>
        <v>78555.865694626467</v>
      </c>
      <c r="K285" s="46">
        <f t="shared" si="96"/>
        <v>75680.059519463044</v>
      </c>
      <c r="L285" s="46">
        <f t="shared" si="96"/>
        <v>72550.550235972682</v>
      </c>
      <c r="M285" s="46">
        <f t="shared" si="96"/>
        <v>17705.383401667794</v>
      </c>
      <c r="N285" s="45"/>
      <c r="O285" s="15"/>
    </row>
    <row r="286" spans="1:16">
      <c r="C286" s="74" t="s">
        <v>68</v>
      </c>
      <c r="D286" s="46">
        <f>SUM(H285:M285)</f>
        <v>328284.91597698571</v>
      </c>
      <c r="E286" s="80"/>
      <c r="F286" s="46"/>
      <c r="G286" s="46"/>
      <c r="H286" s="46"/>
      <c r="I286" s="46"/>
      <c r="J286" s="46"/>
      <c r="K286" s="46"/>
      <c r="L286" s="46"/>
      <c r="M286" s="46"/>
      <c r="N286" s="45"/>
      <c r="O286" s="15"/>
    </row>
    <row r="287" spans="1:16" ht="21">
      <c r="D287" s="46"/>
      <c r="E287" s="123" t="str">
        <f>"All information above this line is in " &amp; E38 &amp; " year-ends."</f>
        <v>All information above this line is in June  year-ends.</v>
      </c>
      <c r="G287" s="46"/>
      <c r="H287" s="46"/>
      <c r="I287" s="46"/>
      <c r="J287" s="46"/>
      <c r="K287" s="46"/>
      <c r="L287" s="46"/>
      <c r="M287" s="46"/>
      <c r="N287" s="45"/>
      <c r="O287" s="15"/>
    </row>
    <row r="288" spans="1:16" ht="3" customHeight="1">
      <c r="A288" s="120"/>
      <c r="B288" s="120"/>
      <c r="C288" s="120"/>
      <c r="D288" s="121"/>
      <c r="E288" s="124"/>
      <c r="F288" s="120"/>
      <c r="G288" s="121"/>
      <c r="H288" s="121"/>
      <c r="I288" s="121"/>
      <c r="J288" s="121"/>
      <c r="K288" s="121"/>
      <c r="L288" s="121"/>
      <c r="M288" s="121"/>
      <c r="N288" s="122"/>
      <c r="O288" s="15"/>
    </row>
    <row r="289" spans="1:15" ht="21">
      <c r="D289" s="46"/>
      <c r="E289" s="123" t="str">
        <f>"All information below this line is in " &amp; E39 &amp; " year-ends."</f>
        <v>All information below this line is in September  year-ends.</v>
      </c>
      <c r="G289" s="46"/>
      <c r="H289" s="46"/>
      <c r="I289" s="46"/>
      <c r="J289" s="46"/>
      <c r="K289" s="46"/>
      <c r="L289" s="46"/>
      <c r="M289" s="46"/>
      <c r="N289" s="45"/>
      <c r="O289" s="15"/>
    </row>
    <row r="290" spans="1:15" ht="48.75" customHeight="1">
      <c r="C290" s="125" t="s">
        <v>235</v>
      </c>
      <c r="D290" s="46"/>
      <c r="E290" s="123"/>
      <c r="G290" s="46"/>
      <c r="H290" s="118" t="str">
        <f t="shared" ref="H290:M290" si="97">H14</f>
        <v>01/07/13 to 30/09/13</v>
      </c>
      <c r="I290" s="118" t="str">
        <f t="shared" si="97"/>
        <v>01/10/13 to 30/09/14</v>
      </c>
      <c r="J290" s="118" t="str">
        <f t="shared" si="97"/>
        <v>01/10/14 to 30/09/15</v>
      </c>
      <c r="K290" s="118" t="str">
        <f t="shared" si="97"/>
        <v>01/10/15 to 30/09/16</v>
      </c>
      <c r="L290" s="118" t="str">
        <f t="shared" si="97"/>
        <v>01/10/16 to 30/09/17</v>
      </c>
      <c r="M290" s="118" t="str">
        <f t="shared" si="97"/>
        <v/>
      </c>
      <c r="N290" s="45"/>
    </row>
    <row r="291" spans="1:15">
      <c r="D291" s="80"/>
      <c r="F291" s="54"/>
      <c r="N291" s="45"/>
    </row>
    <row r="292" spans="1:15" ht="21">
      <c r="C292" s="3" t="s">
        <v>70</v>
      </c>
      <c r="D292" s="80"/>
      <c r="F292" s="54"/>
      <c r="N292" s="45"/>
    </row>
    <row r="293" spans="1:15">
      <c r="D293" s="80"/>
      <c r="E293" s="10" t="str">
        <f t="shared" ref="E293:M293" si="98">E$21</f>
        <v>2009/10</v>
      </c>
      <c r="F293" s="10" t="str">
        <f t="shared" si="98"/>
        <v>2010/11</v>
      </c>
      <c r="G293" s="10" t="str">
        <f t="shared" si="98"/>
        <v>2011/12</v>
      </c>
      <c r="H293" s="10" t="str">
        <f t="shared" si="98"/>
        <v>2012/13</v>
      </c>
      <c r="I293" s="10" t="str">
        <f t="shared" si="98"/>
        <v>2013/14</v>
      </c>
      <c r="J293" s="10" t="str">
        <f t="shared" si="98"/>
        <v>2014/15</v>
      </c>
      <c r="K293" s="10" t="str">
        <f t="shared" si="98"/>
        <v>2015/16</v>
      </c>
      <c r="L293" s="10" t="str">
        <f t="shared" si="98"/>
        <v>2016/17</v>
      </c>
      <c r="M293" s="10" t="str">
        <f t="shared" si="98"/>
        <v>2017/18</v>
      </c>
      <c r="N293" s="45"/>
    </row>
    <row r="294" spans="1:15">
      <c r="C294" s="74" t="s">
        <v>264</v>
      </c>
      <c r="D294" s="29">
        <f>E41</f>
        <v>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45"/>
    </row>
    <row r="295" spans="1:15">
      <c r="C295" s="74" t="s">
        <v>35</v>
      </c>
      <c r="D295" s="29">
        <f>D286+D294</f>
        <v>328284.91597698571</v>
      </c>
      <c r="F295" s="55"/>
      <c r="G295" s="78"/>
      <c r="H295" s="78"/>
      <c r="I295" s="78"/>
      <c r="J295" s="78"/>
      <c r="K295" s="78"/>
      <c r="L295" s="78"/>
      <c r="M295" s="78"/>
      <c r="N295" s="45"/>
    </row>
    <row r="296" spans="1:15">
      <c r="C296" s="74" t="s">
        <v>203</v>
      </c>
      <c r="D296" s="29"/>
      <c r="F296" s="55"/>
      <c r="G296" s="78"/>
      <c r="H296" s="64">
        <f t="shared" ref="H296:M296" si="99">H51/12</f>
        <v>0.25</v>
      </c>
      <c r="I296" s="64">
        <f t="shared" si="99"/>
        <v>1</v>
      </c>
      <c r="J296" s="64">
        <f t="shared" si="99"/>
        <v>1</v>
      </c>
      <c r="K296" s="64">
        <f t="shared" si="99"/>
        <v>1</v>
      </c>
      <c r="L296" s="64">
        <f t="shared" si="99"/>
        <v>1</v>
      </c>
      <c r="M296" s="64">
        <f t="shared" si="99"/>
        <v>0</v>
      </c>
      <c r="N296" s="45"/>
    </row>
    <row r="297" spans="1:15">
      <c r="C297" s="74" t="s">
        <v>207</v>
      </c>
      <c r="D297" s="29"/>
      <c r="F297" s="55"/>
      <c r="G297" s="78"/>
      <c r="H297" s="116">
        <f>I297-1</f>
        <v>0.25</v>
      </c>
      <c r="I297" s="183">
        <f>IF($G$1 = 4,1,1.25)</f>
        <v>1.25</v>
      </c>
      <c r="J297" s="64">
        <f>I297+J296</f>
        <v>2.25</v>
      </c>
      <c r="K297" s="64">
        <f>J297+K296</f>
        <v>3.25</v>
      </c>
      <c r="L297" s="64">
        <f>K297+L296</f>
        <v>4.25</v>
      </c>
      <c r="M297" s="64">
        <f>L297+M296</f>
        <v>4.25</v>
      </c>
      <c r="N297" s="45"/>
    </row>
    <row r="298" spans="1:15">
      <c r="A298" s="110"/>
      <c r="C298" s="74" t="s">
        <v>102</v>
      </c>
      <c r="D298" s="80"/>
      <c r="F298" s="31"/>
      <c r="G298" s="31"/>
      <c r="H298" s="100">
        <f>H296*I298/((1+I$78)*(1-X_industry_wide))</f>
        <v>0.24665178571428573</v>
      </c>
      <c r="I298" s="184">
        <v>1</v>
      </c>
      <c r="J298" s="100">
        <f>J296*I298*(1+J$78)*(1-X_industry_wide)</f>
        <v>1.0191196154782185</v>
      </c>
      <c r="K298" s="31">
        <f>K296*J298*(1+K$78)*(1-X_industry_wide)</f>
        <v>1.0412143349673768</v>
      </c>
      <c r="L298" s="100">
        <f>L296*K298*(1+L$78)*(1-X_industry_wide)</f>
        <v>1.0642718508649958</v>
      </c>
      <c r="M298" s="100">
        <f>M296*L298*(1+M$78)*(1-X_industry_wide)</f>
        <v>0</v>
      </c>
      <c r="N298" s="70"/>
      <c r="O298" s="74" t="s">
        <v>422</v>
      </c>
    </row>
    <row r="299" spans="1:15">
      <c r="C299" s="74" t="s">
        <v>69</v>
      </c>
      <c r="D299" s="80"/>
      <c r="F299" s="57"/>
      <c r="G299" s="31"/>
      <c r="H299" s="31">
        <f t="shared" ref="H299:M299" si="100">H298/(1+WACC)^H$297</f>
        <v>0.24226616471835177</v>
      </c>
      <c r="I299" s="31">
        <f t="shared" si="100"/>
        <v>0.91420270174005624</v>
      </c>
      <c r="J299" s="31">
        <f t="shared" si="100"/>
        <v>0.86716484164787289</v>
      </c>
      <c r="K299" s="31">
        <f t="shared" si="100"/>
        <v>0.82461387834264377</v>
      </c>
      <c r="L299" s="31">
        <f t="shared" si="100"/>
        <v>0.78450745871877903</v>
      </c>
      <c r="M299" s="31">
        <f t="shared" si="100"/>
        <v>0</v>
      </c>
      <c r="N299" s="45"/>
      <c r="O299" s="74" t="s">
        <v>120</v>
      </c>
    </row>
    <row r="300" spans="1:15">
      <c r="C300" s="74" t="s">
        <v>57</v>
      </c>
      <c r="D300" s="65">
        <f>SUM(H299:M299)</f>
        <v>3.6327550451677038</v>
      </c>
      <c r="F300" s="57"/>
      <c r="G300" s="31"/>
      <c r="H300" s="31"/>
      <c r="I300" s="31"/>
      <c r="J300" s="31"/>
      <c r="K300" s="31"/>
      <c r="L300" s="31"/>
      <c r="M300" s="31"/>
      <c r="N300" s="45"/>
      <c r="O300" s="74" t="s">
        <v>121</v>
      </c>
    </row>
    <row r="301" spans="1:15">
      <c r="C301" s="74" t="s">
        <v>101</v>
      </c>
      <c r="D301" s="29">
        <f>D295/D300</f>
        <v>90368.029744716972</v>
      </c>
      <c r="F301" s="57"/>
      <c r="G301" s="31"/>
      <c r="H301" s="22"/>
      <c r="I301" s="22"/>
      <c r="J301" s="22"/>
      <c r="K301" s="22"/>
      <c r="L301" s="22"/>
      <c r="M301" s="22"/>
      <c r="N301" s="45"/>
    </row>
    <row r="302" spans="1:15">
      <c r="C302" s="74" t="s">
        <v>97</v>
      </c>
      <c r="D302" s="29"/>
      <c r="F302" s="57"/>
      <c r="G302" s="31"/>
      <c r="H302" s="22">
        <f t="shared" ref="H302:M302" si="101">$D301*H298</f>
        <v>22289.43590801613</v>
      </c>
      <c r="I302" s="22">
        <f t="shared" si="101"/>
        <v>90368.029744716972</v>
      </c>
      <c r="J302" s="22">
        <f t="shared" si="101"/>
        <v>92095.831724960168</v>
      </c>
      <c r="K302" s="22">
        <f t="shared" si="101"/>
        <v>94092.487992957613</v>
      </c>
      <c r="L302" s="22">
        <f t="shared" si="101"/>
        <v>96176.150275432927</v>
      </c>
      <c r="M302" s="22">
        <f t="shared" si="101"/>
        <v>0</v>
      </c>
      <c r="N302" s="45"/>
      <c r="O302" s="74" t="s">
        <v>90</v>
      </c>
    </row>
    <row r="303" spans="1:15">
      <c r="C303" s="74" t="s">
        <v>98</v>
      </c>
      <c r="D303" s="29"/>
      <c r="F303" s="57"/>
      <c r="G303" s="31"/>
      <c r="H303" s="56">
        <f t="shared" ref="H303:M303" si="102">H302/H72</f>
        <v>22245.655873264644</v>
      </c>
      <c r="I303" s="56">
        <f t="shared" si="102"/>
        <v>87776.374970273158</v>
      </c>
      <c r="J303" s="56">
        <f t="shared" si="102"/>
        <v>89454.625507776698</v>
      </c>
      <c r="K303" s="56">
        <f t="shared" si="102"/>
        <v>91394.019890520081</v>
      </c>
      <c r="L303" s="143">
        <f t="shared" si="102"/>
        <v>93417.925051832513</v>
      </c>
      <c r="M303" s="143">
        <f t="shared" si="102"/>
        <v>0</v>
      </c>
      <c r="N303" s="45"/>
      <c r="O303" s="74" t="s">
        <v>92</v>
      </c>
    </row>
    <row r="304" spans="1:15">
      <c r="C304" s="74" t="s">
        <v>99</v>
      </c>
      <c r="D304" s="80"/>
      <c r="F304" s="57"/>
      <c r="G304" s="31"/>
      <c r="H304" s="22">
        <f t="shared" ref="H304:M304" si="103">H302/(1+WACC)^H$297</f>
        <v>21893.115979406513</v>
      </c>
      <c r="I304" s="22">
        <f t="shared" si="103"/>
        <v>82614.69694354602</v>
      </c>
      <c r="J304" s="22">
        <f t="shared" si="103"/>
        <v>78363.978203607752</v>
      </c>
      <c r="K304" s="22">
        <f t="shared" si="103"/>
        <v>74518.731485974451</v>
      </c>
      <c r="L304" s="22">
        <f t="shared" si="103"/>
        <v>70894.393364450953</v>
      </c>
      <c r="M304" s="22">
        <f t="shared" si="103"/>
        <v>0</v>
      </c>
      <c r="N304" s="45"/>
      <c r="O304" s="74" t="s">
        <v>137</v>
      </c>
    </row>
    <row r="305" spans="3:15">
      <c r="C305" s="74" t="s">
        <v>100</v>
      </c>
      <c r="D305" s="29">
        <f>SUM(H304:M304)</f>
        <v>328284.91597698571</v>
      </c>
      <c r="F305" s="57"/>
      <c r="G305" s="31"/>
      <c r="H305" s="22"/>
      <c r="I305" s="22"/>
      <c r="J305" s="22"/>
      <c r="K305" s="22"/>
      <c r="L305" s="22"/>
      <c r="M305" s="22"/>
      <c r="N305" s="45"/>
      <c r="O305" s="74" t="s">
        <v>93</v>
      </c>
    </row>
    <row r="306" spans="3:15">
      <c r="C306" s="74" t="s">
        <v>91</v>
      </c>
      <c r="D306" s="68">
        <f>D295-D305</f>
        <v>0</v>
      </c>
      <c r="E306" s="56"/>
      <c r="F306" s="57"/>
      <c r="G306" s="31"/>
      <c r="H306" s="22"/>
      <c r="I306" s="22"/>
      <c r="J306" s="22"/>
      <c r="K306" s="22"/>
      <c r="L306" s="22"/>
      <c r="M306" s="22"/>
      <c r="N306" s="45"/>
    </row>
    <row r="307" spans="3:15">
      <c r="C307" s="74" t="s">
        <v>151</v>
      </c>
      <c r="F307" s="57"/>
      <c r="G307" s="31"/>
      <c r="H307" s="22"/>
      <c r="I307" s="22"/>
      <c r="J307" s="22"/>
      <c r="K307" s="22"/>
      <c r="L307" s="22"/>
      <c r="M307" s="22"/>
      <c r="N307" s="45"/>
    </row>
    <row r="308" spans="3:15">
      <c r="D308" s="46"/>
      <c r="F308" s="54"/>
      <c r="N308" s="45"/>
    </row>
    <row r="309" spans="3:15" ht="21">
      <c r="C309" s="3" t="s">
        <v>96</v>
      </c>
      <c r="D309" s="66"/>
      <c r="F309" s="56"/>
      <c r="G309" s="22"/>
      <c r="H309" s="22"/>
      <c r="I309" s="22"/>
      <c r="J309" s="22"/>
      <c r="K309" s="22"/>
      <c r="L309" s="22"/>
      <c r="M309" s="22"/>
      <c r="N309" s="45"/>
    </row>
    <row r="310" spans="3:15" ht="15" customHeight="1">
      <c r="C310" s="81" t="str">
        <f>IF($G$1=4,"Estimation of revenue in year-ending 30-6-2012","Estimation of revenue in year-ending 30-9-2011")</f>
        <v>Estimation of revenue in year-ending 30-9-2011</v>
      </c>
      <c r="D310" s="22"/>
      <c r="E310" s="22"/>
      <c r="F310" s="56"/>
      <c r="G310" s="22"/>
      <c r="H310" s="22"/>
      <c r="I310" s="22"/>
      <c r="J310" s="22"/>
      <c r="K310" s="22"/>
      <c r="L310" s="22"/>
      <c r="M310" s="22"/>
      <c r="N310" s="45"/>
    </row>
    <row r="311" spans="3:15" ht="15" customHeight="1">
      <c r="C311" s="74" t="str">
        <f>IF($G$1=4,"Price increase on 1 July 2011","Price increase on 1 October 2010")</f>
        <v>Price increase on 1 October 2010</v>
      </c>
      <c r="D311" s="59">
        <f>IF($G$1=4,G59,F60)</f>
        <v>1.890315052508762E-2</v>
      </c>
      <c r="F311" s="56"/>
      <c r="G311" s="22"/>
      <c r="H311" s="22"/>
      <c r="I311" s="22"/>
      <c r="J311" s="22"/>
      <c r="K311" s="22"/>
      <c r="L311" s="22"/>
      <c r="M311" s="22"/>
      <c r="N311" s="45"/>
    </row>
    <row r="312" spans="3:15" ht="15" customHeight="1">
      <c r="C312" s="74" t="str">
        <f>IF($G$1=4,"Constant price revenue growth to Y/E 30-6-2012","Constant price revenue growth to Y/E 30-9-2011")</f>
        <v>Constant price revenue growth to Y/E 30-9-2011</v>
      </c>
      <c r="D312" s="208">
        <f>IF($G$1=4,0,F49)</f>
        <v>8.77211639376963E-2</v>
      </c>
      <c r="E312" s="80"/>
      <c r="F312" s="209"/>
      <c r="G312" s="46"/>
      <c r="H312" s="46"/>
      <c r="I312" s="46"/>
      <c r="J312" s="46"/>
      <c r="K312" s="46"/>
      <c r="L312" s="46"/>
      <c r="M312" s="46"/>
      <c r="N312" s="45"/>
    </row>
    <row r="313" spans="3:15" ht="15" customHeight="1">
      <c r="C313" s="56"/>
      <c r="D313" s="209"/>
      <c r="E313" s="209"/>
      <c r="F313" s="209"/>
      <c r="G313" s="46"/>
      <c r="H313" s="46"/>
      <c r="I313" s="46"/>
      <c r="J313" s="46"/>
      <c r="K313" s="46"/>
      <c r="L313" s="46"/>
      <c r="M313" s="46"/>
      <c r="N313" s="45"/>
    </row>
    <row r="314" spans="3:15" ht="15" customHeight="1">
      <c r="C314" s="74" t="str">
        <f>IF($G$1=4,"Revenue growth to Y/E 30-6-2012","Revenue growth to Y/E 30-9-2011")</f>
        <v>Revenue growth to Y/E 30-9-2011</v>
      </c>
      <c r="D314" s="208">
        <f>(1+D311)*(1+D312)-1</f>
        <v>0.10828252082893397</v>
      </c>
      <c r="E314" s="80"/>
      <c r="F314" s="209"/>
      <c r="G314" s="46"/>
      <c r="H314" s="46"/>
      <c r="I314" s="46"/>
      <c r="J314" s="46"/>
      <c r="K314" s="46"/>
      <c r="L314" s="46"/>
      <c r="M314" s="46"/>
      <c r="N314" s="45"/>
    </row>
    <row r="315" spans="3:15" ht="15" customHeight="1">
      <c r="C315" s="74" t="str">
        <f>IF($G$1=4,"Proportion of BB Y/E 31-12-11 in AR Y/E 30-6-11","Proportion of BB Y/E 30-6-11 in AR Y/E 30-9-10")</f>
        <v>Proportion of BB Y/E 30-6-11 in AR Y/E 30-9-10</v>
      </c>
      <c r="D315" s="210">
        <f>IF($G$1=4,0.5,0.25)</f>
        <v>0.25</v>
      </c>
      <c r="E315" s="80"/>
      <c r="F315" s="209"/>
      <c r="G315" s="46"/>
      <c r="H315" s="46"/>
      <c r="I315" s="46"/>
      <c r="J315" s="46"/>
      <c r="K315" s="46"/>
      <c r="L315" s="46"/>
      <c r="M315" s="46"/>
      <c r="N315" s="45"/>
    </row>
    <row r="316" spans="3:15" ht="15" customHeight="1">
      <c r="C316" s="74" t="str">
        <f>IF($G$1=4,"Net revenue in information year ending 31-12-11","Net revenue in information year ending 30-6-11")</f>
        <v>Net revenue in information year ending 30-6-11</v>
      </c>
      <c r="D316" s="209">
        <f>F$23-F$24-F$25</f>
        <v>112701.00532</v>
      </c>
      <c r="E316" s="80"/>
      <c r="F316" s="209"/>
      <c r="G316" s="46"/>
      <c r="H316" s="46"/>
      <c r="I316" s="46"/>
      <c r="J316" s="46"/>
      <c r="K316" s="46"/>
      <c r="L316" s="46"/>
      <c r="M316" s="46"/>
      <c r="N316" s="45"/>
    </row>
    <row r="317" spans="3:15" ht="15" customHeight="1">
      <c r="C317" s="74" t="str">
        <f>IF($G$1=4,"Estimated income in Y/E 30-6-2011","Estimated income in Y/E 30-9-2010")</f>
        <v>Estimated income in Y/E 30-9-2010</v>
      </c>
      <c r="D317" s="211">
        <f>D316/(1+D314*(1-D315))</f>
        <v>104235.81750955082</v>
      </c>
      <c r="E317" s="80"/>
      <c r="F317" s="209"/>
      <c r="G317" s="46"/>
      <c r="H317" s="46"/>
      <c r="I317" s="46"/>
      <c r="J317" s="46"/>
      <c r="K317" s="46"/>
      <c r="L317" s="46"/>
      <c r="M317" s="46"/>
      <c r="N317" s="45"/>
    </row>
    <row r="318" spans="3:15" ht="15" customHeight="1">
      <c r="C318" s="74" t="str">
        <f>IF($G$1=4,"Estimated income in Y/E 30-6-2012","Estimated income in Y/E 30-9-2011")</f>
        <v>Estimated income in Y/E 30-9-2011</v>
      </c>
      <c r="D318" s="211">
        <f>D317*(1+D314)</f>
        <v>115522.73459014972</v>
      </c>
      <c r="E318" s="80"/>
      <c r="F318" s="209"/>
      <c r="G318" s="46"/>
      <c r="H318" s="46"/>
      <c r="I318" s="46"/>
      <c r="J318" s="46"/>
      <c r="K318" s="46"/>
      <c r="L318" s="46"/>
      <c r="M318" s="46"/>
      <c r="N318" s="45"/>
    </row>
    <row r="319" spans="3:15" ht="15" customHeight="1">
      <c r="C319" s="74" t="str">
        <f>"Check: (" &amp; TEXT(D315,"0%") &amp; " of " &amp; TEXT(D317,"0,000") &amp; " plus " &amp; TEXT(1-D315,"0%") &amp;  " of " &amp; TEXT(D318,"0,000") &amp; ") less " &amp; TEXT(D316,"0,000")</f>
        <v>Check: (25% of 104,236 plus 75% of 115,523) less 112,701</v>
      </c>
      <c r="D319" s="211">
        <f>D315*D317+(1-D315)*D318-D316</f>
        <v>0</v>
      </c>
      <c r="E319" s="80" t="s">
        <v>270</v>
      </c>
      <c r="F319" s="212"/>
      <c r="G319" s="46"/>
      <c r="H319" s="46"/>
      <c r="I319" s="46"/>
      <c r="J319" s="46"/>
      <c r="K319" s="46"/>
      <c r="L319" s="46"/>
      <c r="M319" s="46"/>
      <c r="N319" s="45"/>
    </row>
    <row r="320" spans="3:15" ht="15" customHeight="1">
      <c r="D320" s="66"/>
      <c r="E320" s="80"/>
      <c r="F320" s="209"/>
      <c r="G320" s="46"/>
      <c r="H320" s="46"/>
      <c r="I320" s="46"/>
      <c r="J320" s="46"/>
      <c r="K320" s="46"/>
      <c r="L320" s="46"/>
      <c r="M320" s="46"/>
      <c r="N320" s="45"/>
    </row>
    <row r="321" spans="1:17">
      <c r="A321" s="22"/>
      <c r="B321" s="22"/>
      <c r="C321" s="81" t="s">
        <v>232</v>
      </c>
      <c r="D321" s="46"/>
      <c r="E321" s="213" t="str">
        <f t="shared" ref="E321:M321" si="104">E$21</f>
        <v>2009/10</v>
      </c>
      <c r="F321" s="213" t="str">
        <f t="shared" si="104"/>
        <v>2010/11</v>
      </c>
      <c r="G321" s="213" t="str">
        <f t="shared" si="104"/>
        <v>2011/12</v>
      </c>
      <c r="H321" s="213" t="str">
        <f t="shared" si="104"/>
        <v>2012/13</v>
      </c>
      <c r="I321" s="213" t="str">
        <f t="shared" si="104"/>
        <v>2013/14</v>
      </c>
      <c r="J321" s="213" t="str">
        <f t="shared" si="104"/>
        <v>2014/15</v>
      </c>
      <c r="K321" s="213" t="str">
        <f t="shared" si="104"/>
        <v>2015/16</v>
      </c>
      <c r="L321" s="213" t="str">
        <f t="shared" si="104"/>
        <v>2016/17</v>
      </c>
      <c r="M321" s="213" t="str">
        <f t="shared" si="104"/>
        <v>2017/18</v>
      </c>
      <c r="N321" s="45"/>
    </row>
    <row r="322" spans="1:17">
      <c r="A322" s="22"/>
      <c r="B322" s="22"/>
      <c r="C322" s="74" t="s">
        <v>297</v>
      </c>
      <c r="D322" s="46"/>
      <c r="E322" s="198"/>
      <c r="F322" s="208"/>
      <c r="G322" s="208">
        <f t="shared" ref="G322:M322" si="105">IF($G$1=4,G$59,G60)</f>
        <v>2.9088410444342738E-2</v>
      </c>
      <c r="H322" s="208">
        <f t="shared" si="105"/>
        <v>3.2940129089695125E-2</v>
      </c>
      <c r="I322" s="208">
        <f t="shared" si="105"/>
        <v>1.3574660633484115E-2</v>
      </c>
      <c r="J322" s="208">
        <f t="shared" si="105"/>
        <v>1.9119615478218499E-2</v>
      </c>
      <c r="K322" s="208">
        <f t="shared" si="105"/>
        <v>2.1680202356610057E-2</v>
      </c>
      <c r="L322" s="208">
        <f t="shared" si="105"/>
        <v>2.2144831398562603E-2</v>
      </c>
      <c r="M322" s="208">
        <f t="shared" si="105"/>
        <v>2.1072415699281422E-2</v>
      </c>
      <c r="N322" s="45"/>
    </row>
    <row r="323" spans="1:17">
      <c r="A323" s="22"/>
      <c r="B323" s="22"/>
      <c r="C323" s="74" t="s">
        <v>150</v>
      </c>
      <c r="D323" s="46"/>
      <c r="E323" s="214"/>
      <c r="F323" s="208"/>
      <c r="G323" s="208">
        <f>G49</f>
        <v>1.302774990673306E-2</v>
      </c>
      <c r="H323" s="208">
        <f t="shared" ref="H323:M323" si="106">H49</f>
        <v>-2.411975653237225E-3</v>
      </c>
      <c r="I323" s="208">
        <f t="shared" si="106"/>
        <v>-1.0187872901963492E-2</v>
      </c>
      <c r="J323" s="208">
        <f t="shared" si="106"/>
        <v>-7.1357375718283898E-3</v>
      </c>
      <c r="K323" s="208">
        <f t="shared" si="106"/>
        <v>2.6772475423385549E-3</v>
      </c>
      <c r="L323" s="208">
        <f t="shared" si="106"/>
        <v>2.6976240896474405E-3</v>
      </c>
      <c r="M323" s="208">
        <f t="shared" si="106"/>
        <v>2.7178856080614742E-3</v>
      </c>
      <c r="N323" s="59"/>
      <c r="O323" s="59"/>
      <c r="P323" s="59"/>
    </row>
    <row r="324" spans="1:17">
      <c r="A324" s="22"/>
      <c r="B324" s="22"/>
      <c r="C324" s="80" t="s">
        <v>236</v>
      </c>
      <c r="D324" s="80"/>
      <c r="E324" s="80"/>
      <c r="F324" s="185">
        <f>IF($G$1=4,D317,D318)</f>
        <v>115522.73459014972</v>
      </c>
      <c r="G324" s="209">
        <f>F324*(1+G322)*IF($G$1=4,1,(1+G323))</f>
        <v>120431.88669972513</v>
      </c>
      <c r="H324" s="209">
        <f t="shared" ref="H324:M324" si="107">G324*(1+H322)*IF($G$1=4,1,(1+H323))</f>
        <v>124098.88140707178</v>
      </c>
      <c r="I324" s="209">
        <f t="shared" si="107"/>
        <v>124502.01548338747</v>
      </c>
      <c r="J324" s="209">
        <f t="shared" si="107"/>
        <v>125977.04630752573</v>
      </c>
      <c r="K324" s="209">
        <f t="shared" si="107"/>
        <v>129052.83802089952</v>
      </c>
      <c r="L324" s="209">
        <f t="shared" si="107"/>
        <v>132266.53681907416</v>
      </c>
      <c r="M324" s="209">
        <f t="shared" si="107"/>
        <v>135420.7728069131</v>
      </c>
      <c r="N324" s="45"/>
      <c r="O324" s="80"/>
    </row>
    <row r="325" spans="1:17">
      <c r="A325" s="22"/>
      <c r="B325" s="22"/>
      <c r="C325" s="87"/>
      <c r="D325" s="87"/>
      <c r="E325" s="87"/>
      <c r="F325" s="87"/>
      <c r="G325" s="209"/>
      <c r="H325" s="209"/>
      <c r="I325" s="209"/>
      <c r="J325" s="209"/>
      <c r="K325" s="209"/>
      <c r="L325" s="209"/>
      <c r="M325" s="209"/>
      <c r="N325" s="45"/>
      <c r="O325" s="80"/>
    </row>
    <row r="326" spans="1:17">
      <c r="A326" s="22"/>
      <c r="B326" s="22"/>
      <c r="C326" s="74" t="s">
        <v>202</v>
      </c>
      <c r="D326" s="46">
        <f>I324</f>
        <v>124502.01548338747</v>
      </c>
      <c r="F326" s="56"/>
      <c r="G326" s="22"/>
      <c r="H326" s="22"/>
      <c r="I326" s="22"/>
      <c r="J326" s="22"/>
      <c r="K326" s="22"/>
      <c r="L326" s="22"/>
      <c r="M326" s="22"/>
      <c r="N326" s="45"/>
      <c r="O326" s="80"/>
    </row>
    <row r="327" spans="1:17">
      <c r="B327" s="22"/>
      <c r="C327" s="74" t="s">
        <v>201</v>
      </c>
      <c r="D327" s="46">
        <f>I303</f>
        <v>87776.374970273158</v>
      </c>
      <c r="F327" s="89"/>
      <c r="G327" s="22"/>
      <c r="K327" s="22"/>
      <c r="L327" s="22"/>
      <c r="M327" s="22"/>
      <c r="N327" s="45"/>
    </row>
    <row r="328" spans="1:17">
      <c r="B328" s="22"/>
      <c r="C328" s="74" t="s">
        <v>147</v>
      </c>
      <c r="D328" s="35">
        <f>(D327-D326)/D326</f>
        <v>-0.29498028903808937</v>
      </c>
      <c r="F328" s="56"/>
      <c r="G328" s="22"/>
      <c r="K328" s="22"/>
      <c r="L328" s="22"/>
      <c r="M328" s="22"/>
      <c r="N328" s="22"/>
      <c r="O328" s="22"/>
      <c r="P328" s="22"/>
      <c r="Q328" s="22"/>
    </row>
    <row r="329" spans="1:17">
      <c r="B329" s="22"/>
      <c r="D329" s="80"/>
      <c r="F329" s="56"/>
      <c r="G329" s="22"/>
      <c r="K329" s="22"/>
      <c r="L329" s="22"/>
      <c r="M329" s="22"/>
      <c r="N329" s="45"/>
    </row>
    <row r="330" spans="1:17">
      <c r="B330" s="22"/>
      <c r="C330" s="74" t="s">
        <v>295</v>
      </c>
      <c r="D330" s="80"/>
      <c r="F330" s="56"/>
      <c r="G330" s="22"/>
      <c r="H330" s="22">
        <f>H296*H324</f>
        <v>31024.720351767945</v>
      </c>
      <c r="I330" s="22">
        <f t="shared" ref="I330:M330" si="108">I296*I324</f>
        <v>124502.01548338747</v>
      </c>
      <c r="J330" s="22">
        <f t="shared" si="108"/>
        <v>125977.04630752573</v>
      </c>
      <c r="K330" s="22">
        <f t="shared" si="108"/>
        <v>129052.83802089952</v>
      </c>
      <c r="L330" s="22">
        <f t="shared" si="108"/>
        <v>132266.53681907416</v>
      </c>
      <c r="M330" s="22">
        <f t="shared" si="108"/>
        <v>0</v>
      </c>
      <c r="N330" s="45"/>
    </row>
    <row r="331" spans="1:17">
      <c r="C331" s="74" t="s">
        <v>296</v>
      </c>
      <c r="H331" s="22">
        <f t="shared" ref="H331:M331" si="109">H330*H72</f>
        <v>31085.777815881102</v>
      </c>
      <c r="I331" s="22">
        <f t="shared" si="109"/>
        <v>128178.0187697464</v>
      </c>
      <c r="J331" s="22">
        <f t="shared" si="109"/>
        <v>129696.60084191836</v>
      </c>
      <c r="K331" s="22">
        <f t="shared" si="109"/>
        <v>132863.20731361248</v>
      </c>
      <c r="L331" s="22">
        <f t="shared" si="109"/>
        <v>136171.79266681671</v>
      </c>
      <c r="M331" s="22">
        <f t="shared" si="109"/>
        <v>0</v>
      </c>
      <c r="N331" s="45"/>
    </row>
    <row r="332" spans="1:17">
      <c r="C332" s="74" t="s">
        <v>285</v>
      </c>
      <c r="D332" s="80"/>
      <c r="F332" s="56"/>
      <c r="G332" s="22"/>
      <c r="H332" s="22">
        <f t="shared" ref="H332:M332" si="110">H331/(1+WACC)^H297</f>
        <v>30533.053498603353</v>
      </c>
      <c r="I332" s="22">
        <f t="shared" si="110"/>
        <v>117180.6910629898</v>
      </c>
      <c r="J332" s="22">
        <f t="shared" si="110"/>
        <v>110358.32361893468</v>
      </c>
      <c r="K332" s="22">
        <f t="shared" si="110"/>
        <v>105224.10323456932</v>
      </c>
      <c r="L332" s="22">
        <f t="shared" si="110"/>
        <v>100376.40939897046</v>
      </c>
      <c r="M332" s="22">
        <f t="shared" si="110"/>
        <v>0</v>
      </c>
      <c r="N332" s="45"/>
    </row>
    <row r="333" spans="1:17">
      <c r="C333" s="74" t="s">
        <v>286</v>
      </c>
      <c r="D333" s="80"/>
      <c r="F333" s="56">
        <f>SUM(H332:M332)</f>
        <v>463672.58081406762</v>
      </c>
      <c r="G333" s="22"/>
      <c r="K333" s="22"/>
      <c r="L333" s="22"/>
      <c r="M333" s="22"/>
      <c r="N333" s="45"/>
    </row>
    <row r="334" spans="1:17">
      <c r="D334" s="80"/>
      <c r="F334" s="56"/>
      <c r="G334" s="22"/>
      <c r="K334" s="22"/>
      <c r="L334" s="22"/>
      <c r="M334" s="22"/>
      <c r="N334" s="45"/>
    </row>
    <row r="335" spans="1:17" ht="21">
      <c r="C335" s="3" t="s">
        <v>283</v>
      </c>
      <c r="D335" s="80"/>
      <c r="F335" s="56"/>
      <c r="G335" s="22"/>
      <c r="K335" s="22"/>
      <c r="L335" s="22"/>
      <c r="M335" s="22"/>
      <c r="N335" s="45"/>
    </row>
    <row r="336" spans="1:17">
      <c r="C336" s="74" t="s">
        <v>282</v>
      </c>
      <c r="D336" s="80"/>
      <c r="E336" s="22">
        <f>H303+I303</f>
        <v>110022.0308435378</v>
      </c>
      <c r="F336" s="56"/>
      <c r="G336" s="22"/>
      <c r="K336" s="22"/>
      <c r="L336" s="22"/>
      <c r="M336" s="22"/>
      <c r="N336" s="45"/>
    </row>
    <row r="337" spans="3:14" ht="30">
      <c r="C337" s="54" t="s">
        <v>287</v>
      </c>
      <c r="D337" s="80"/>
      <c r="E337" s="22">
        <f>F333-D286</f>
        <v>135387.66483708192</v>
      </c>
      <c r="F337" s="56"/>
      <c r="G337" s="22"/>
      <c r="K337" s="22"/>
      <c r="L337" s="22"/>
      <c r="M337" s="22"/>
      <c r="N337" s="45"/>
    </row>
    <row r="338" spans="3:14">
      <c r="D338" s="80"/>
      <c r="F338" s="56"/>
      <c r="G338" s="22"/>
      <c r="K338" s="22"/>
      <c r="L338" s="22"/>
      <c r="M338" s="22"/>
      <c r="N338" s="45"/>
    </row>
    <row r="339" spans="3:14" ht="21">
      <c r="C339" s="3" t="s">
        <v>298</v>
      </c>
      <c r="D339" s="80"/>
      <c r="F339" s="56"/>
      <c r="G339" s="22"/>
      <c r="K339" s="22"/>
      <c r="L339" s="22"/>
      <c r="M339" s="22"/>
      <c r="N339" s="45"/>
    </row>
    <row r="340" spans="3:14">
      <c r="C340" s="74" t="s">
        <v>299</v>
      </c>
      <c r="D340" s="80"/>
      <c r="F340" s="56"/>
      <c r="G340" s="22"/>
      <c r="H340" s="22">
        <f>IF(H303=0,0,H303/H296)</f>
        <v>88982.623493058578</v>
      </c>
      <c r="I340" s="22">
        <f>IF(I303=0,0,I303/I296)</f>
        <v>87776.374970273158</v>
      </c>
      <c r="K340" s="22"/>
      <c r="L340" s="22"/>
      <c r="M340" s="22"/>
      <c r="N340" s="45"/>
    </row>
    <row r="341" spans="3:14">
      <c r="C341" s="74" t="s">
        <v>300</v>
      </c>
      <c r="E341" s="31">
        <f>IF(G1=4,(1+H49)*(1+I49),(1+G49)*(1+H49))</f>
        <v>1.0105843516379043</v>
      </c>
    </row>
    <row r="342" spans="3:14">
      <c r="E342" s="60"/>
    </row>
    <row r="343" spans="3:14">
      <c r="E343" s="60"/>
    </row>
    <row r="344" spans="3:14">
      <c r="E344" s="60"/>
    </row>
    <row r="345" spans="3:14">
      <c r="E345" s="60"/>
    </row>
    <row r="346" spans="3:14">
      <c r="E346" s="60"/>
    </row>
    <row r="347" spans="3:14">
      <c r="E347" s="60"/>
    </row>
    <row r="348" spans="3:14">
      <c r="E348" s="60"/>
    </row>
    <row r="349" spans="3:14">
      <c r="E349" s="60"/>
    </row>
    <row r="350" spans="3:14">
      <c r="E350" s="60"/>
    </row>
    <row r="351" spans="3:14">
      <c r="E351" s="60"/>
    </row>
    <row r="352" spans="3:14">
      <c r="E352" s="60"/>
    </row>
    <row r="353" spans="5:5">
      <c r="E353" s="60"/>
    </row>
    <row r="354" spans="5:5">
      <c r="E354" s="60"/>
    </row>
    <row r="355" spans="5:5">
      <c r="E355" s="60"/>
    </row>
    <row r="356" spans="5:5">
      <c r="E356" s="60"/>
    </row>
    <row r="357" spans="5:5">
      <c r="E357" s="60"/>
    </row>
    <row r="358" spans="5:5">
      <c r="E358" s="60"/>
    </row>
    <row r="359" spans="5:5">
      <c r="E359" s="60"/>
    </row>
    <row r="360" spans="5:5">
      <c r="E360" s="60"/>
    </row>
    <row r="361" spans="5:5">
      <c r="E361" s="60"/>
    </row>
    <row r="362" spans="5:5">
      <c r="E362" s="60"/>
    </row>
    <row r="363" spans="5:5">
      <c r="E363" s="60"/>
    </row>
    <row r="364" spans="5:5">
      <c r="E364" s="60"/>
    </row>
    <row r="365" spans="5:5">
      <c r="E365" s="60"/>
    </row>
    <row r="366" spans="5:5">
      <c r="E366" s="60"/>
    </row>
    <row r="367" spans="5:5">
      <c r="E367" s="60"/>
    </row>
    <row r="368" spans="5:5">
      <c r="E368" s="60"/>
    </row>
    <row r="369" spans="5:5">
      <c r="E369" s="60"/>
    </row>
    <row r="370" spans="5:5">
      <c r="E370" s="60"/>
    </row>
    <row r="371" spans="5:5">
      <c r="E371" s="60"/>
    </row>
    <row r="372" spans="5:5">
      <c r="E372" s="60"/>
    </row>
    <row r="373" spans="5:5">
      <c r="E373" s="60"/>
    </row>
    <row r="374" spans="5:5">
      <c r="E374" s="60"/>
    </row>
    <row r="375" spans="5:5">
      <c r="E375" s="60"/>
    </row>
    <row r="376" spans="5:5">
      <c r="E376" s="60"/>
    </row>
    <row r="377" spans="5:5">
      <c r="E377" s="60"/>
    </row>
    <row r="378" spans="5:5">
      <c r="E378" s="60"/>
    </row>
    <row r="379" spans="5:5">
      <c r="E379" s="60"/>
    </row>
    <row r="380" spans="5:5">
      <c r="E380" s="60"/>
    </row>
    <row r="381" spans="5:5">
      <c r="E381" s="60"/>
    </row>
    <row r="382" spans="5:5">
      <c r="E382" s="60"/>
    </row>
    <row r="383" spans="5:5">
      <c r="E383" s="60"/>
    </row>
    <row r="384" spans="5:5">
      <c r="E384" s="60"/>
    </row>
    <row r="385" spans="5:5">
      <c r="E385" s="60"/>
    </row>
    <row r="386" spans="5:5">
      <c r="E386" s="60"/>
    </row>
    <row r="387" spans="5:5">
      <c r="E387" s="60"/>
    </row>
    <row r="388" spans="5:5">
      <c r="E388" s="60"/>
    </row>
    <row r="389" spans="5:5">
      <c r="E389" s="60"/>
    </row>
    <row r="390" spans="5:5">
      <c r="E390" s="60"/>
    </row>
    <row r="391" spans="5:5">
      <c r="E391" s="60"/>
    </row>
    <row r="392" spans="5:5">
      <c r="E392" s="60"/>
    </row>
    <row r="393" spans="5:5">
      <c r="E393" s="60"/>
    </row>
    <row r="394" spans="5:5">
      <c r="E394" s="60"/>
    </row>
    <row r="395" spans="5:5">
      <c r="E395" s="60"/>
    </row>
    <row r="396" spans="5:5">
      <c r="E396" s="60"/>
    </row>
    <row r="397" spans="5:5">
      <c r="E397" s="60"/>
    </row>
    <row r="398" spans="5:5">
      <c r="E398" s="60"/>
    </row>
    <row r="399" spans="5:5">
      <c r="E399" s="60"/>
    </row>
    <row r="400" spans="5:5">
      <c r="E400" s="60"/>
    </row>
    <row r="401" spans="5:5">
      <c r="E401" s="60"/>
    </row>
    <row r="402" spans="5:5">
      <c r="E402" s="60"/>
    </row>
    <row r="403" spans="5:5">
      <c r="E403" s="60"/>
    </row>
    <row r="404" spans="5:5">
      <c r="E404" s="60"/>
    </row>
    <row r="405" spans="5:5">
      <c r="E405" s="60"/>
    </row>
    <row r="406" spans="5:5">
      <c r="E406" s="60"/>
    </row>
    <row r="407" spans="5:5">
      <c r="E407" s="60"/>
    </row>
    <row r="408" spans="5:5">
      <c r="E408" s="60"/>
    </row>
    <row r="409" spans="5:5">
      <c r="E409" s="60"/>
    </row>
    <row r="410" spans="5:5">
      <c r="E410" s="60"/>
    </row>
    <row r="411" spans="5:5">
      <c r="E411" s="60"/>
    </row>
    <row r="412" spans="5:5">
      <c r="E412" s="60"/>
    </row>
    <row r="413" spans="5:5">
      <c r="E413" s="60"/>
    </row>
    <row r="414" spans="5:5">
      <c r="E414" s="60"/>
    </row>
    <row r="415" spans="5:5">
      <c r="E415" s="60"/>
    </row>
    <row r="416" spans="5:5">
      <c r="E416" s="60"/>
    </row>
    <row r="417" spans="5:5">
      <c r="E417" s="60"/>
    </row>
    <row r="418" spans="5:5">
      <c r="E418" s="60"/>
    </row>
    <row r="419" spans="5:5">
      <c r="E419" s="60"/>
    </row>
    <row r="420" spans="5:5">
      <c r="E420" s="60"/>
    </row>
    <row r="421" spans="5:5">
      <c r="E421" s="60"/>
    </row>
    <row r="422" spans="5:5">
      <c r="E422" s="60"/>
    </row>
    <row r="423" spans="5:5">
      <c r="E423" s="60"/>
    </row>
    <row r="424" spans="5:5">
      <c r="E424" s="60"/>
    </row>
    <row r="425" spans="5:5">
      <c r="E425" s="60"/>
    </row>
    <row r="426" spans="5:5">
      <c r="E426" s="60"/>
    </row>
    <row r="427" spans="5:5">
      <c r="E427" s="60"/>
    </row>
    <row r="428" spans="5:5">
      <c r="E428" s="60"/>
    </row>
    <row r="429" spans="5:5">
      <c r="E429" s="60"/>
    </row>
    <row r="430" spans="5:5">
      <c r="E430" s="60"/>
    </row>
    <row r="431" spans="5:5">
      <c r="E431" s="60"/>
    </row>
    <row r="432" spans="5:5">
      <c r="E432" s="60"/>
    </row>
    <row r="433" spans="5:5">
      <c r="E433" s="60"/>
    </row>
    <row r="434" spans="5:5">
      <c r="E434" s="60"/>
    </row>
    <row r="435" spans="5:5">
      <c r="E435" s="60"/>
    </row>
    <row r="436" spans="5:5">
      <c r="E436" s="60"/>
    </row>
    <row r="437" spans="5:5">
      <c r="E437" s="60"/>
    </row>
    <row r="438" spans="5:5">
      <c r="E438" s="60"/>
    </row>
    <row r="439" spans="5:5">
      <c r="E439" s="60"/>
    </row>
    <row r="440" spans="5:5">
      <c r="E440" s="60"/>
    </row>
    <row r="441" spans="5:5">
      <c r="E441" s="60"/>
    </row>
    <row r="442" spans="5:5">
      <c r="E442" s="60"/>
    </row>
    <row r="443" spans="5:5">
      <c r="E443" s="60"/>
    </row>
    <row r="444" spans="5:5">
      <c r="E444" s="60"/>
    </row>
    <row r="445" spans="5:5">
      <c r="E445" s="60"/>
    </row>
    <row r="446" spans="5:5">
      <c r="E446" s="60"/>
    </row>
    <row r="447" spans="5:5">
      <c r="E447" s="60"/>
    </row>
    <row r="448" spans="5:5">
      <c r="E448" s="60"/>
    </row>
    <row r="449" spans="5:5">
      <c r="E449" s="60"/>
    </row>
    <row r="450" spans="5:5">
      <c r="E450" s="60"/>
    </row>
    <row r="451" spans="5:5">
      <c r="E451" s="60"/>
    </row>
    <row r="452" spans="5:5">
      <c r="E452" s="60"/>
    </row>
    <row r="453" spans="5:5">
      <c r="E453" s="60"/>
    </row>
    <row r="454" spans="5:5">
      <c r="E454" s="60"/>
    </row>
    <row r="455" spans="5:5">
      <c r="E455" s="60"/>
    </row>
    <row r="456" spans="5:5">
      <c r="E456" s="60"/>
    </row>
    <row r="457" spans="5:5">
      <c r="E457" s="60"/>
    </row>
    <row r="458" spans="5:5">
      <c r="E458" s="60"/>
    </row>
    <row r="459" spans="5:5">
      <c r="E459" s="60"/>
    </row>
    <row r="460" spans="5:5">
      <c r="E460" s="60"/>
    </row>
    <row r="461" spans="5:5">
      <c r="E461" s="60"/>
    </row>
    <row r="462" spans="5:5">
      <c r="E462" s="60"/>
    </row>
    <row r="463" spans="5:5">
      <c r="E463" s="60"/>
    </row>
    <row r="464" spans="5:5">
      <c r="E464" s="60"/>
    </row>
    <row r="465" spans="5:5">
      <c r="E465" s="60"/>
    </row>
    <row r="466" spans="5:5">
      <c r="E466" s="60"/>
    </row>
    <row r="467" spans="5:5">
      <c r="E467" s="60"/>
    </row>
    <row r="468" spans="5:5">
      <c r="E468" s="60"/>
    </row>
    <row r="469" spans="5:5">
      <c r="E469" s="60"/>
    </row>
    <row r="470" spans="5:5">
      <c r="E470" s="60"/>
    </row>
    <row r="471" spans="5:5">
      <c r="E471" s="60"/>
    </row>
    <row r="472" spans="5:5">
      <c r="E472" s="60"/>
    </row>
    <row r="473" spans="5:5">
      <c r="E473" s="60"/>
    </row>
    <row r="474" spans="5:5">
      <c r="E474" s="60"/>
    </row>
    <row r="475" spans="5:5">
      <c r="E475" s="60"/>
    </row>
    <row r="476" spans="5:5">
      <c r="E476" s="60"/>
    </row>
    <row r="477" spans="5:5">
      <c r="E477" s="60"/>
    </row>
    <row r="478" spans="5:5">
      <c r="E478" s="60"/>
    </row>
    <row r="479" spans="5:5">
      <c r="E479" s="60"/>
    </row>
    <row r="480" spans="5:5">
      <c r="E480" s="60"/>
    </row>
    <row r="481" spans="5:5">
      <c r="E481" s="60"/>
    </row>
    <row r="482" spans="5:5">
      <c r="E482" s="60"/>
    </row>
    <row r="483" spans="5:5">
      <c r="E483" s="60"/>
    </row>
    <row r="484" spans="5:5">
      <c r="E484" s="60"/>
    </row>
    <row r="485" spans="5:5">
      <c r="E485" s="60"/>
    </row>
    <row r="486" spans="5:5">
      <c r="E486" s="60"/>
    </row>
    <row r="487" spans="5:5">
      <c r="E487" s="60"/>
    </row>
    <row r="488" spans="5:5">
      <c r="E488" s="60"/>
    </row>
    <row r="489" spans="5:5">
      <c r="E489" s="60"/>
    </row>
    <row r="490" spans="5:5">
      <c r="E490" s="60"/>
    </row>
    <row r="491" spans="5:5">
      <c r="E491" s="60"/>
    </row>
    <row r="492" spans="5:5">
      <c r="E492" s="60"/>
    </row>
    <row r="493" spans="5:5">
      <c r="E493" s="60"/>
    </row>
    <row r="494" spans="5:5">
      <c r="E494" s="60"/>
    </row>
    <row r="495" spans="5:5">
      <c r="E495" s="60"/>
    </row>
    <row r="496" spans="5:5">
      <c r="E496" s="60"/>
    </row>
    <row r="497" spans="5:5">
      <c r="E497" s="60"/>
    </row>
    <row r="498" spans="5:5">
      <c r="E498" s="60"/>
    </row>
    <row r="499" spans="5:5">
      <c r="E499" s="60"/>
    </row>
    <row r="500" spans="5:5">
      <c r="E500" s="60"/>
    </row>
    <row r="501" spans="5:5">
      <c r="E501" s="60"/>
    </row>
    <row r="502" spans="5:5">
      <c r="E502" s="60"/>
    </row>
    <row r="503" spans="5:5">
      <c r="E503" s="60"/>
    </row>
    <row r="504" spans="5:5">
      <c r="E504" s="60"/>
    </row>
    <row r="505" spans="5:5">
      <c r="E505" s="60"/>
    </row>
    <row r="506" spans="5:5">
      <c r="E506" s="60"/>
    </row>
    <row r="507" spans="5:5">
      <c r="E507" s="60"/>
    </row>
    <row r="508" spans="5:5">
      <c r="E508" s="60"/>
    </row>
    <row r="509" spans="5:5">
      <c r="E509" s="60"/>
    </row>
    <row r="510" spans="5:5">
      <c r="E510" s="60"/>
    </row>
    <row r="511" spans="5:5">
      <c r="E511" s="60"/>
    </row>
    <row r="512" spans="5:5">
      <c r="E512" s="60"/>
    </row>
    <row r="513" spans="5:5">
      <c r="E513" s="60"/>
    </row>
    <row r="514" spans="5:5">
      <c r="E514" s="60"/>
    </row>
    <row r="515" spans="5:5">
      <c r="E515" s="60"/>
    </row>
    <row r="516" spans="5:5">
      <c r="E516" s="60"/>
    </row>
    <row r="517" spans="5:5">
      <c r="E517" s="60"/>
    </row>
    <row r="518" spans="5:5">
      <c r="E518" s="60"/>
    </row>
    <row r="519" spans="5:5">
      <c r="E519" s="60"/>
    </row>
    <row r="520" spans="5:5">
      <c r="E520" s="60"/>
    </row>
    <row r="521" spans="5:5">
      <c r="E521" s="60"/>
    </row>
    <row r="522" spans="5:5">
      <c r="E522" s="60"/>
    </row>
    <row r="523" spans="5:5">
      <c r="E523" s="60"/>
    </row>
    <row r="524" spans="5:5">
      <c r="E524" s="60"/>
    </row>
    <row r="525" spans="5:5">
      <c r="E525" s="60"/>
    </row>
    <row r="526" spans="5:5">
      <c r="E526" s="60"/>
    </row>
    <row r="527" spans="5:5">
      <c r="E527" s="60"/>
    </row>
    <row r="528" spans="5:5">
      <c r="E528" s="60"/>
    </row>
    <row r="529" spans="5:5">
      <c r="E529" s="60"/>
    </row>
    <row r="530" spans="5:5">
      <c r="E530" s="60"/>
    </row>
    <row r="531" spans="5:5">
      <c r="E531" s="60"/>
    </row>
    <row r="532" spans="5:5">
      <c r="E532" s="60"/>
    </row>
    <row r="533" spans="5:5">
      <c r="E533" s="60"/>
    </row>
    <row r="534" spans="5:5">
      <c r="E534" s="60"/>
    </row>
    <row r="535" spans="5:5">
      <c r="E535" s="60"/>
    </row>
    <row r="536" spans="5:5">
      <c r="E536" s="60"/>
    </row>
    <row r="537" spans="5:5">
      <c r="E537" s="60"/>
    </row>
    <row r="538" spans="5:5">
      <c r="E538" s="60"/>
    </row>
    <row r="539" spans="5:5">
      <c r="E539" s="60"/>
    </row>
    <row r="540" spans="5:5">
      <c r="E540" s="60"/>
    </row>
    <row r="541" spans="5:5">
      <c r="E541" s="60"/>
    </row>
    <row r="542" spans="5:5">
      <c r="E542" s="60"/>
    </row>
    <row r="543" spans="5:5">
      <c r="E543" s="60"/>
    </row>
    <row r="544" spans="5:5">
      <c r="E544" s="60"/>
    </row>
    <row r="545" spans="5:5">
      <c r="E545" s="60"/>
    </row>
    <row r="546" spans="5:5">
      <c r="E546" s="60"/>
    </row>
    <row r="547" spans="5:5">
      <c r="E547" s="60"/>
    </row>
    <row r="548" spans="5:5">
      <c r="E548" s="60"/>
    </row>
    <row r="549" spans="5:5">
      <c r="E549" s="60"/>
    </row>
    <row r="550" spans="5:5">
      <c r="E550" s="60"/>
    </row>
    <row r="551" spans="5:5">
      <c r="E551" s="60"/>
    </row>
    <row r="552" spans="5:5">
      <c r="E552" s="60"/>
    </row>
    <row r="553" spans="5:5">
      <c r="E553" s="60"/>
    </row>
    <row r="554" spans="5:5">
      <c r="E554" s="60"/>
    </row>
    <row r="555" spans="5:5">
      <c r="E555" s="60"/>
    </row>
    <row r="556" spans="5:5">
      <c r="E556" s="60"/>
    </row>
    <row r="557" spans="5:5">
      <c r="E557" s="60"/>
    </row>
    <row r="558" spans="5:5">
      <c r="E558" s="60"/>
    </row>
    <row r="559" spans="5:5">
      <c r="E559" s="60"/>
    </row>
    <row r="560" spans="5:5">
      <c r="E560" s="60"/>
    </row>
    <row r="561" spans="5:5">
      <c r="E561" s="60"/>
    </row>
    <row r="562" spans="5:5">
      <c r="E562" s="60"/>
    </row>
    <row r="563" spans="5:5">
      <c r="E563" s="60"/>
    </row>
    <row r="564" spans="5:5">
      <c r="E564" s="60"/>
    </row>
    <row r="565" spans="5:5">
      <c r="E565" s="60"/>
    </row>
    <row r="566" spans="5:5">
      <c r="E566" s="60"/>
    </row>
    <row r="567" spans="5:5">
      <c r="E567" s="60"/>
    </row>
    <row r="568" spans="5:5">
      <c r="E568" s="60"/>
    </row>
    <row r="569" spans="5:5">
      <c r="E569" s="60"/>
    </row>
    <row r="570" spans="5:5">
      <c r="E570" s="60"/>
    </row>
    <row r="571" spans="5:5">
      <c r="E571" s="60"/>
    </row>
    <row r="572" spans="5:5">
      <c r="E572" s="60"/>
    </row>
    <row r="573" spans="5:5">
      <c r="E573" s="60"/>
    </row>
    <row r="574" spans="5:5">
      <c r="E574" s="60"/>
    </row>
    <row r="575" spans="5:5">
      <c r="E575" s="60"/>
    </row>
    <row r="576" spans="5:5">
      <c r="E576" s="60"/>
    </row>
    <row r="577" spans="5:5">
      <c r="E577" s="60"/>
    </row>
    <row r="578" spans="5:5">
      <c r="E578" s="60"/>
    </row>
    <row r="579" spans="5:5">
      <c r="E579" s="60"/>
    </row>
    <row r="580" spans="5:5">
      <c r="E580" s="60"/>
    </row>
    <row r="581" spans="5:5">
      <c r="E581" s="60"/>
    </row>
    <row r="582" spans="5:5">
      <c r="E582" s="60"/>
    </row>
    <row r="583" spans="5:5">
      <c r="E583" s="60"/>
    </row>
    <row r="584" spans="5:5">
      <c r="E584" s="60"/>
    </row>
    <row r="585" spans="5:5">
      <c r="E585" s="60"/>
    </row>
    <row r="586" spans="5:5">
      <c r="E586" s="60"/>
    </row>
    <row r="587" spans="5:5">
      <c r="E587" s="60"/>
    </row>
    <row r="588" spans="5:5">
      <c r="E588" s="60"/>
    </row>
    <row r="589" spans="5:5">
      <c r="E589" s="60"/>
    </row>
    <row r="590" spans="5:5">
      <c r="E590" s="60"/>
    </row>
    <row r="591" spans="5:5">
      <c r="E591" s="60"/>
    </row>
    <row r="592" spans="5:5">
      <c r="E592" s="60"/>
    </row>
    <row r="593" spans="5:5">
      <c r="E593" s="60"/>
    </row>
    <row r="594" spans="5:5">
      <c r="E594" s="60"/>
    </row>
    <row r="595" spans="5:5">
      <c r="E595" s="60"/>
    </row>
    <row r="596" spans="5:5">
      <c r="E596" s="60"/>
    </row>
    <row r="597" spans="5:5">
      <c r="E597" s="60"/>
    </row>
    <row r="598" spans="5:5">
      <c r="E598" s="60"/>
    </row>
    <row r="599" spans="5:5">
      <c r="E599" s="60"/>
    </row>
    <row r="600" spans="5:5">
      <c r="E600" s="60"/>
    </row>
    <row r="601" spans="5:5">
      <c r="E601" s="60"/>
    </row>
    <row r="602" spans="5:5">
      <c r="E602" s="60"/>
    </row>
    <row r="603" spans="5:5">
      <c r="E603" s="60"/>
    </row>
    <row r="604" spans="5:5">
      <c r="E604" s="60"/>
    </row>
    <row r="605" spans="5:5">
      <c r="E605" s="60"/>
    </row>
    <row r="606" spans="5:5">
      <c r="E606" s="60"/>
    </row>
    <row r="607" spans="5:5">
      <c r="E607" s="60"/>
    </row>
    <row r="608" spans="5:5">
      <c r="E608" s="60"/>
    </row>
    <row r="609" spans="5:5">
      <c r="E609" s="60"/>
    </row>
    <row r="610" spans="5:5">
      <c r="E610" s="60"/>
    </row>
    <row r="611" spans="5:5">
      <c r="E611" s="60"/>
    </row>
    <row r="612" spans="5:5">
      <c r="E612" s="60"/>
    </row>
    <row r="613" spans="5:5">
      <c r="E613" s="60"/>
    </row>
    <row r="614" spans="5:5">
      <c r="E614" s="60"/>
    </row>
    <row r="615" spans="5:5">
      <c r="E615" s="60"/>
    </row>
    <row r="616" spans="5:5">
      <c r="E616" s="60"/>
    </row>
    <row r="617" spans="5:5">
      <c r="E617" s="60"/>
    </row>
    <row r="618" spans="5:5">
      <c r="E618" s="60"/>
    </row>
    <row r="619" spans="5:5">
      <c r="E619" s="60"/>
    </row>
    <row r="620" spans="5:5">
      <c r="E620" s="60"/>
    </row>
    <row r="621" spans="5:5">
      <c r="E621" s="60"/>
    </row>
    <row r="622" spans="5:5">
      <c r="E622" s="60"/>
    </row>
    <row r="623" spans="5:5">
      <c r="E623" s="60"/>
    </row>
    <row r="624" spans="5:5">
      <c r="E624" s="60"/>
    </row>
    <row r="625" spans="5:5">
      <c r="E625" s="60"/>
    </row>
    <row r="626" spans="5:5">
      <c r="E626" s="60"/>
    </row>
    <row r="627" spans="5:5">
      <c r="E627" s="60"/>
    </row>
    <row r="628" spans="5:5">
      <c r="E628" s="60"/>
    </row>
    <row r="629" spans="5:5">
      <c r="E629" s="60"/>
    </row>
    <row r="630" spans="5:5">
      <c r="E630" s="60"/>
    </row>
    <row r="631" spans="5:5">
      <c r="E631" s="60"/>
    </row>
    <row r="632" spans="5:5">
      <c r="E632" s="60"/>
    </row>
    <row r="633" spans="5:5">
      <c r="E633" s="60"/>
    </row>
    <row r="634" spans="5:5">
      <c r="E634" s="60"/>
    </row>
    <row r="635" spans="5:5">
      <c r="E635" s="60"/>
    </row>
    <row r="636" spans="5:5">
      <c r="E636" s="60"/>
    </row>
    <row r="637" spans="5:5">
      <c r="E637" s="60"/>
    </row>
    <row r="638" spans="5:5">
      <c r="E638" s="60"/>
    </row>
    <row r="639" spans="5:5">
      <c r="E639" s="60"/>
    </row>
    <row r="640" spans="5:5">
      <c r="E640" s="60"/>
    </row>
    <row r="641" spans="5:5">
      <c r="E641" s="60"/>
    </row>
    <row r="642" spans="5:5">
      <c r="E642" s="60"/>
    </row>
    <row r="643" spans="5:5">
      <c r="E643" s="60"/>
    </row>
    <row r="644" spans="5:5">
      <c r="E644" s="60"/>
    </row>
    <row r="645" spans="5:5">
      <c r="E645" s="60"/>
    </row>
    <row r="646" spans="5:5">
      <c r="E646" s="60"/>
    </row>
    <row r="647" spans="5:5">
      <c r="E647" s="60"/>
    </row>
    <row r="648" spans="5:5">
      <c r="E648" s="60"/>
    </row>
    <row r="649" spans="5:5">
      <c r="E649" s="60"/>
    </row>
    <row r="650" spans="5:5">
      <c r="E650" s="60"/>
    </row>
    <row r="651" spans="5:5">
      <c r="E651" s="60"/>
    </row>
    <row r="652" spans="5:5">
      <c r="E652" s="60"/>
    </row>
    <row r="653" spans="5:5">
      <c r="E653" s="60"/>
    </row>
    <row r="654" spans="5:5">
      <c r="E654" s="60"/>
    </row>
    <row r="655" spans="5:5">
      <c r="E655" s="60"/>
    </row>
    <row r="656" spans="5:5">
      <c r="E656" s="60"/>
    </row>
    <row r="657" spans="5:5">
      <c r="E657" s="60"/>
    </row>
    <row r="658" spans="5:5">
      <c r="E658" s="60"/>
    </row>
    <row r="659" spans="5:5">
      <c r="E659" s="60"/>
    </row>
    <row r="660" spans="5:5">
      <c r="E660" s="60"/>
    </row>
    <row r="661" spans="5:5">
      <c r="E661" s="60"/>
    </row>
    <row r="662" spans="5:5">
      <c r="E662" s="60"/>
    </row>
    <row r="663" spans="5:5">
      <c r="E663" s="60"/>
    </row>
    <row r="664" spans="5:5">
      <c r="E664" s="60"/>
    </row>
    <row r="665" spans="5:5">
      <c r="E665" s="60"/>
    </row>
    <row r="666" spans="5:5">
      <c r="E666" s="60"/>
    </row>
    <row r="667" spans="5:5">
      <c r="E667" s="60"/>
    </row>
    <row r="668" spans="5:5">
      <c r="E668" s="60"/>
    </row>
    <row r="669" spans="5:5">
      <c r="E669" s="60"/>
    </row>
    <row r="670" spans="5:5">
      <c r="E670" s="60"/>
    </row>
    <row r="671" spans="5:5">
      <c r="E671" s="60"/>
    </row>
    <row r="672" spans="5:5">
      <c r="E672" s="60"/>
    </row>
    <row r="673" spans="5:5">
      <c r="E673" s="60"/>
    </row>
    <row r="674" spans="5:5">
      <c r="E674" s="60"/>
    </row>
    <row r="675" spans="5:5">
      <c r="E675" s="60"/>
    </row>
    <row r="676" spans="5:5">
      <c r="E676" s="60"/>
    </row>
    <row r="677" spans="5:5">
      <c r="E677" s="60"/>
    </row>
    <row r="678" spans="5:5">
      <c r="E678" s="60"/>
    </row>
    <row r="679" spans="5:5">
      <c r="E679" s="60"/>
    </row>
    <row r="680" spans="5:5">
      <c r="E680" s="60"/>
    </row>
    <row r="681" spans="5:5">
      <c r="E681" s="60"/>
    </row>
    <row r="682" spans="5:5">
      <c r="E682" s="60"/>
    </row>
    <row r="683" spans="5:5">
      <c r="E683" s="60"/>
    </row>
    <row r="684" spans="5:5">
      <c r="E684" s="60"/>
    </row>
    <row r="685" spans="5:5">
      <c r="E685" s="60"/>
    </row>
    <row r="686" spans="5:5">
      <c r="E686" s="60"/>
    </row>
    <row r="687" spans="5:5">
      <c r="E687" s="60"/>
    </row>
    <row r="688" spans="5:5">
      <c r="E688" s="60"/>
    </row>
    <row r="689" spans="5:5">
      <c r="E689" s="60"/>
    </row>
    <row r="690" spans="5:5">
      <c r="E690" s="60"/>
    </row>
    <row r="691" spans="5:5">
      <c r="E691" s="60"/>
    </row>
    <row r="692" spans="5:5">
      <c r="E692" s="60"/>
    </row>
    <row r="693" spans="5:5">
      <c r="E693" s="60"/>
    </row>
    <row r="694" spans="5:5">
      <c r="E694" s="60"/>
    </row>
    <row r="695" spans="5:5">
      <c r="E695" s="60"/>
    </row>
    <row r="696" spans="5:5">
      <c r="E696" s="60"/>
    </row>
    <row r="697" spans="5:5">
      <c r="E697" s="60"/>
    </row>
    <row r="698" spans="5:5">
      <c r="E698" s="60"/>
    </row>
    <row r="699" spans="5:5">
      <c r="E699" s="60"/>
    </row>
    <row r="700" spans="5:5">
      <c r="E700" s="60"/>
    </row>
    <row r="701" spans="5:5">
      <c r="E701" s="60"/>
    </row>
    <row r="702" spans="5:5">
      <c r="E702" s="60"/>
    </row>
    <row r="703" spans="5:5">
      <c r="E703" s="60"/>
    </row>
    <row r="704" spans="5:5">
      <c r="E704" s="60"/>
    </row>
    <row r="705" spans="5:5">
      <c r="E705" s="60"/>
    </row>
    <row r="706" spans="5:5">
      <c r="E706" s="60"/>
    </row>
    <row r="707" spans="5:5">
      <c r="E707" s="60"/>
    </row>
    <row r="708" spans="5:5">
      <c r="E708" s="60"/>
    </row>
    <row r="709" spans="5:5">
      <c r="E709" s="60"/>
    </row>
    <row r="710" spans="5:5">
      <c r="E710" s="60"/>
    </row>
    <row r="711" spans="5:5">
      <c r="E711" s="60"/>
    </row>
    <row r="712" spans="5:5">
      <c r="E712" s="60"/>
    </row>
    <row r="713" spans="5:5">
      <c r="E713" s="60"/>
    </row>
    <row r="714" spans="5:5">
      <c r="E714" s="60"/>
    </row>
    <row r="715" spans="5:5">
      <c r="E715" s="60"/>
    </row>
    <row r="716" spans="5:5">
      <c r="E716" s="60"/>
    </row>
    <row r="717" spans="5:5">
      <c r="E717" s="60"/>
    </row>
    <row r="718" spans="5:5">
      <c r="E718" s="60"/>
    </row>
    <row r="719" spans="5:5">
      <c r="E719" s="60"/>
    </row>
    <row r="720" spans="5:5">
      <c r="E720" s="60"/>
    </row>
    <row r="721" spans="5:5">
      <c r="E721" s="60"/>
    </row>
    <row r="722" spans="5:5">
      <c r="E722" s="60"/>
    </row>
    <row r="723" spans="5:5">
      <c r="E723" s="60"/>
    </row>
    <row r="724" spans="5:5">
      <c r="E724" s="60"/>
    </row>
    <row r="725" spans="5:5">
      <c r="E725" s="60"/>
    </row>
    <row r="726" spans="5:5">
      <c r="E726" s="60"/>
    </row>
    <row r="727" spans="5:5">
      <c r="E727" s="60"/>
    </row>
    <row r="728" spans="5:5">
      <c r="E728" s="60"/>
    </row>
    <row r="729" spans="5:5">
      <c r="E729" s="60"/>
    </row>
    <row r="730" spans="5:5">
      <c r="E730" s="60"/>
    </row>
    <row r="731" spans="5:5">
      <c r="E731" s="60"/>
    </row>
    <row r="732" spans="5:5">
      <c r="E732" s="60"/>
    </row>
    <row r="733" spans="5:5">
      <c r="E733" s="60"/>
    </row>
    <row r="734" spans="5:5">
      <c r="E734" s="60"/>
    </row>
    <row r="735" spans="5:5">
      <c r="E735" s="60"/>
    </row>
    <row r="736" spans="5:5">
      <c r="E736" s="60"/>
    </row>
    <row r="737" spans="5:5">
      <c r="E737" s="60"/>
    </row>
    <row r="738" spans="5:5">
      <c r="E738" s="60"/>
    </row>
    <row r="739" spans="5:5">
      <c r="E739" s="60"/>
    </row>
    <row r="740" spans="5:5">
      <c r="E740" s="60"/>
    </row>
    <row r="741" spans="5:5">
      <c r="E741" s="60"/>
    </row>
    <row r="742" spans="5:5">
      <c r="E742" s="60"/>
    </row>
    <row r="743" spans="5:5">
      <c r="E743" s="60"/>
    </row>
    <row r="744" spans="5:5">
      <c r="E744" s="60"/>
    </row>
    <row r="745" spans="5:5">
      <c r="E745" s="60"/>
    </row>
    <row r="746" spans="5:5">
      <c r="E746" s="60"/>
    </row>
    <row r="747" spans="5:5">
      <c r="E747" s="60"/>
    </row>
    <row r="748" spans="5:5">
      <c r="E748" s="60"/>
    </row>
    <row r="749" spans="5:5">
      <c r="E749" s="60"/>
    </row>
    <row r="750" spans="5:5">
      <c r="E750" s="60"/>
    </row>
    <row r="751" spans="5:5">
      <c r="E751" s="60"/>
    </row>
    <row r="752" spans="5:5">
      <c r="E752" s="60"/>
    </row>
    <row r="753" spans="5:5">
      <c r="E753" s="60"/>
    </row>
    <row r="754" spans="5:5">
      <c r="E754" s="60"/>
    </row>
    <row r="755" spans="5:5">
      <c r="E755" s="60"/>
    </row>
    <row r="756" spans="5:5">
      <c r="E756" s="60"/>
    </row>
    <row r="757" spans="5:5">
      <c r="E757" s="60"/>
    </row>
    <row r="758" spans="5:5">
      <c r="E758" s="60"/>
    </row>
    <row r="759" spans="5:5">
      <c r="E759" s="60"/>
    </row>
    <row r="760" spans="5:5">
      <c r="E760" s="60"/>
    </row>
    <row r="761" spans="5:5">
      <c r="E761" s="60"/>
    </row>
    <row r="762" spans="5:5">
      <c r="E762" s="60"/>
    </row>
    <row r="763" spans="5:5">
      <c r="E763" s="60"/>
    </row>
    <row r="764" spans="5:5">
      <c r="E764" s="60"/>
    </row>
    <row r="765" spans="5:5">
      <c r="E765" s="60"/>
    </row>
    <row r="766" spans="5:5">
      <c r="E766" s="60"/>
    </row>
    <row r="767" spans="5:5">
      <c r="E767" s="60"/>
    </row>
    <row r="768" spans="5:5">
      <c r="E768" s="60"/>
    </row>
    <row r="769" spans="5:5">
      <c r="E769" s="60"/>
    </row>
    <row r="770" spans="5:5">
      <c r="E770" s="60"/>
    </row>
    <row r="771" spans="5:5">
      <c r="E771" s="60"/>
    </row>
    <row r="772" spans="5:5">
      <c r="E772" s="60"/>
    </row>
    <row r="773" spans="5:5">
      <c r="E773" s="60"/>
    </row>
    <row r="774" spans="5:5">
      <c r="E774" s="60"/>
    </row>
    <row r="775" spans="5:5">
      <c r="E775" s="60"/>
    </row>
    <row r="776" spans="5:5">
      <c r="E776" s="60"/>
    </row>
    <row r="777" spans="5:5">
      <c r="E777" s="60"/>
    </row>
    <row r="778" spans="5:5">
      <c r="E778" s="60"/>
    </row>
    <row r="779" spans="5:5">
      <c r="E779" s="60"/>
    </row>
    <row r="780" spans="5:5">
      <c r="E780" s="60"/>
    </row>
    <row r="781" spans="5:5">
      <c r="E781" s="60"/>
    </row>
    <row r="782" spans="5:5">
      <c r="E782" s="60"/>
    </row>
    <row r="783" spans="5:5">
      <c r="E783" s="60"/>
    </row>
    <row r="784" spans="5:5">
      <c r="E784" s="60"/>
    </row>
    <row r="785" spans="5:5">
      <c r="E785" s="60"/>
    </row>
    <row r="786" spans="5:5">
      <c r="E786" s="60"/>
    </row>
    <row r="787" spans="5:5">
      <c r="E787" s="60"/>
    </row>
    <row r="788" spans="5:5">
      <c r="E788" s="60"/>
    </row>
    <row r="789" spans="5:5">
      <c r="E789" s="60"/>
    </row>
    <row r="790" spans="5:5">
      <c r="E790" s="60"/>
    </row>
    <row r="791" spans="5:5">
      <c r="E791" s="60"/>
    </row>
    <row r="792" spans="5:5">
      <c r="E792" s="60"/>
    </row>
    <row r="793" spans="5:5">
      <c r="E793" s="60"/>
    </row>
    <row r="794" spans="5:5">
      <c r="E794" s="60"/>
    </row>
    <row r="795" spans="5:5">
      <c r="E795" s="60"/>
    </row>
    <row r="796" spans="5:5">
      <c r="E796" s="60"/>
    </row>
    <row r="797" spans="5:5">
      <c r="E797" s="60"/>
    </row>
    <row r="798" spans="5:5">
      <c r="E798" s="60"/>
    </row>
    <row r="799" spans="5:5">
      <c r="E799" s="60"/>
    </row>
    <row r="800" spans="5:5">
      <c r="E800" s="60"/>
    </row>
    <row r="801" spans="5:5">
      <c r="E801" s="60"/>
    </row>
    <row r="802" spans="5:5">
      <c r="E802" s="60"/>
    </row>
    <row r="803" spans="5:5">
      <c r="E803" s="60"/>
    </row>
    <row r="804" spans="5:5">
      <c r="E804" s="60"/>
    </row>
    <row r="805" spans="5:5">
      <c r="E805" s="60"/>
    </row>
    <row r="806" spans="5:5">
      <c r="E806" s="60"/>
    </row>
    <row r="807" spans="5:5">
      <c r="E807" s="60"/>
    </row>
    <row r="808" spans="5:5">
      <c r="E808" s="60"/>
    </row>
    <row r="809" spans="5:5">
      <c r="E809" s="60"/>
    </row>
    <row r="810" spans="5:5">
      <c r="E810" s="60"/>
    </row>
    <row r="811" spans="5:5">
      <c r="E811" s="60"/>
    </row>
    <row r="812" spans="5:5">
      <c r="E812" s="60"/>
    </row>
    <row r="813" spans="5:5">
      <c r="E813" s="60"/>
    </row>
    <row r="814" spans="5:5">
      <c r="E814" s="60"/>
    </row>
    <row r="815" spans="5:5">
      <c r="E815" s="60"/>
    </row>
    <row r="816" spans="5:5">
      <c r="E816" s="60"/>
    </row>
    <row r="817" spans="5:5">
      <c r="E817" s="60"/>
    </row>
    <row r="818" spans="5:5">
      <c r="E818" s="60"/>
    </row>
    <row r="819" spans="5:5">
      <c r="E819" s="60"/>
    </row>
    <row r="820" spans="5:5">
      <c r="E820" s="60"/>
    </row>
    <row r="821" spans="5:5">
      <c r="E821" s="60"/>
    </row>
    <row r="822" spans="5:5">
      <c r="E822" s="60"/>
    </row>
    <row r="823" spans="5:5">
      <c r="E823" s="60"/>
    </row>
    <row r="824" spans="5:5">
      <c r="E824" s="60"/>
    </row>
    <row r="825" spans="5:5">
      <c r="E825" s="60"/>
    </row>
    <row r="826" spans="5:5">
      <c r="E826" s="60"/>
    </row>
    <row r="827" spans="5:5">
      <c r="E827" s="60"/>
    </row>
    <row r="828" spans="5:5">
      <c r="E828" s="60"/>
    </row>
    <row r="829" spans="5:5">
      <c r="E829" s="60"/>
    </row>
    <row r="830" spans="5:5">
      <c r="E830" s="60"/>
    </row>
    <row r="831" spans="5:5">
      <c r="E831" s="60"/>
    </row>
    <row r="832" spans="5:5">
      <c r="E832" s="60"/>
    </row>
    <row r="833" spans="5:5">
      <c r="E833" s="60"/>
    </row>
    <row r="834" spans="5:5">
      <c r="E834" s="60"/>
    </row>
    <row r="835" spans="5:5">
      <c r="E835" s="60"/>
    </row>
    <row r="836" spans="5:5">
      <c r="E836" s="60"/>
    </row>
    <row r="837" spans="5:5">
      <c r="E837" s="60"/>
    </row>
    <row r="838" spans="5:5">
      <c r="E838" s="60"/>
    </row>
    <row r="839" spans="5:5">
      <c r="E839" s="60"/>
    </row>
    <row r="840" spans="5:5">
      <c r="E840" s="60"/>
    </row>
    <row r="841" spans="5:5">
      <c r="E841" s="60"/>
    </row>
    <row r="842" spans="5:5">
      <c r="E842" s="60"/>
    </row>
    <row r="843" spans="5:5">
      <c r="E843" s="60"/>
    </row>
    <row r="844" spans="5:5">
      <c r="E844" s="60"/>
    </row>
    <row r="845" spans="5:5">
      <c r="E845" s="60"/>
    </row>
    <row r="846" spans="5:5">
      <c r="E846" s="60"/>
    </row>
    <row r="847" spans="5:5">
      <c r="E847" s="60"/>
    </row>
    <row r="848" spans="5:5">
      <c r="E848" s="60"/>
    </row>
  </sheetData>
  <conditionalFormatting sqref="F299:M307">
    <cfRule type="expression" dxfId="2" priority="3">
      <formula>#REF!=0</formula>
    </cfRule>
  </conditionalFormatting>
  <conditionalFormatting sqref="H340:I340">
    <cfRule type="expression" dxfId="1" priority="2">
      <formula>#REF!=0</formula>
    </cfRule>
  </conditionalFormatting>
  <conditionalFormatting sqref="E341">
    <cfRule type="expression" dxfId="0" priority="1">
      <formula>#REF!=0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theme="9" tint="0.79998168889431442"/>
    <pageSetUpPr fitToPage="1"/>
  </sheetPr>
  <dimension ref="A1:AA72"/>
  <sheetViews>
    <sheetView zoomScaleNormal="100" workbookViewId="0"/>
  </sheetViews>
  <sheetFormatPr defaultRowHeight="15"/>
  <cols>
    <col min="1" max="1" width="9.140625" style="74"/>
    <col min="2" max="2" width="5" style="74" bestFit="1" customWidth="1"/>
    <col min="3" max="4" width="9.140625" style="74"/>
    <col min="5" max="7" width="3.28515625" style="74" customWidth="1"/>
    <col min="8" max="10" width="9.140625" style="74"/>
    <col min="11" max="12" width="10.140625" style="74" customWidth="1"/>
    <col min="13" max="13" width="2.7109375" style="74" customWidth="1"/>
    <col min="14" max="14" width="9.140625" style="74"/>
    <col min="15" max="15" width="9.140625" style="74" customWidth="1"/>
    <col min="16" max="16384" width="9.140625" style="74"/>
  </cols>
  <sheetData>
    <row r="1" spans="1:27" ht="26.25">
      <c r="A1" s="231" t="s">
        <v>269</v>
      </c>
    </row>
    <row r="2" spans="1:27" ht="15.75">
      <c r="H2" s="86"/>
      <c r="I2" s="86"/>
      <c r="N2" s="106" t="s">
        <v>200</v>
      </c>
      <c r="O2" s="74">
        <v>1.02</v>
      </c>
    </row>
    <row r="3" spans="1:27">
      <c r="N3" s="106" t="s">
        <v>248</v>
      </c>
      <c r="O3" s="13">
        <v>0.02</v>
      </c>
    </row>
    <row r="4" spans="1:27">
      <c r="A4" s="80"/>
      <c r="B4" s="80"/>
      <c r="C4" s="80"/>
      <c r="D4" s="80"/>
      <c r="E4" s="80"/>
      <c r="F4" s="80"/>
      <c r="G4" s="80"/>
      <c r="H4" s="215"/>
      <c r="I4" s="215"/>
      <c r="J4" s="80"/>
      <c r="K4" s="80"/>
      <c r="L4" s="80"/>
      <c r="M4" s="80"/>
      <c r="N4" s="216" t="s">
        <v>249</v>
      </c>
      <c r="O4" s="217">
        <f>(J40-O3*100)/3</f>
        <v>0.10724156992813356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>
      <c r="A6" s="80"/>
      <c r="B6" s="80"/>
      <c r="C6" s="80"/>
      <c r="D6" s="80"/>
      <c r="E6" s="80"/>
      <c r="F6" s="80"/>
      <c r="G6" s="80"/>
      <c r="H6" s="218"/>
      <c r="I6" s="218"/>
      <c r="J6" s="218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ht="78" customHeight="1">
      <c r="A7" s="80"/>
      <c r="B7" s="80"/>
      <c r="C7" s="80"/>
      <c r="D7" s="219" t="s">
        <v>247</v>
      </c>
      <c r="E7" s="220"/>
      <c r="F7" s="220"/>
      <c r="G7" s="220"/>
      <c r="H7" s="80"/>
      <c r="I7" s="80"/>
      <c r="J7" s="219" t="s">
        <v>427</v>
      </c>
      <c r="K7" s="219" t="s">
        <v>430</v>
      </c>
      <c r="L7" s="219" t="s">
        <v>429</v>
      </c>
      <c r="M7" s="219"/>
      <c r="N7" s="219" t="s">
        <v>242</v>
      </c>
      <c r="O7" s="219" t="s">
        <v>431</v>
      </c>
      <c r="P7" s="219" t="s">
        <v>432</v>
      </c>
      <c r="Q7" s="80"/>
      <c r="R7" s="198" t="s">
        <v>426</v>
      </c>
      <c r="S7" s="198"/>
      <c r="T7" s="198"/>
      <c r="U7" s="198"/>
      <c r="V7" s="198" t="s">
        <v>425</v>
      </c>
      <c r="W7" s="198"/>
      <c r="X7" s="80"/>
      <c r="Y7" s="80"/>
      <c r="Z7" s="80"/>
      <c r="AA7" s="80"/>
    </row>
    <row r="8" spans="1:27">
      <c r="A8" s="198"/>
      <c r="B8" s="221">
        <v>2007</v>
      </c>
      <c r="C8" s="222" t="s">
        <v>60</v>
      </c>
      <c r="D8" s="197">
        <f t="shared" ref="D8:D30" si="0">T11</f>
        <v>1010</v>
      </c>
      <c r="E8" s="197"/>
      <c r="F8" s="197"/>
      <c r="G8" s="197"/>
      <c r="H8" s="199">
        <v>39172</v>
      </c>
      <c r="I8" s="199"/>
      <c r="J8" s="200"/>
      <c r="K8" s="223">
        <f t="shared" ref="K8:K30" si="1">D8</f>
        <v>1010</v>
      </c>
      <c r="L8" s="223">
        <f t="shared" ref="L8:L22" si="2">K8*$O$2</f>
        <v>1030.2</v>
      </c>
      <c r="M8" s="223"/>
      <c r="N8" s="200"/>
      <c r="O8" s="200"/>
      <c r="P8" s="198"/>
      <c r="Q8" s="198"/>
      <c r="R8" s="198" t="s">
        <v>428</v>
      </c>
      <c r="S8" s="198"/>
      <c r="T8" s="198"/>
      <c r="U8" s="198"/>
      <c r="V8" s="198" t="s">
        <v>424</v>
      </c>
      <c r="W8" s="198"/>
      <c r="X8" s="80"/>
      <c r="Y8" s="80"/>
      <c r="Z8" s="80"/>
      <c r="AA8" s="80"/>
    </row>
    <row r="9" spans="1:27">
      <c r="A9" s="198"/>
      <c r="B9" s="221">
        <v>2007</v>
      </c>
      <c r="C9" s="222" t="s">
        <v>61</v>
      </c>
      <c r="D9" s="197">
        <f t="shared" si="0"/>
        <v>1020</v>
      </c>
      <c r="E9" s="197"/>
      <c r="F9" s="197"/>
      <c r="G9" s="197"/>
      <c r="H9" s="199">
        <v>39263</v>
      </c>
      <c r="I9" s="199"/>
      <c r="J9" s="200"/>
      <c r="K9" s="223">
        <f t="shared" si="1"/>
        <v>1020</v>
      </c>
      <c r="L9" s="223">
        <f t="shared" si="2"/>
        <v>1040.4000000000001</v>
      </c>
      <c r="M9" s="223"/>
      <c r="N9" s="200"/>
      <c r="O9" s="200"/>
      <c r="P9" s="198"/>
      <c r="Q9" s="198"/>
      <c r="R9" s="198"/>
      <c r="S9" s="198"/>
      <c r="T9" s="198"/>
      <c r="U9" s="198"/>
      <c r="V9" s="198" t="s">
        <v>423</v>
      </c>
      <c r="W9" s="198"/>
      <c r="X9" s="80"/>
      <c r="Y9" s="80"/>
      <c r="Z9" s="80"/>
      <c r="AA9" s="80"/>
    </row>
    <row r="10" spans="1:27">
      <c r="A10" s="198"/>
      <c r="B10" s="221">
        <v>2007</v>
      </c>
      <c r="C10" s="222" t="s">
        <v>62</v>
      </c>
      <c r="D10" s="197">
        <f t="shared" si="0"/>
        <v>1025</v>
      </c>
      <c r="E10" s="197"/>
      <c r="F10" s="197"/>
      <c r="G10" s="197"/>
      <c r="H10" s="199">
        <v>39355</v>
      </c>
      <c r="I10" s="199"/>
      <c r="J10" s="200"/>
      <c r="K10" s="223">
        <f t="shared" si="1"/>
        <v>1025</v>
      </c>
      <c r="L10" s="223">
        <f t="shared" si="2"/>
        <v>1045.5</v>
      </c>
      <c r="M10" s="223"/>
      <c r="N10" s="200"/>
      <c r="O10" s="200"/>
      <c r="P10" s="198"/>
      <c r="Q10" s="198"/>
      <c r="R10" s="198"/>
      <c r="S10" s="198"/>
      <c r="T10" s="198"/>
      <c r="U10" s="198"/>
      <c r="V10" s="198"/>
      <c r="W10" s="198"/>
      <c r="X10" s="80"/>
      <c r="Y10" s="80"/>
      <c r="Z10" s="80"/>
      <c r="AA10" s="80"/>
    </row>
    <row r="11" spans="1:27">
      <c r="A11" s="198"/>
      <c r="B11" s="221">
        <v>2007</v>
      </c>
      <c r="C11" s="222" t="s">
        <v>59</v>
      </c>
      <c r="D11" s="197">
        <f t="shared" si="0"/>
        <v>1037</v>
      </c>
      <c r="E11" s="197"/>
      <c r="F11" s="197"/>
      <c r="G11" s="197"/>
      <c r="H11" s="199">
        <v>39447</v>
      </c>
      <c r="I11" s="199"/>
      <c r="J11" s="200"/>
      <c r="K11" s="223">
        <f t="shared" si="1"/>
        <v>1037</v>
      </c>
      <c r="L11" s="223">
        <f t="shared" si="2"/>
        <v>1057.74</v>
      </c>
      <c r="M11" s="223"/>
      <c r="N11" s="200"/>
      <c r="O11" s="200"/>
      <c r="P11" s="198"/>
      <c r="Q11" s="198"/>
      <c r="R11" s="221">
        <v>2007</v>
      </c>
      <c r="S11" s="222" t="s">
        <v>60</v>
      </c>
      <c r="T11" s="223">
        <v>1010</v>
      </c>
      <c r="U11" s="198"/>
      <c r="V11" s="199">
        <v>41244</v>
      </c>
      <c r="W11" s="230">
        <v>1.899827288428324</v>
      </c>
      <c r="X11" s="80"/>
      <c r="Y11" s="80"/>
      <c r="Z11" s="80"/>
      <c r="AA11" s="80"/>
    </row>
    <row r="12" spans="1:27" ht="15" customHeight="1">
      <c r="A12" s="198"/>
      <c r="B12" s="221">
        <v>2008</v>
      </c>
      <c r="C12" s="222" t="s">
        <v>60</v>
      </c>
      <c r="D12" s="197">
        <f t="shared" si="0"/>
        <v>1044</v>
      </c>
      <c r="E12" s="197"/>
      <c r="F12" s="197"/>
      <c r="G12" s="197"/>
      <c r="H12" s="199">
        <v>39538</v>
      </c>
      <c r="I12" s="199"/>
      <c r="J12" s="201"/>
      <c r="K12" s="223">
        <f t="shared" si="1"/>
        <v>1044</v>
      </c>
      <c r="L12" s="223">
        <f t="shared" si="2"/>
        <v>1064.8800000000001</v>
      </c>
      <c r="M12" s="223"/>
      <c r="N12" s="224"/>
      <c r="O12" s="224"/>
      <c r="P12" s="198"/>
      <c r="Q12" s="198"/>
      <c r="R12" s="221">
        <v>2007</v>
      </c>
      <c r="S12" s="222" t="s">
        <v>61</v>
      </c>
      <c r="T12" s="223">
        <v>1020</v>
      </c>
      <c r="U12" s="198"/>
      <c r="V12" s="199">
        <v>41334</v>
      </c>
      <c r="W12" s="230">
        <v>1.8041237113401998</v>
      </c>
      <c r="X12" s="80"/>
      <c r="Y12" s="80"/>
      <c r="Z12" s="80"/>
      <c r="AA12" s="80"/>
    </row>
    <row r="13" spans="1:27" ht="15" customHeight="1">
      <c r="A13" s="198"/>
      <c r="B13" s="221">
        <v>2008</v>
      </c>
      <c r="C13" s="222" t="s">
        <v>61</v>
      </c>
      <c r="D13" s="197">
        <f t="shared" si="0"/>
        <v>1061</v>
      </c>
      <c r="E13" s="197"/>
      <c r="F13" s="197"/>
      <c r="G13" s="197"/>
      <c r="H13" s="199">
        <v>39629</v>
      </c>
      <c r="I13" s="199"/>
      <c r="J13" s="201"/>
      <c r="K13" s="223">
        <f t="shared" si="1"/>
        <v>1061</v>
      </c>
      <c r="L13" s="223">
        <f t="shared" si="2"/>
        <v>1082.22</v>
      </c>
      <c r="M13" s="223"/>
      <c r="N13" s="224"/>
      <c r="O13" s="224"/>
      <c r="P13" s="198"/>
      <c r="Q13" s="198"/>
      <c r="R13" s="221">
        <v>2007</v>
      </c>
      <c r="S13" s="222" t="s">
        <v>62</v>
      </c>
      <c r="T13" s="223">
        <v>1025</v>
      </c>
      <c r="U13" s="198"/>
      <c r="V13" s="199">
        <v>41426</v>
      </c>
      <c r="W13" s="230">
        <v>2.1404109589041154</v>
      </c>
      <c r="X13" s="80"/>
      <c r="Y13" s="80"/>
      <c r="Z13" s="80"/>
      <c r="AA13" s="80"/>
    </row>
    <row r="14" spans="1:27" ht="15" customHeight="1">
      <c r="A14" s="198"/>
      <c r="B14" s="221">
        <v>2008</v>
      </c>
      <c r="C14" s="222" t="s">
        <v>62</v>
      </c>
      <c r="D14" s="197">
        <f t="shared" si="0"/>
        <v>1077</v>
      </c>
      <c r="E14" s="197"/>
      <c r="F14" s="197"/>
      <c r="G14" s="197"/>
      <c r="H14" s="199">
        <v>39721</v>
      </c>
      <c r="I14" s="199"/>
      <c r="J14" s="201"/>
      <c r="K14" s="223">
        <f t="shared" si="1"/>
        <v>1077</v>
      </c>
      <c r="L14" s="223">
        <f t="shared" si="2"/>
        <v>1098.54</v>
      </c>
      <c r="M14" s="223"/>
      <c r="N14" s="224"/>
      <c r="O14" s="224"/>
      <c r="P14" s="198"/>
      <c r="Q14" s="198"/>
      <c r="R14" s="221">
        <v>2007</v>
      </c>
      <c r="S14" s="222" t="s">
        <v>59</v>
      </c>
      <c r="T14" s="223">
        <v>1037</v>
      </c>
      <c r="U14" s="198"/>
      <c r="V14" s="199">
        <v>41518</v>
      </c>
      <c r="W14" s="230">
        <v>2.0442930153321992</v>
      </c>
      <c r="X14" s="80"/>
      <c r="Y14" s="80"/>
      <c r="Z14" s="80"/>
      <c r="AA14" s="80"/>
    </row>
    <row r="15" spans="1:27" ht="15" customHeight="1">
      <c r="A15" s="198"/>
      <c r="B15" s="221">
        <v>2008</v>
      </c>
      <c r="C15" s="222" t="s">
        <v>59</v>
      </c>
      <c r="D15" s="197">
        <f t="shared" si="0"/>
        <v>1072</v>
      </c>
      <c r="E15" s="197"/>
      <c r="F15" s="197"/>
      <c r="G15" s="197"/>
      <c r="H15" s="199">
        <v>39813</v>
      </c>
      <c r="I15" s="199"/>
      <c r="J15" s="201"/>
      <c r="K15" s="223">
        <f t="shared" si="1"/>
        <v>1072</v>
      </c>
      <c r="L15" s="223">
        <f t="shared" si="2"/>
        <v>1093.44</v>
      </c>
      <c r="M15" s="223"/>
      <c r="N15" s="224"/>
      <c r="O15" s="224"/>
      <c r="P15" s="198"/>
      <c r="Q15" s="198"/>
      <c r="R15" s="221">
        <v>2008</v>
      </c>
      <c r="S15" s="222" t="s">
        <v>60</v>
      </c>
      <c r="T15" s="223">
        <v>1044</v>
      </c>
      <c r="U15" s="198"/>
      <c r="V15" s="199">
        <v>41609</v>
      </c>
      <c r="W15" s="230">
        <v>1.6949152542372836</v>
      </c>
      <c r="X15" s="80"/>
      <c r="Y15" s="80"/>
      <c r="Z15" s="80"/>
      <c r="AA15" s="80"/>
    </row>
    <row r="16" spans="1:27">
      <c r="A16" s="198"/>
      <c r="B16" s="221">
        <v>2009</v>
      </c>
      <c r="C16" s="222" t="s">
        <v>60</v>
      </c>
      <c r="D16" s="197">
        <f t="shared" si="0"/>
        <v>1075</v>
      </c>
      <c r="E16" s="197"/>
      <c r="F16" s="197"/>
      <c r="G16" s="197"/>
      <c r="H16" s="199">
        <v>39903</v>
      </c>
      <c r="I16" s="199"/>
      <c r="J16" s="201"/>
      <c r="K16" s="223">
        <f t="shared" si="1"/>
        <v>1075</v>
      </c>
      <c r="L16" s="223">
        <f t="shared" si="2"/>
        <v>1096.5</v>
      </c>
      <c r="M16" s="223"/>
      <c r="N16" s="198"/>
      <c r="O16" s="198"/>
      <c r="P16" s="198"/>
      <c r="Q16" s="198"/>
      <c r="R16" s="221">
        <v>2008</v>
      </c>
      <c r="S16" s="222" t="s">
        <v>61</v>
      </c>
      <c r="T16" s="223">
        <v>1061</v>
      </c>
      <c r="U16" s="198"/>
      <c r="V16" s="199">
        <v>41699</v>
      </c>
      <c r="W16" s="230">
        <v>1.7721518987341867</v>
      </c>
      <c r="X16" s="80"/>
      <c r="Y16" s="80"/>
      <c r="Z16" s="80"/>
      <c r="AA16" s="80"/>
    </row>
    <row r="17" spans="1:27">
      <c r="A17" s="198"/>
      <c r="B17" s="221">
        <v>2009</v>
      </c>
      <c r="C17" s="222" t="s">
        <v>61</v>
      </c>
      <c r="D17" s="197">
        <f t="shared" si="0"/>
        <v>1081</v>
      </c>
      <c r="E17" s="197"/>
      <c r="F17" s="197"/>
      <c r="G17" s="197"/>
      <c r="H17" s="199">
        <v>39994</v>
      </c>
      <c r="I17" s="199"/>
      <c r="J17" s="201"/>
      <c r="K17" s="223">
        <f t="shared" si="1"/>
        <v>1081</v>
      </c>
      <c r="L17" s="223">
        <f t="shared" si="2"/>
        <v>1102.6200000000001</v>
      </c>
      <c r="M17" s="223"/>
      <c r="N17" s="198"/>
      <c r="O17" s="198"/>
      <c r="P17" s="198"/>
      <c r="Q17" s="198"/>
      <c r="R17" s="221">
        <v>2008</v>
      </c>
      <c r="S17" s="222" t="s">
        <v>62</v>
      </c>
      <c r="T17" s="223">
        <v>1077</v>
      </c>
      <c r="U17" s="198"/>
      <c r="V17" s="199">
        <v>41791</v>
      </c>
      <c r="W17" s="230">
        <v>2.0117351215423351</v>
      </c>
      <c r="X17" s="80"/>
      <c r="Y17" s="80"/>
      <c r="Z17" s="80"/>
      <c r="AA17" s="80"/>
    </row>
    <row r="18" spans="1:27">
      <c r="A18" s="198"/>
      <c r="B18" s="221">
        <v>2009</v>
      </c>
      <c r="C18" s="222" t="s">
        <v>62</v>
      </c>
      <c r="D18" s="197">
        <f t="shared" si="0"/>
        <v>1095</v>
      </c>
      <c r="E18" s="197"/>
      <c r="F18" s="197"/>
      <c r="G18" s="197"/>
      <c r="H18" s="199">
        <v>40086</v>
      </c>
      <c r="I18" s="199"/>
      <c r="J18" s="201"/>
      <c r="K18" s="223">
        <f t="shared" si="1"/>
        <v>1095</v>
      </c>
      <c r="L18" s="223">
        <f t="shared" si="2"/>
        <v>1116.9000000000001</v>
      </c>
      <c r="M18" s="223"/>
      <c r="N18" s="198"/>
      <c r="O18" s="198"/>
      <c r="P18" s="198"/>
      <c r="Q18" s="198"/>
      <c r="R18" s="221">
        <v>2008</v>
      </c>
      <c r="S18" s="222" t="s">
        <v>59</v>
      </c>
      <c r="T18" s="223">
        <v>1072</v>
      </c>
      <c r="U18" s="198"/>
      <c r="V18" s="199">
        <v>41883</v>
      </c>
      <c r="W18" s="230">
        <v>2.1702838063438978</v>
      </c>
      <c r="X18" s="80"/>
      <c r="Y18" s="80"/>
      <c r="Z18" s="80"/>
      <c r="AA18" s="80"/>
    </row>
    <row r="19" spans="1:27">
      <c r="A19" s="198"/>
      <c r="B19" s="221">
        <v>2009</v>
      </c>
      <c r="C19" s="222" t="s">
        <v>59</v>
      </c>
      <c r="D19" s="197">
        <f t="shared" si="0"/>
        <v>1093</v>
      </c>
      <c r="E19" s="197"/>
      <c r="F19" s="197"/>
      <c r="G19" s="197"/>
      <c r="H19" s="199">
        <v>40178</v>
      </c>
      <c r="I19" s="199"/>
      <c r="J19" s="201"/>
      <c r="K19" s="223">
        <f t="shared" si="1"/>
        <v>1093</v>
      </c>
      <c r="L19" s="223">
        <f t="shared" si="2"/>
        <v>1114.8600000000001</v>
      </c>
      <c r="M19" s="223"/>
      <c r="N19" s="198"/>
      <c r="O19" s="198"/>
      <c r="P19" s="198"/>
      <c r="Q19" s="198"/>
      <c r="R19" s="221">
        <v>2009</v>
      </c>
      <c r="S19" s="222" t="s">
        <v>60</v>
      </c>
      <c r="T19" s="223">
        <v>1075</v>
      </c>
      <c r="U19" s="198"/>
      <c r="V19" s="199">
        <v>41974</v>
      </c>
      <c r="W19" s="230">
        <v>2.1666666666666723</v>
      </c>
      <c r="X19" s="80"/>
      <c r="Y19" s="80"/>
      <c r="Z19" s="80"/>
      <c r="AA19" s="80"/>
    </row>
    <row r="20" spans="1:27">
      <c r="A20" s="198"/>
      <c r="B20" s="221">
        <f t="shared" ref="B20:B29" si="3">B16+1</f>
        <v>2010</v>
      </c>
      <c r="C20" s="222" t="s">
        <v>60</v>
      </c>
      <c r="D20" s="197">
        <f t="shared" si="0"/>
        <v>1097</v>
      </c>
      <c r="E20" s="197"/>
      <c r="F20" s="197"/>
      <c r="G20" s="197"/>
      <c r="H20" s="199">
        <v>40268</v>
      </c>
      <c r="I20" s="199"/>
      <c r="J20" s="201"/>
      <c r="K20" s="223">
        <f t="shared" si="1"/>
        <v>1097</v>
      </c>
      <c r="L20" s="223">
        <f t="shared" si="2"/>
        <v>1118.94</v>
      </c>
      <c r="M20" s="223"/>
      <c r="N20" s="35">
        <f>L20/L16-1</f>
        <v>2.0465116279069884E-2</v>
      </c>
      <c r="O20" s="198"/>
      <c r="P20" s="198"/>
      <c r="Q20" s="198"/>
      <c r="R20" s="221">
        <v>2009</v>
      </c>
      <c r="S20" s="222" t="s">
        <v>61</v>
      </c>
      <c r="T20" s="223">
        <v>1081</v>
      </c>
      <c r="U20" s="198"/>
      <c r="V20" s="199">
        <v>42064</v>
      </c>
      <c r="W20" s="230">
        <v>2.3217247097844007</v>
      </c>
      <c r="X20" s="80"/>
      <c r="Y20" s="80"/>
      <c r="Z20" s="80"/>
      <c r="AA20" s="80"/>
    </row>
    <row r="21" spans="1:27">
      <c r="A21" s="198"/>
      <c r="B21" s="221">
        <f t="shared" si="3"/>
        <v>2010</v>
      </c>
      <c r="C21" s="222" t="s">
        <v>61</v>
      </c>
      <c r="D21" s="197">
        <f t="shared" si="0"/>
        <v>1099</v>
      </c>
      <c r="E21" s="197"/>
      <c r="F21" s="197"/>
      <c r="G21" s="197"/>
      <c r="H21" s="199">
        <v>40359</v>
      </c>
      <c r="I21" s="199"/>
      <c r="J21" s="201"/>
      <c r="K21" s="223">
        <f t="shared" si="1"/>
        <v>1099</v>
      </c>
      <c r="L21" s="223">
        <f t="shared" si="2"/>
        <v>1120.98</v>
      </c>
      <c r="M21" s="223"/>
      <c r="N21" s="35">
        <f t="shared" ref="N21:N55" si="4">L21/L17-1</f>
        <v>1.6651248843663202E-2</v>
      </c>
      <c r="O21" s="35">
        <f>SUM(L12:L15)/SUM(L8:L11)-1</f>
        <v>3.9589442815249232E-2</v>
      </c>
      <c r="P21" s="35">
        <f>SUM(K12:K15)/SUM(K8:K11)-1</f>
        <v>3.9589442815249232E-2</v>
      </c>
      <c r="Q21" s="198"/>
      <c r="R21" s="221">
        <v>2009</v>
      </c>
      <c r="S21" s="222" t="s">
        <v>62</v>
      </c>
      <c r="T21" s="223">
        <v>1095</v>
      </c>
      <c r="U21" s="198"/>
      <c r="V21" s="198"/>
      <c r="W21" s="198"/>
      <c r="X21" s="80"/>
      <c r="Y21" s="80"/>
      <c r="Z21" s="80"/>
      <c r="AA21" s="80"/>
    </row>
    <row r="22" spans="1:27" ht="15.75" thickBot="1">
      <c r="A22" s="198"/>
      <c r="B22" s="221">
        <f t="shared" si="3"/>
        <v>2010</v>
      </c>
      <c r="C22" s="222" t="s">
        <v>62</v>
      </c>
      <c r="D22" s="197">
        <f t="shared" si="0"/>
        <v>1111</v>
      </c>
      <c r="E22" s="197"/>
      <c r="F22" s="197"/>
      <c r="G22" s="197"/>
      <c r="H22" s="199">
        <v>40451</v>
      </c>
      <c r="I22" s="199"/>
      <c r="J22" s="201"/>
      <c r="K22" s="223">
        <f t="shared" si="1"/>
        <v>1111</v>
      </c>
      <c r="L22" s="225">
        <f t="shared" si="2"/>
        <v>1133.22</v>
      </c>
      <c r="M22" s="226"/>
      <c r="N22" s="35">
        <f t="shared" si="4"/>
        <v>1.4611872146118587E-2</v>
      </c>
      <c r="O22" s="35">
        <f t="shared" ref="O22:O55" si="5">SUM(L13:L16)/SUM(L9:L12)-1</f>
        <v>3.8536112457586036E-2</v>
      </c>
      <c r="P22" s="35">
        <f t="shared" ref="P22:P55" si="6">SUM(K13:K16)/SUM(K9:K12)-1</f>
        <v>3.8536112457586036E-2</v>
      </c>
      <c r="Q22" s="198"/>
      <c r="R22" s="221">
        <v>2009</v>
      </c>
      <c r="S22" s="222" t="s">
        <v>59</v>
      </c>
      <c r="T22" s="223">
        <v>1093</v>
      </c>
      <c r="U22" s="198"/>
      <c r="V22" s="198"/>
      <c r="W22" s="198"/>
      <c r="X22" s="80"/>
      <c r="Y22" s="80"/>
      <c r="Z22" s="80"/>
      <c r="AA22" s="80"/>
    </row>
    <row r="23" spans="1:27">
      <c r="A23" s="198"/>
      <c r="B23" s="221">
        <f t="shared" si="3"/>
        <v>2010</v>
      </c>
      <c r="C23" s="222" t="s">
        <v>59</v>
      </c>
      <c r="D23" s="197">
        <f t="shared" si="0"/>
        <v>1137</v>
      </c>
      <c r="E23" s="197"/>
      <c r="F23" s="197"/>
      <c r="G23" s="197"/>
      <c r="H23" s="199">
        <v>40543</v>
      </c>
      <c r="I23" s="199"/>
      <c r="J23" s="201"/>
      <c r="K23" s="223">
        <f t="shared" si="1"/>
        <v>1137</v>
      </c>
      <c r="L23" s="223">
        <f>K23</f>
        <v>1137</v>
      </c>
      <c r="M23" s="223"/>
      <c r="N23" s="35">
        <f t="shared" si="4"/>
        <v>1.9858995748345043E-2</v>
      </c>
      <c r="O23" s="35">
        <f t="shared" si="5"/>
        <v>3.3117350611951091E-2</v>
      </c>
      <c r="P23" s="35">
        <f t="shared" si="6"/>
        <v>3.3117350611951091E-2</v>
      </c>
      <c r="Q23" s="198"/>
      <c r="R23" s="221">
        <f t="shared" ref="R23:R33" si="7">R19+1</f>
        <v>2010</v>
      </c>
      <c r="S23" s="222" t="s">
        <v>60</v>
      </c>
      <c r="T23" s="223">
        <v>1097</v>
      </c>
      <c r="U23" s="198"/>
      <c r="V23" s="198"/>
      <c r="W23" s="198"/>
      <c r="X23" s="80"/>
      <c r="Y23" s="80"/>
      <c r="Z23" s="80"/>
      <c r="AA23" s="80"/>
    </row>
    <row r="24" spans="1:27">
      <c r="A24" s="198"/>
      <c r="B24" s="221">
        <f t="shared" si="3"/>
        <v>2011</v>
      </c>
      <c r="C24" s="222" t="s">
        <v>60</v>
      </c>
      <c r="D24" s="197">
        <f t="shared" si="0"/>
        <v>1146</v>
      </c>
      <c r="E24" s="197"/>
      <c r="F24" s="197"/>
      <c r="G24" s="197"/>
      <c r="H24" s="199">
        <v>40633</v>
      </c>
      <c r="I24" s="199"/>
      <c r="J24" s="201"/>
      <c r="K24" s="223">
        <f t="shared" si="1"/>
        <v>1146</v>
      </c>
      <c r="L24" s="223">
        <f t="shared" ref="L24:L55" si="8">K24</f>
        <v>1146</v>
      </c>
      <c r="M24" s="223"/>
      <c r="N24" s="35">
        <f t="shared" si="4"/>
        <v>2.4183602337926935E-2</v>
      </c>
      <c r="O24" s="35">
        <f t="shared" si="5"/>
        <v>2.4650391087935652E-2</v>
      </c>
      <c r="P24" s="35">
        <f t="shared" si="6"/>
        <v>2.465039108793543E-2</v>
      </c>
      <c r="Q24" s="198"/>
      <c r="R24" s="221">
        <f t="shared" si="7"/>
        <v>2010</v>
      </c>
      <c r="S24" s="222" t="s">
        <v>61</v>
      </c>
      <c r="T24" s="223">
        <v>1099</v>
      </c>
      <c r="U24" s="198"/>
      <c r="V24" s="198"/>
      <c r="W24" s="198"/>
      <c r="X24" s="80"/>
      <c r="Y24" s="80"/>
      <c r="Z24" s="80"/>
      <c r="AA24" s="80"/>
    </row>
    <row r="25" spans="1:27">
      <c r="A25" s="198"/>
      <c r="B25" s="221">
        <f t="shared" si="3"/>
        <v>2011</v>
      </c>
      <c r="C25" s="222" t="s">
        <v>61</v>
      </c>
      <c r="D25" s="197">
        <f t="shared" si="0"/>
        <v>1157</v>
      </c>
      <c r="E25" s="197"/>
      <c r="F25" s="197"/>
      <c r="G25" s="197"/>
      <c r="H25" s="199">
        <v>40724</v>
      </c>
      <c r="I25" s="199"/>
      <c r="J25" s="201"/>
      <c r="K25" s="223">
        <f t="shared" si="1"/>
        <v>1157</v>
      </c>
      <c r="L25" s="223">
        <f t="shared" si="8"/>
        <v>1157</v>
      </c>
      <c r="M25" s="223"/>
      <c r="N25" s="35">
        <f t="shared" si="4"/>
        <v>3.2132598262234913E-2</v>
      </c>
      <c r="O25" s="35">
        <f t="shared" si="5"/>
        <v>2.1156558533145242E-2</v>
      </c>
      <c r="P25" s="35">
        <f t="shared" si="6"/>
        <v>2.1156558533145242E-2</v>
      </c>
      <c r="Q25" s="198"/>
      <c r="R25" s="221">
        <f t="shared" si="7"/>
        <v>2010</v>
      </c>
      <c r="S25" s="222" t="s">
        <v>62</v>
      </c>
      <c r="T25" s="223">
        <v>1111</v>
      </c>
      <c r="U25" s="198"/>
      <c r="V25" s="198"/>
      <c r="W25" s="198"/>
      <c r="X25" s="80"/>
      <c r="Y25" s="80"/>
      <c r="Z25" s="80"/>
      <c r="AA25" s="80"/>
    </row>
    <row r="26" spans="1:27">
      <c r="A26" s="198"/>
      <c r="B26" s="221">
        <f t="shared" si="3"/>
        <v>2011</v>
      </c>
      <c r="C26" s="222" t="s">
        <v>62</v>
      </c>
      <c r="D26" s="197">
        <f t="shared" si="0"/>
        <v>1162</v>
      </c>
      <c r="E26" s="197"/>
      <c r="F26" s="197"/>
      <c r="G26" s="197"/>
      <c r="H26" s="199">
        <v>40816</v>
      </c>
      <c r="I26" s="199"/>
      <c r="J26" s="201"/>
      <c r="K26" s="223">
        <f t="shared" si="1"/>
        <v>1162</v>
      </c>
      <c r="L26" s="223">
        <f t="shared" si="8"/>
        <v>1162</v>
      </c>
      <c r="M26" s="223"/>
      <c r="N26" s="35">
        <f t="shared" si="4"/>
        <v>2.5396657312790172E-2</v>
      </c>
      <c r="O26" s="35">
        <f t="shared" si="5"/>
        <v>1.8903150525087398E-2</v>
      </c>
      <c r="P26" s="35">
        <f t="shared" si="6"/>
        <v>1.890315052508762E-2</v>
      </c>
      <c r="Q26" s="198"/>
      <c r="R26" s="221">
        <f t="shared" si="7"/>
        <v>2010</v>
      </c>
      <c r="S26" s="222" t="s">
        <v>59</v>
      </c>
      <c r="T26" s="223">
        <v>1137</v>
      </c>
      <c r="U26" s="198"/>
      <c r="V26" s="198"/>
      <c r="W26" s="198"/>
      <c r="X26" s="80"/>
      <c r="Y26" s="80"/>
      <c r="Z26" s="80"/>
      <c r="AA26" s="80"/>
    </row>
    <row r="27" spans="1:27">
      <c r="A27" s="198"/>
      <c r="B27" s="221">
        <f t="shared" si="3"/>
        <v>2011</v>
      </c>
      <c r="C27" s="222" t="s">
        <v>59</v>
      </c>
      <c r="D27" s="197">
        <f t="shared" si="0"/>
        <v>1158</v>
      </c>
      <c r="E27" s="197"/>
      <c r="F27" s="197"/>
      <c r="G27" s="197"/>
      <c r="H27" s="199">
        <v>40908</v>
      </c>
      <c r="I27" s="199"/>
      <c r="J27" s="201"/>
      <c r="K27" s="223">
        <f t="shared" si="1"/>
        <v>1158</v>
      </c>
      <c r="L27" s="223">
        <f t="shared" si="8"/>
        <v>1158</v>
      </c>
      <c r="M27" s="223"/>
      <c r="N27" s="35">
        <f t="shared" si="4"/>
        <v>1.846965699208436E-2</v>
      </c>
      <c r="O27" s="35">
        <f t="shared" si="5"/>
        <v>1.8350754936120817E-2</v>
      </c>
      <c r="P27" s="35">
        <f t="shared" si="6"/>
        <v>1.8350754936120817E-2</v>
      </c>
      <c r="Q27" s="198"/>
      <c r="R27" s="221">
        <f t="shared" si="7"/>
        <v>2011</v>
      </c>
      <c r="S27" s="222" t="s">
        <v>60</v>
      </c>
      <c r="T27" s="223">
        <v>1146</v>
      </c>
      <c r="U27" s="198"/>
      <c r="V27" s="198"/>
      <c r="W27" s="198"/>
      <c r="X27" s="80"/>
      <c r="Y27" s="80"/>
      <c r="Z27" s="80"/>
      <c r="AA27" s="80"/>
    </row>
    <row r="28" spans="1:27">
      <c r="A28" s="198"/>
      <c r="B28" s="221">
        <f t="shared" si="3"/>
        <v>2012</v>
      </c>
      <c r="C28" s="222" t="s">
        <v>60</v>
      </c>
      <c r="D28" s="197">
        <f t="shared" si="0"/>
        <v>1164</v>
      </c>
      <c r="E28" s="197"/>
      <c r="F28" s="197"/>
      <c r="G28" s="197"/>
      <c r="H28" s="199">
        <v>40999</v>
      </c>
      <c r="I28" s="199"/>
      <c r="J28" s="201"/>
      <c r="K28" s="223">
        <f t="shared" si="1"/>
        <v>1164</v>
      </c>
      <c r="L28" s="223">
        <f t="shared" si="8"/>
        <v>1164</v>
      </c>
      <c r="M28" s="223"/>
      <c r="N28" s="35">
        <f t="shared" si="4"/>
        <v>1.5706806282722585E-2</v>
      </c>
      <c r="O28" s="35">
        <f t="shared" si="5"/>
        <v>1.7811704834605369E-2</v>
      </c>
      <c r="P28" s="35">
        <f t="shared" si="6"/>
        <v>1.7811704834605591E-2</v>
      </c>
      <c r="Q28" s="198"/>
      <c r="R28" s="221">
        <f t="shared" si="7"/>
        <v>2011</v>
      </c>
      <c r="S28" s="222" t="s">
        <v>61</v>
      </c>
      <c r="T28" s="223">
        <v>1157</v>
      </c>
      <c r="U28" s="198"/>
      <c r="V28" s="198"/>
      <c r="W28" s="198"/>
      <c r="X28" s="80"/>
      <c r="Y28" s="80"/>
      <c r="Z28" s="80"/>
      <c r="AA28" s="80"/>
    </row>
    <row r="29" spans="1:27">
      <c r="A29" s="198"/>
      <c r="B29" s="221">
        <f t="shared" si="3"/>
        <v>2012</v>
      </c>
      <c r="C29" s="222" t="s">
        <v>61</v>
      </c>
      <c r="D29" s="197">
        <f t="shared" si="0"/>
        <v>1168</v>
      </c>
      <c r="E29" s="197"/>
      <c r="F29" s="197"/>
      <c r="G29" s="197"/>
      <c r="H29" s="199">
        <v>41090</v>
      </c>
      <c r="I29" s="199"/>
      <c r="J29" s="201"/>
      <c r="K29" s="226">
        <f t="shared" si="1"/>
        <v>1168</v>
      </c>
      <c r="L29" s="223">
        <f t="shared" si="8"/>
        <v>1168</v>
      </c>
      <c r="M29" s="223"/>
      <c r="N29" s="35">
        <f t="shared" si="4"/>
        <v>9.5073465859982775E-3</v>
      </c>
      <c r="O29" s="35">
        <f t="shared" si="5"/>
        <v>1.7888094464305171E-2</v>
      </c>
      <c r="P29" s="35">
        <f t="shared" si="6"/>
        <v>2.3020257826887658E-2</v>
      </c>
      <c r="Q29" s="198"/>
      <c r="R29" s="221">
        <f t="shared" si="7"/>
        <v>2011</v>
      </c>
      <c r="S29" s="222" t="s">
        <v>62</v>
      </c>
      <c r="T29" s="223">
        <v>1162</v>
      </c>
      <c r="U29" s="198"/>
      <c r="V29" s="198"/>
      <c r="W29" s="198"/>
      <c r="X29" s="80"/>
      <c r="Y29" s="80"/>
      <c r="Z29" s="80"/>
      <c r="AA29" s="80"/>
    </row>
    <row r="30" spans="1:27" ht="15.75" thickBot="1">
      <c r="A30" s="198"/>
      <c r="B30" s="221">
        <v>2012</v>
      </c>
      <c r="C30" s="222" t="s">
        <v>62</v>
      </c>
      <c r="D30" s="197">
        <f t="shared" si="0"/>
        <v>1171</v>
      </c>
      <c r="E30" s="197"/>
      <c r="F30" s="197"/>
      <c r="G30" s="197"/>
      <c r="H30" s="199">
        <v>41182</v>
      </c>
      <c r="I30" s="199"/>
      <c r="J30" s="201"/>
      <c r="K30" s="225">
        <f t="shared" si="1"/>
        <v>1171</v>
      </c>
      <c r="L30" s="223">
        <f t="shared" si="8"/>
        <v>1171</v>
      </c>
      <c r="M30" s="223"/>
      <c r="N30" s="35">
        <f t="shared" si="4"/>
        <v>7.7452667814112974E-3</v>
      </c>
      <c r="O30" s="35">
        <f t="shared" si="5"/>
        <v>1.8835385734687682E-2</v>
      </c>
      <c r="P30" s="35">
        <f t="shared" si="6"/>
        <v>2.9088410444342738E-2</v>
      </c>
      <c r="Q30" s="198"/>
      <c r="R30" s="221">
        <f t="shared" si="7"/>
        <v>2011</v>
      </c>
      <c r="S30" s="222" t="s">
        <v>59</v>
      </c>
      <c r="T30" s="223">
        <v>1158</v>
      </c>
      <c r="U30" s="198"/>
      <c r="V30" s="198"/>
      <c r="W30" s="198"/>
      <c r="X30" s="80"/>
      <c r="Y30" s="198"/>
      <c r="Z30" s="198"/>
      <c r="AA30" s="80"/>
    </row>
    <row r="31" spans="1:27">
      <c r="A31" s="198"/>
      <c r="B31" s="198"/>
      <c r="C31" s="198"/>
      <c r="D31" s="198"/>
      <c r="E31" s="198"/>
      <c r="F31" s="198"/>
      <c r="G31" s="198"/>
      <c r="H31" s="199">
        <v>41274</v>
      </c>
      <c r="I31" s="199"/>
      <c r="J31" s="202">
        <f t="shared" ref="J31:J40" si="9">W11</f>
        <v>1.899827288428324</v>
      </c>
      <c r="K31" s="223">
        <f t="shared" ref="K31:K55" si="10">K27*(1+J31/100)</f>
        <v>1180</v>
      </c>
      <c r="L31" s="223">
        <f t="shared" si="8"/>
        <v>1180</v>
      </c>
      <c r="M31" s="223"/>
      <c r="N31" s="35">
        <f t="shared" si="4"/>
        <v>1.899827288428324E-2</v>
      </c>
      <c r="O31" s="35">
        <f t="shared" si="5"/>
        <v>2.2707349363102924E-2</v>
      </c>
      <c r="P31" s="35">
        <f t="shared" si="6"/>
        <v>3.8093065693430628E-2</v>
      </c>
      <c r="Q31" s="198"/>
      <c r="R31" s="221">
        <f t="shared" si="7"/>
        <v>2012</v>
      </c>
      <c r="S31" s="222" t="s">
        <v>60</v>
      </c>
      <c r="T31" s="223">
        <v>1164</v>
      </c>
      <c r="U31" s="198"/>
      <c r="V31" s="198"/>
      <c r="W31" s="198"/>
      <c r="X31" s="80"/>
      <c r="Y31" s="198"/>
      <c r="Z31" s="198"/>
      <c r="AA31" s="80"/>
    </row>
    <row r="32" spans="1:27">
      <c r="A32" s="198"/>
      <c r="B32" s="221"/>
      <c r="C32" s="222"/>
      <c r="D32" s="198"/>
      <c r="E32" s="198"/>
      <c r="F32" s="198"/>
      <c r="G32" s="198"/>
      <c r="H32" s="199">
        <v>41364</v>
      </c>
      <c r="I32" s="199"/>
      <c r="J32" s="202">
        <f t="shared" si="9"/>
        <v>1.8041237113401998</v>
      </c>
      <c r="K32" s="223">
        <f t="shared" si="10"/>
        <v>1185</v>
      </c>
      <c r="L32" s="223">
        <f t="shared" si="8"/>
        <v>1185</v>
      </c>
      <c r="M32" s="223"/>
      <c r="N32" s="35">
        <f t="shared" si="4"/>
        <v>1.8041237113401998E-2</v>
      </c>
      <c r="O32" s="35">
        <f t="shared" si="5"/>
        <v>2.5401069518716568E-2</v>
      </c>
      <c r="P32" s="35">
        <f t="shared" si="6"/>
        <v>4.5909090909090899E-2</v>
      </c>
      <c r="Q32" s="198"/>
      <c r="R32" s="221">
        <f t="shared" si="7"/>
        <v>2012</v>
      </c>
      <c r="S32" s="193" t="s">
        <v>61</v>
      </c>
      <c r="T32" s="223">
        <v>1168</v>
      </c>
      <c r="U32" s="198"/>
      <c r="V32" s="198"/>
      <c r="W32" s="198"/>
      <c r="X32" s="80"/>
      <c r="Y32" s="198"/>
      <c r="Z32" s="198"/>
      <c r="AA32" s="80"/>
    </row>
    <row r="33" spans="1:27">
      <c r="A33" s="198"/>
      <c r="B33" s="221"/>
      <c r="C33" s="222"/>
      <c r="D33" s="198"/>
      <c r="E33" s="198"/>
      <c r="F33" s="198"/>
      <c r="G33" s="198"/>
      <c r="H33" s="199">
        <v>41455</v>
      </c>
      <c r="I33" s="199"/>
      <c r="J33" s="202">
        <f t="shared" si="9"/>
        <v>2.1404109589041154</v>
      </c>
      <c r="K33" s="223">
        <f t="shared" si="10"/>
        <v>1193</v>
      </c>
      <c r="L33" s="223">
        <f t="shared" si="8"/>
        <v>1193</v>
      </c>
      <c r="M33" s="223"/>
      <c r="N33" s="35">
        <f t="shared" si="4"/>
        <v>2.1404109589041154E-2</v>
      </c>
      <c r="O33" s="35">
        <f t="shared" si="5"/>
        <v>2.5023613457675342E-2</v>
      </c>
      <c r="P33" s="35">
        <f t="shared" si="6"/>
        <v>4.0279027902790254E-2</v>
      </c>
      <c r="Q33" s="198"/>
      <c r="R33" s="221">
        <f t="shared" si="7"/>
        <v>2012</v>
      </c>
      <c r="S33" s="222" t="s">
        <v>62</v>
      </c>
      <c r="T33" s="223">
        <v>1171</v>
      </c>
      <c r="U33" s="198"/>
      <c r="V33" s="198"/>
      <c r="W33" s="198"/>
      <c r="X33" s="80"/>
      <c r="Y33" s="198"/>
      <c r="Z33" s="198"/>
      <c r="AA33" s="80"/>
    </row>
    <row r="34" spans="1:27">
      <c r="A34" s="198"/>
      <c r="B34" s="221"/>
      <c r="C34" s="222"/>
      <c r="D34" s="198"/>
      <c r="E34" s="198"/>
      <c r="F34" s="198"/>
      <c r="G34" s="198"/>
      <c r="H34" s="199">
        <v>41547</v>
      </c>
      <c r="I34" s="199"/>
      <c r="J34" s="202">
        <f t="shared" si="9"/>
        <v>2.0442930153321992</v>
      </c>
      <c r="K34" s="223">
        <f t="shared" si="10"/>
        <v>1194.93867120954</v>
      </c>
      <c r="L34" s="223">
        <f t="shared" si="8"/>
        <v>1194.93867120954</v>
      </c>
      <c r="M34" s="223"/>
      <c r="N34" s="35">
        <f t="shared" si="4"/>
        <v>2.0442930153321992E-2</v>
      </c>
      <c r="O34" s="35">
        <f t="shared" si="5"/>
        <v>2.2877545622851159E-2</v>
      </c>
      <c r="P34" s="35">
        <f t="shared" si="6"/>
        <v>3.2940129089695125E-2</v>
      </c>
      <c r="Q34" s="198"/>
      <c r="R34" s="80"/>
      <c r="S34" s="198"/>
      <c r="T34" s="198"/>
      <c r="U34" s="198"/>
      <c r="V34" s="198"/>
      <c r="W34" s="198"/>
      <c r="X34" s="198"/>
      <c r="Y34" s="198"/>
      <c r="Z34" s="198"/>
      <c r="AA34" s="80"/>
    </row>
    <row r="35" spans="1:27">
      <c r="A35" s="198"/>
      <c r="B35" s="221"/>
      <c r="C35" s="222"/>
      <c r="D35" s="198"/>
      <c r="E35" s="198"/>
      <c r="F35" s="198"/>
      <c r="G35" s="198"/>
      <c r="H35" s="199">
        <v>41639</v>
      </c>
      <c r="I35" s="199"/>
      <c r="J35" s="202">
        <f t="shared" si="9"/>
        <v>1.6949152542372836</v>
      </c>
      <c r="K35" s="223">
        <f t="shared" si="10"/>
        <v>1200</v>
      </c>
      <c r="L35" s="223">
        <f t="shared" si="8"/>
        <v>1200</v>
      </c>
      <c r="M35" s="223"/>
      <c r="N35" s="35">
        <f t="shared" si="4"/>
        <v>1.6949152542372836E-2</v>
      </c>
      <c r="O35" s="35">
        <f t="shared" si="5"/>
        <v>1.7226374414526235E-2</v>
      </c>
      <c r="P35" s="35">
        <f t="shared" si="6"/>
        <v>2.2192924631948996E-2</v>
      </c>
      <c r="Q35" s="198"/>
      <c r="R35" s="80"/>
      <c r="S35" s="198"/>
      <c r="T35" s="198"/>
      <c r="U35" s="198"/>
      <c r="V35" s="198"/>
      <c r="W35" s="198"/>
      <c r="X35" s="198"/>
      <c r="Y35" s="198"/>
      <c r="Z35" s="198"/>
      <c r="AA35" s="80"/>
    </row>
    <row r="36" spans="1:27">
      <c r="A36" s="198"/>
      <c r="B36" s="221"/>
      <c r="C36" s="222"/>
      <c r="D36" s="198"/>
      <c r="E36" s="198"/>
      <c r="F36" s="198"/>
      <c r="G36" s="198"/>
      <c r="H36" s="199">
        <v>41729</v>
      </c>
      <c r="I36" s="199"/>
      <c r="J36" s="202">
        <f t="shared" si="9"/>
        <v>1.7721518987341867</v>
      </c>
      <c r="K36" s="223">
        <f t="shared" si="10"/>
        <v>1206</v>
      </c>
      <c r="L36" s="223">
        <f t="shared" si="8"/>
        <v>1206</v>
      </c>
      <c r="M36" s="223"/>
      <c r="N36" s="35">
        <f t="shared" si="4"/>
        <v>1.7721518987341867E-2</v>
      </c>
      <c r="O36" s="35">
        <f t="shared" si="5"/>
        <v>1.2820512820512775E-2</v>
      </c>
      <c r="P36" s="35">
        <f t="shared" si="6"/>
        <v>1.2820512820512775E-2</v>
      </c>
      <c r="Q36" s="198"/>
      <c r="R36" s="80"/>
      <c r="S36" s="198"/>
      <c r="T36" s="198"/>
      <c r="U36" s="198"/>
      <c r="V36" s="198"/>
      <c r="W36" s="198"/>
      <c r="X36" s="198"/>
      <c r="Y36" s="198"/>
      <c r="Z36" s="198"/>
      <c r="AA36" s="80"/>
    </row>
    <row r="37" spans="1:27">
      <c r="A37" s="198"/>
      <c r="B37" s="221"/>
      <c r="C37" s="222"/>
      <c r="D37" s="198"/>
      <c r="E37" s="198"/>
      <c r="F37" s="198"/>
      <c r="G37" s="198"/>
      <c r="H37" s="199">
        <v>41820</v>
      </c>
      <c r="I37" s="199"/>
      <c r="J37" s="202">
        <f t="shared" si="9"/>
        <v>2.0117351215423351</v>
      </c>
      <c r="K37" s="223">
        <f t="shared" si="10"/>
        <v>1217</v>
      </c>
      <c r="L37" s="223">
        <f t="shared" si="8"/>
        <v>1217</v>
      </c>
      <c r="M37" s="223"/>
      <c r="N37" s="35">
        <f t="shared" si="4"/>
        <v>2.0117351215423351E-2</v>
      </c>
      <c r="O37" s="35">
        <f t="shared" si="5"/>
        <v>1.29785853341986E-2</v>
      </c>
      <c r="P37" s="35">
        <f t="shared" si="6"/>
        <v>1.29785853341986E-2</v>
      </c>
      <c r="Q37" s="198"/>
      <c r="R37" s="80"/>
      <c r="S37" s="198"/>
      <c r="T37" s="198"/>
      <c r="U37" s="198"/>
      <c r="V37" s="198"/>
      <c r="W37" s="198"/>
      <c r="X37" s="198"/>
      <c r="Y37" s="198"/>
      <c r="Z37" s="198"/>
      <c r="AA37" s="80"/>
    </row>
    <row r="38" spans="1:27">
      <c r="A38" s="198"/>
      <c r="B38" s="221"/>
      <c r="C38" s="222"/>
      <c r="D38" s="198"/>
      <c r="E38" s="198"/>
      <c r="F38" s="198"/>
      <c r="G38" s="198"/>
      <c r="H38" s="199">
        <v>41912</v>
      </c>
      <c r="I38" s="199"/>
      <c r="J38" s="202">
        <f t="shared" si="9"/>
        <v>2.1702838063438978</v>
      </c>
      <c r="K38" s="223">
        <f t="shared" si="10"/>
        <v>1220.8722316865415</v>
      </c>
      <c r="L38" s="223">
        <f t="shared" si="8"/>
        <v>1220.8722316865415</v>
      </c>
      <c r="M38" s="223"/>
      <c r="N38" s="35">
        <f t="shared" si="4"/>
        <v>2.1702838063438978E-2</v>
      </c>
      <c r="O38" s="35">
        <f t="shared" si="5"/>
        <v>1.3574660633484115E-2</v>
      </c>
      <c r="P38" s="35">
        <f t="shared" si="6"/>
        <v>1.3574660633484115E-2</v>
      </c>
      <c r="Q38" s="198"/>
      <c r="R38" s="80"/>
      <c r="S38" s="198"/>
      <c r="T38" s="198"/>
      <c r="U38" s="198"/>
      <c r="V38" s="198"/>
      <c r="W38" s="198"/>
      <c r="X38" s="198"/>
      <c r="Y38" s="198"/>
      <c r="Z38" s="198"/>
      <c r="AA38" s="80"/>
    </row>
    <row r="39" spans="1:27">
      <c r="A39" s="198"/>
      <c r="B39" s="221"/>
      <c r="C39" s="222"/>
      <c r="D39" s="198"/>
      <c r="E39" s="198"/>
      <c r="F39" s="198"/>
      <c r="G39" s="198"/>
      <c r="H39" s="199">
        <v>42004</v>
      </c>
      <c r="I39" s="199"/>
      <c r="J39" s="202">
        <f t="shared" si="9"/>
        <v>2.1666666666666723</v>
      </c>
      <c r="K39" s="223">
        <f t="shared" si="10"/>
        <v>1226</v>
      </c>
      <c r="L39" s="223">
        <f t="shared" si="8"/>
        <v>1226</v>
      </c>
      <c r="M39" s="223"/>
      <c r="N39" s="35">
        <f t="shared" si="4"/>
        <v>2.1666666666666723E-2</v>
      </c>
      <c r="O39" s="35">
        <f t="shared" si="5"/>
        <v>1.6552020636285469E-2</v>
      </c>
      <c r="P39" s="35">
        <f t="shared" si="6"/>
        <v>1.6552020636285469E-2</v>
      </c>
      <c r="Q39" s="198"/>
      <c r="R39" s="80"/>
      <c r="S39" s="198"/>
      <c r="T39" s="198"/>
      <c r="U39" s="198"/>
      <c r="V39" s="198"/>
      <c r="W39" s="198"/>
      <c r="X39" s="198"/>
      <c r="Y39" s="198"/>
      <c r="Z39" s="198"/>
      <c r="AA39" s="80"/>
    </row>
    <row r="40" spans="1:27">
      <c r="A40" s="198"/>
      <c r="B40" s="221"/>
      <c r="C40" s="222"/>
      <c r="D40" s="198"/>
      <c r="E40" s="198"/>
      <c r="F40" s="198"/>
      <c r="G40" s="198"/>
      <c r="H40" s="199">
        <v>42094</v>
      </c>
      <c r="I40" s="199"/>
      <c r="J40" s="206">
        <f t="shared" si="9"/>
        <v>2.3217247097844007</v>
      </c>
      <c r="K40" s="223">
        <f t="shared" si="10"/>
        <v>1233.9999999999998</v>
      </c>
      <c r="L40" s="223">
        <f t="shared" si="8"/>
        <v>1233.9999999999998</v>
      </c>
      <c r="M40" s="223"/>
      <c r="N40" s="35">
        <f t="shared" si="4"/>
        <v>2.3217247097844007E-2</v>
      </c>
      <c r="O40" s="35">
        <f t="shared" si="5"/>
        <v>1.9725095732576747E-2</v>
      </c>
      <c r="P40" s="35">
        <f t="shared" si="6"/>
        <v>1.9725095732576747E-2</v>
      </c>
      <c r="Q40" s="198"/>
      <c r="R40" s="80"/>
      <c r="S40" s="198"/>
      <c r="T40" s="198"/>
      <c r="U40" s="198"/>
      <c r="V40" s="198"/>
      <c r="W40" s="198"/>
      <c r="X40" s="198"/>
      <c r="Y40" s="198"/>
      <c r="Z40" s="198"/>
      <c r="AA40" s="80"/>
    </row>
    <row r="41" spans="1:27">
      <c r="A41" s="15"/>
      <c r="B41" s="191"/>
      <c r="C41" s="193"/>
      <c r="D41" s="15"/>
      <c r="E41" s="15"/>
      <c r="F41" s="15"/>
      <c r="G41" s="15"/>
      <c r="H41" s="108">
        <v>42185</v>
      </c>
      <c r="I41" s="199"/>
      <c r="J41" s="203">
        <f>J40-O4</f>
        <v>2.214483139856267</v>
      </c>
      <c r="K41" s="107">
        <f t="shared" si="10"/>
        <v>1243.9502598120507</v>
      </c>
      <c r="L41" s="223">
        <f t="shared" si="8"/>
        <v>1243.9502598120507</v>
      </c>
      <c r="M41" s="223"/>
      <c r="N41" s="35">
        <f t="shared" si="4"/>
        <v>2.2144831398562603E-2</v>
      </c>
      <c r="O41" s="35">
        <f t="shared" si="5"/>
        <v>1.9205353664219604E-2</v>
      </c>
      <c r="P41" s="35">
        <f t="shared" si="6"/>
        <v>1.9205353664219604E-2</v>
      </c>
      <c r="Q41" s="198"/>
      <c r="R41" s="80"/>
      <c r="S41" s="198"/>
      <c r="T41" s="198"/>
      <c r="U41" s="198"/>
      <c r="V41" s="198"/>
      <c r="W41" s="15"/>
      <c r="X41" s="15"/>
      <c r="Y41" s="15"/>
      <c r="Z41" s="15"/>
    </row>
    <row r="42" spans="1:27">
      <c r="A42" s="15"/>
      <c r="B42" s="191"/>
      <c r="C42" s="192"/>
      <c r="D42" s="15"/>
      <c r="E42" s="15"/>
      <c r="F42" s="15"/>
      <c r="G42" s="15"/>
      <c r="H42" s="108">
        <v>42277</v>
      </c>
      <c r="I42" s="199"/>
      <c r="J42" s="135">
        <f>$J$41</f>
        <v>2.214483139856267</v>
      </c>
      <c r="K42" s="107">
        <f t="shared" si="10"/>
        <v>1247.9082414164268</v>
      </c>
      <c r="L42" s="223">
        <f t="shared" si="8"/>
        <v>1247.9082414164268</v>
      </c>
      <c r="M42" s="223"/>
      <c r="N42" s="35">
        <f t="shared" si="4"/>
        <v>2.2144831398562603E-2</v>
      </c>
      <c r="O42" s="35">
        <f t="shared" si="5"/>
        <v>1.9119615478218499E-2</v>
      </c>
      <c r="P42" s="35">
        <f t="shared" si="6"/>
        <v>1.9119615478218499E-2</v>
      </c>
      <c r="Q42" s="198"/>
      <c r="R42" s="80"/>
      <c r="S42" s="198"/>
      <c r="T42" s="198"/>
      <c r="U42" s="198"/>
      <c r="V42" s="198"/>
      <c r="W42" s="15"/>
      <c r="X42" s="15"/>
      <c r="Y42" s="15"/>
      <c r="Z42" s="15"/>
    </row>
    <row r="43" spans="1:27">
      <c r="A43" s="15"/>
      <c r="B43" s="191"/>
      <c r="C43" s="192"/>
      <c r="D43" s="15"/>
      <c r="E43" s="15"/>
      <c r="F43" s="15"/>
      <c r="G43" s="15"/>
      <c r="H43" s="108">
        <v>42369</v>
      </c>
      <c r="I43" s="199"/>
      <c r="J43" s="135">
        <f>$J$41</f>
        <v>2.214483139856267</v>
      </c>
      <c r="K43" s="107">
        <f t="shared" si="10"/>
        <v>1253.1495632946378</v>
      </c>
      <c r="L43" s="223">
        <f t="shared" si="8"/>
        <v>1253.1495632946378</v>
      </c>
      <c r="M43" s="223"/>
      <c r="N43" s="35">
        <f t="shared" si="4"/>
        <v>2.2144831398562603E-2</v>
      </c>
      <c r="O43" s="35">
        <f t="shared" si="5"/>
        <v>1.8807077862030175E-2</v>
      </c>
      <c r="P43" s="35">
        <f t="shared" si="6"/>
        <v>1.8807077862030175E-2</v>
      </c>
      <c r="Q43" s="198"/>
      <c r="R43" s="80"/>
      <c r="S43" s="198"/>
      <c r="T43" s="198"/>
      <c r="U43" s="198"/>
      <c r="V43" s="198"/>
      <c r="W43" s="15"/>
      <c r="X43" s="15"/>
      <c r="Y43" s="15"/>
      <c r="Z43" s="15"/>
    </row>
    <row r="44" spans="1:27">
      <c r="A44" s="15"/>
      <c r="B44" s="191"/>
      <c r="C44" s="192"/>
      <c r="D44" s="15"/>
      <c r="E44" s="15"/>
      <c r="F44" s="15"/>
      <c r="G44" s="15"/>
      <c r="H44" s="108">
        <v>42460</v>
      </c>
      <c r="I44" s="199"/>
      <c r="J44" s="203">
        <f>$J$41</f>
        <v>2.214483139856267</v>
      </c>
      <c r="K44" s="107">
        <f t="shared" si="10"/>
        <v>1261.326721945826</v>
      </c>
      <c r="L44" s="223">
        <f t="shared" si="8"/>
        <v>1261.326721945826</v>
      </c>
      <c r="M44" s="223"/>
      <c r="N44" s="35">
        <f t="shared" si="4"/>
        <v>2.2144831398562603E-2</v>
      </c>
      <c r="O44" s="35">
        <f t="shared" si="5"/>
        <v>1.9132071075905532E-2</v>
      </c>
      <c r="P44" s="35">
        <f t="shared" si="6"/>
        <v>1.9132071075905532E-2</v>
      </c>
      <c r="Q44" s="198"/>
      <c r="R44" s="198"/>
      <c r="S44" s="198"/>
      <c r="T44" s="198"/>
      <c r="U44" s="198"/>
      <c r="V44" s="198"/>
      <c r="W44" s="15"/>
      <c r="X44" s="15"/>
      <c r="Y44" s="15"/>
      <c r="Z44" s="15"/>
    </row>
    <row r="45" spans="1:27">
      <c r="A45" s="15"/>
      <c r="B45" s="191"/>
      <c r="C45" s="192"/>
      <c r="D45" s="15"/>
      <c r="E45" s="15"/>
      <c r="F45" s="15"/>
      <c r="G45" s="15"/>
      <c r="H45" s="108">
        <v>42551</v>
      </c>
      <c r="I45" s="199"/>
      <c r="J45" s="204">
        <f>J41-O4</f>
        <v>2.1072415699281333</v>
      </c>
      <c r="K45" s="107">
        <f t="shared" si="10"/>
        <v>1270.1632967960393</v>
      </c>
      <c r="L45" s="223">
        <f t="shared" si="8"/>
        <v>1270.1632967960393</v>
      </c>
      <c r="M45" s="223"/>
      <c r="N45" s="35">
        <f t="shared" si="4"/>
        <v>2.1072415699281422E-2</v>
      </c>
      <c r="O45" s="35">
        <f t="shared" si="5"/>
        <v>2.0308989315472648E-2</v>
      </c>
      <c r="P45" s="35">
        <f t="shared" si="6"/>
        <v>2.0308989315472648E-2</v>
      </c>
      <c r="Q45" s="198"/>
      <c r="R45" s="198"/>
      <c r="S45" s="198"/>
      <c r="T45" s="198"/>
      <c r="U45" s="198"/>
      <c r="V45" s="198"/>
      <c r="W45" s="15"/>
      <c r="X45" s="15"/>
      <c r="Y45" s="15"/>
      <c r="Z45" s="15"/>
    </row>
    <row r="46" spans="1:27">
      <c r="A46" s="15"/>
      <c r="B46" s="191"/>
      <c r="C46" s="192"/>
      <c r="D46" s="15"/>
      <c r="E46" s="15"/>
      <c r="F46" s="15"/>
      <c r="G46" s="15"/>
      <c r="H46" s="108">
        <v>42643</v>
      </c>
      <c r="I46" s="199"/>
      <c r="J46" s="136">
        <f>$J$45</f>
        <v>2.1072415699281333</v>
      </c>
      <c r="K46" s="107">
        <f t="shared" si="10"/>
        <v>1274.2046826341129</v>
      </c>
      <c r="L46" s="223">
        <f t="shared" si="8"/>
        <v>1274.2046826341129</v>
      </c>
      <c r="M46" s="223"/>
      <c r="N46" s="35">
        <f t="shared" si="4"/>
        <v>2.1072415699281422E-2</v>
      </c>
      <c r="O46" s="35">
        <f t="shared" si="5"/>
        <v>2.1680202356610057E-2</v>
      </c>
      <c r="P46" s="35">
        <f t="shared" si="6"/>
        <v>2.1680202356610057E-2</v>
      </c>
      <c r="Q46" s="198"/>
      <c r="R46" s="198"/>
      <c r="S46" s="198"/>
      <c r="T46" s="198"/>
      <c r="U46" s="198"/>
      <c r="V46" s="198"/>
      <c r="W46" s="15"/>
      <c r="X46" s="15"/>
      <c r="Y46" s="15"/>
      <c r="Z46" s="15"/>
    </row>
    <row r="47" spans="1:27">
      <c r="A47" s="15"/>
      <c r="B47" s="191"/>
      <c r="C47" s="192"/>
      <c r="D47" s="15"/>
      <c r="E47" s="15"/>
      <c r="F47" s="15"/>
      <c r="G47" s="15"/>
      <c r="H47" s="108">
        <v>42735</v>
      </c>
      <c r="I47" s="199"/>
      <c r="J47" s="136">
        <f>$J$45</f>
        <v>2.1072415699281333</v>
      </c>
      <c r="K47" s="107">
        <f t="shared" si="10"/>
        <v>1279.5564518257554</v>
      </c>
      <c r="L47" s="223">
        <f t="shared" si="8"/>
        <v>1279.5564518257554</v>
      </c>
      <c r="M47" s="223"/>
      <c r="N47" s="35">
        <f t="shared" si="4"/>
        <v>2.1072415699281422E-2</v>
      </c>
      <c r="O47" s="35">
        <f t="shared" si="5"/>
        <v>2.2184553931280826E-2</v>
      </c>
      <c r="P47" s="35">
        <f t="shared" si="6"/>
        <v>2.2184553931280826E-2</v>
      </c>
      <c r="Q47" s="198"/>
      <c r="R47" s="198"/>
      <c r="S47" s="198"/>
      <c r="T47" s="198"/>
      <c r="U47" s="198"/>
      <c r="V47" s="198"/>
      <c r="W47" s="15"/>
      <c r="X47" s="15"/>
      <c r="Y47" s="15"/>
      <c r="Z47" s="15"/>
    </row>
    <row r="48" spans="1:27">
      <c r="A48" s="15"/>
      <c r="B48" s="191"/>
      <c r="C48" s="192"/>
      <c r="D48" s="15"/>
      <c r="E48" s="15"/>
      <c r="F48" s="15"/>
      <c r="G48" s="15"/>
      <c r="H48" s="108">
        <v>42825</v>
      </c>
      <c r="I48" s="199"/>
      <c r="J48" s="204">
        <f>$J$45</f>
        <v>2.1072415699281333</v>
      </c>
      <c r="K48" s="107">
        <f t="shared" si="10"/>
        <v>1287.9059229632803</v>
      </c>
      <c r="L48" s="223">
        <f t="shared" si="8"/>
        <v>1287.9059229632803</v>
      </c>
      <c r="M48" s="223"/>
      <c r="N48" s="35">
        <f t="shared" si="4"/>
        <v>2.1072415699281422E-2</v>
      </c>
      <c r="O48" s="35">
        <f t="shared" si="5"/>
        <v>2.2293376946554533E-2</v>
      </c>
      <c r="P48" s="35">
        <f t="shared" si="6"/>
        <v>2.2293376946554533E-2</v>
      </c>
      <c r="Q48" s="198"/>
      <c r="R48" s="198"/>
      <c r="S48" s="198"/>
      <c r="T48" s="198"/>
      <c r="U48" s="198"/>
      <c r="V48" s="198"/>
      <c r="W48" s="15"/>
      <c r="X48" s="15"/>
      <c r="Y48" s="15"/>
      <c r="Z48" s="15"/>
    </row>
    <row r="49" spans="1:26">
      <c r="A49" s="15"/>
      <c r="B49" s="191"/>
      <c r="C49" s="192"/>
      <c r="D49" s="15"/>
      <c r="E49" s="15"/>
      <c r="F49" s="15"/>
      <c r="G49" s="15"/>
      <c r="H49" s="108">
        <v>42916</v>
      </c>
      <c r="I49" s="199"/>
      <c r="J49" s="205">
        <f>J45-O4</f>
        <v>1.9999999999999998</v>
      </c>
      <c r="K49" s="107">
        <f t="shared" si="10"/>
        <v>1295.5665627319602</v>
      </c>
      <c r="L49" s="223">
        <f t="shared" si="8"/>
        <v>1295.5665627319602</v>
      </c>
      <c r="M49" s="223"/>
      <c r="N49" s="35">
        <f t="shared" si="4"/>
        <v>2.0000000000000018E-2</v>
      </c>
      <c r="O49" s="35">
        <f t="shared" si="5"/>
        <v>2.2410409892577032E-2</v>
      </c>
      <c r="P49" s="35">
        <f t="shared" si="6"/>
        <v>2.2410409892577032E-2</v>
      </c>
      <c r="Q49" s="198"/>
      <c r="R49" s="198"/>
      <c r="S49" s="198"/>
      <c r="T49" s="198"/>
      <c r="U49" s="198"/>
      <c r="V49" s="198"/>
      <c r="W49" s="15"/>
      <c r="X49" s="15"/>
      <c r="Y49" s="15"/>
      <c r="Z49" s="15"/>
    </row>
    <row r="50" spans="1:26">
      <c r="A50" s="15"/>
      <c r="B50" s="191"/>
      <c r="C50" s="192"/>
      <c r="D50" s="15"/>
      <c r="E50" s="15"/>
      <c r="F50" s="15"/>
      <c r="G50" s="15"/>
      <c r="H50" s="108">
        <v>43008</v>
      </c>
      <c r="I50" s="199"/>
      <c r="J50" s="137">
        <f t="shared" ref="J50:J55" si="11">$J$49</f>
        <v>1.9999999999999998</v>
      </c>
      <c r="K50" s="107">
        <f t="shared" si="10"/>
        <v>1299.6887762867952</v>
      </c>
      <c r="L50" s="223">
        <f t="shared" si="8"/>
        <v>1299.6887762867952</v>
      </c>
      <c r="M50" s="223"/>
      <c r="N50" s="35">
        <f t="shared" si="4"/>
        <v>2.0000000000000018E-2</v>
      </c>
      <c r="O50" s="35">
        <f t="shared" si="5"/>
        <v>2.2144831398562603E-2</v>
      </c>
      <c r="P50" s="35">
        <f t="shared" si="6"/>
        <v>2.2144831398562603E-2</v>
      </c>
      <c r="Q50" s="198"/>
      <c r="R50" s="198"/>
      <c r="S50" s="198"/>
      <c r="T50" s="198"/>
      <c r="U50" s="198"/>
      <c r="V50" s="198"/>
      <c r="W50" s="15"/>
      <c r="X50" s="15"/>
      <c r="Y50" s="15"/>
      <c r="Z50" s="15"/>
    </row>
    <row r="51" spans="1:26">
      <c r="A51" s="15"/>
      <c r="B51" s="191"/>
      <c r="C51" s="192"/>
      <c r="D51" s="15"/>
      <c r="E51" s="15"/>
      <c r="F51" s="15"/>
      <c r="G51" s="15"/>
      <c r="H51" s="108">
        <v>43100</v>
      </c>
      <c r="I51" s="199"/>
      <c r="J51" s="137">
        <f t="shared" si="11"/>
        <v>1.9999999999999998</v>
      </c>
      <c r="K51" s="107">
        <f t="shared" si="10"/>
        <v>1305.1475808622706</v>
      </c>
      <c r="L51" s="223">
        <f t="shared" si="8"/>
        <v>1305.1475808622706</v>
      </c>
      <c r="M51" s="223"/>
      <c r="N51" s="35">
        <f t="shared" si="4"/>
        <v>2.0000000000000018E-2</v>
      </c>
      <c r="O51" s="35">
        <f t="shared" si="5"/>
        <v>2.1873952236917571E-2</v>
      </c>
      <c r="P51" s="35">
        <f t="shared" si="6"/>
        <v>2.1873952236917571E-2</v>
      </c>
      <c r="Q51" s="198"/>
      <c r="R51" s="198"/>
      <c r="S51" s="198"/>
      <c r="T51" s="198"/>
      <c r="U51" s="198"/>
      <c r="V51" s="198"/>
      <c r="W51" s="15"/>
      <c r="X51" s="15"/>
      <c r="Y51" s="15"/>
      <c r="Z51" s="15"/>
    </row>
    <row r="52" spans="1:26">
      <c r="A52" s="15"/>
      <c r="B52" s="191"/>
      <c r="C52" s="192"/>
      <c r="D52" s="15"/>
      <c r="E52" s="15"/>
      <c r="F52" s="15"/>
      <c r="G52" s="15"/>
      <c r="H52" s="108">
        <v>43190</v>
      </c>
      <c r="I52" s="199"/>
      <c r="J52" s="137">
        <f t="shared" si="11"/>
        <v>1.9999999999999998</v>
      </c>
      <c r="K52" s="107">
        <f t="shared" si="10"/>
        <v>1313.664041422546</v>
      </c>
      <c r="L52" s="223">
        <f t="shared" si="8"/>
        <v>1313.664041422546</v>
      </c>
      <c r="M52" s="223"/>
      <c r="N52" s="35">
        <f t="shared" si="4"/>
        <v>2.0000000000000018E-2</v>
      </c>
      <c r="O52" s="35">
        <f t="shared" si="5"/>
        <v>2.1605173777804243E-2</v>
      </c>
      <c r="P52" s="35">
        <f t="shared" si="6"/>
        <v>2.1605173777804243E-2</v>
      </c>
      <c r="Q52" s="198"/>
      <c r="R52" s="198"/>
      <c r="S52" s="198"/>
      <c r="T52" s="198"/>
      <c r="U52" s="198"/>
      <c r="V52" s="198"/>
      <c r="W52" s="15"/>
      <c r="X52" s="15"/>
      <c r="Y52" s="15"/>
      <c r="Z52" s="15"/>
    </row>
    <row r="53" spans="1:26">
      <c r="A53" s="15"/>
      <c r="B53" s="191"/>
      <c r="C53" s="192"/>
      <c r="D53" s="15"/>
      <c r="E53" s="15"/>
      <c r="F53" s="15"/>
      <c r="G53" s="15"/>
      <c r="H53" s="108">
        <v>43281</v>
      </c>
      <c r="I53" s="199"/>
      <c r="J53" s="137">
        <f t="shared" si="11"/>
        <v>1.9999999999999998</v>
      </c>
      <c r="K53" s="107">
        <f t="shared" si="10"/>
        <v>1321.4778939865994</v>
      </c>
      <c r="L53" s="223">
        <f t="shared" si="8"/>
        <v>1321.4778939865994</v>
      </c>
      <c r="M53" s="223"/>
      <c r="N53" s="35">
        <f t="shared" si="4"/>
        <v>2.0000000000000018E-2</v>
      </c>
      <c r="O53" s="35">
        <f t="shared" si="5"/>
        <v>2.1338203775091324E-2</v>
      </c>
      <c r="P53" s="35">
        <f t="shared" si="6"/>
        <v>2.1338203775091324E-2</v>
      </c>
      <c r="Q53" s="198"/>
      <c r="R53" s="198"/>
      <c r="S53" s="198"/>
      <c r="T53" s="198"/>
      <c r="U53" s="198"/>
      <c r="V53" s="198"/>
      <c r="W53" s="15"/>
      <c r="X53" s="15"/>
      <c r="Y53" s="15"/>
      <c r="Z53" s="15"/>
    </row>
    <row r="54" spans="1:26">
      <c r="A54" s="15"/>
      <c r="B54" s="191"/>
      <c r="C54" s="192"/>
      <c r="D54" s="15"/>
      <c r="E54" s="15"/>
      <c r="F54" s="15"/>
      <c r="G54" s="15"/>
      <c r="H54" s="108">
        <v>43373</v>
      </c>
      <c r="I54" s="199"/>
      <c r="J54" s="137">
        <f t="shared" si="11"/>
        <v>1.9999999999999998</v>
      </c>
      <c r="K54" s="107">
        <f t="shared" si="10"/>
        <v>1325.6825518125311</v>
      </c>
      <c r="L54" s="223">
        <f t="shared" si="8"/>
        <v>1325.6825518125311</v>
      </c>
      <c r="M54" s="223"/>
      <c r="N54" s="35">
        <f t="shared" si="4"/>
        <v>2.0000000000000018E-2</v>
      </c>
      <c r="O54" s="35">
        <f t="shared" si="5"/>
        <v>2.1072415699281422E-2</v>
      </c>
      <c r="P54" s="35">
        <f t="shared" si="6"/>
        <v>2.1072415699281422E-2</v>
      </c>
      <c r="Q54" s="198"/>
      <c r="R54" s="198"/>
      <c r="S54" s="198"/>
      <c r="T54" s="198"/>
      <c r="U54" s="198"/>
      <c r="V54" s="198"/>
      <c r="W54" s="15"/>
      <c r="X54" s="15"/>
      <c r="Y54" s="15"/>
      <c r="Z54" s="15"/>
    </row>
    <row r="55" spans="1:26">
      <c r="A55" s="15"/>
      <c r="B55" s="191"/>
      <c r="C55" s="192"/>
      <c r="D55" s="15"/>
      <c r="E55" s="15"/>
      <c r="F55" s="15"/>
      <c r="G55" s="15"/>
      <c r="H55" s="108">
        <v>43465</v>
      </c>
      <c r="I55" s="199"/>
      <c r="J55" s="137">
        <f t="shared" si="11"/>
        <v>1.9999999999999998</v>
      </c>
      <c r="K55" s="107">
        <f t="shared" si="10"/>
        <v>1331.2505324795161</v>
      </c>
      <c r="L55" s="223">
        <f t="shared" si="8"/>
        <v>1331.2505324795161</v>
      </c>
      <c r="M55" s="223"/>
      <c r="N55" s="35">
        <f t="shared" si="4"/>
        <v>2.0000000000000018E-2</v>
      </c>
      <c r="O55" s="35">
        <f t="shared" si="5"/>
        <v>2.080174900958065E-2</v>
      </c>
      <c r="P55" s="35">
        <f t="shared" si="6"/>
        <v>2.080174900958065E-2</v>
      </c>
      <c r="Q55" s="198"/>
      <c r="R55" s="198"/>
      <c r="S55" s="198"/>
      <c r="T55" s="198"/>
      <c r="U55" s="198"/>
      <c r="V55" s="198"/>
      <c r="W55" s="15"/>
      <c r="X55" s="15"/>
      <c r="Y55" s="15"/>
      <c r="Z55" s="15"/>
    </row>
    <row r="56" spans="1:26">
      <c r="A56" s="15"/>
      <c r="B56" s="191"/>
      <c r="C56" s="193"/>
      <c r="D56" s="15"/>
      <c r="E56" s="15"/>
      <c r="F56" s="15"/>
      <c r="G56" s="15"/>
      <c r="H56" s="15"/>
      <c r="I56" s="15"/>
      <c r="J56" s="196"/>
      <c r="K56" s="15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5"/>
      <c r="X56" s="15"/>
      <c r="Y56" s="15"/>
      <c r="Z56" s="15"/>
    </row>
    <row r="57" spans="1:26">
      <c r="A57" s="15"/>
      <c r="B57" s="191"/>
      <c r="C57" s="192"/>
      <c r="D57" s="15"/>
      <c r="E57" s="15"/>
      <c r="F57" s="15"/>
      <c r="G57" s="15"/>
      <c r="H57" s="15"/>
      <c r="I57" s="15"/>
      <c r="J57" s="15"/>
      <c r="K57" s="15"/>
      <c r="L57" s="80"/>
      <c r="M57" s="80"/>
      <c r="N57" s="198" t="s">
        <v>140</v>
      </c>
      <c r="O57" s="198" t="s">
        <v>141</v>
      </c>
      <c r="P57" s="198" t="s">
        <v>142</v>
      </c>
      <c r="Q57" s="198" t="s">
        <v>143</v>
      </c>
      <c r="R57" s="198" t="s">
        <v>144</v>
      </c>
      <c r="S57" s="198" t="s">
        <v>145</v>
      </c>
      <c r="T57" s="198" t="s">
        <v>159</v>
      </c>
      <c r="U57" s="198" t="s">
        <v>160</v>
      </c>
      <c r="V57" s="198" t="s">
        <v>161</v>
      </c>
      <c r="X57" s="15"/>
      <c r="Y57" s="15"/>
      <c r="Z57" s="15"/>
    </row>
    <row r="58" spans="1:26">
      <c r="A58" s="15"/>
      <c r="B58" s="191"/>
      <c r="C58" s="192"/>
      <c r="D58" s="15"/>
      <c r="E58" s="15"/>
      <c r="F58" s="15"/>
      <c r="G58" s="15"/>
      <c r="H58" s="15"/>
      <c r="I58" s="15"/>
      <c r="J58" s="15"/>
      <c r="K58" s="15"/>
      <c r="L58" s="80"/>
      <c r="M58" s="80"/>
      <c r="N58" s="198"/>
      <c r="O58" s="198"/>
      <c r="P58" s="198"/>
      <c r="Q58" s="198"/>
      <c r="R58" s="198"/>
      <c r="S58" s="198"/>
      <c r="T58" s="198"/>
      <c r="U58" s="198"/>
      <c r="V58" s="198"/>
      <c r="X58" s="15"/>
      <c r="Y58" s="15"/>
      <c r="Z58" s="15"/>
    </row>
    <row r="59" spans="1:26">
      <c r="A59" s="15"/>
      <c r="B59" s="191"/>
      <c r="C59" s="192"/>
      <c r="D59" s="15"/>
      <c r="E59" s="15"/>
      <c r="F59" s="15"/>
      <c r="G59" s="15"/>
      <c r="H59" s="15"/>
      <c r="I59" s="15"/>
      <c r="J59" s="15"/>
      <c r="L59" s="80"/>
      <c r="M59" s="194" t="s">
        <v>252</v>
      </c>
      <c r="N59" s="227">
        <f>N21</f>
        <v>1.6651248843663202E-2</v>
      </c>
      <c r="O59" s="227">
        <f>N25</f>
        <v>3.2132598262234913E-2</v>
      </c>
      <c r="P59" s="227">
        <f>N29</f>
        <v>9.5073465859982775E-3</v>
      </c>
      <c r="Q59" s="227">
        <f>N33</f>
        <v>2.1404109589041154E-2</v>
      </c>
      <c r="R59" s="227">
        <f>N37</f>
        <v>2.0117351215423351E-2</v>
      </c>
      <c r="S59" s="227">
        <f>N41</f>
        <v>2.2144831398562603E-2</v>
      </c>
      <c r="T59" s="227">
        <f>N45</f>
        <v>2.1072415699281422E-2</v>
      </c>
      <c r="U59" s="227">
        <f>N49</f>
        <v>2.0000000000000018E-2</v>
      </c>
      <c r="V59" s="227">
        <f>N53</f>
        <v>2.0000000000000018E-2</v>
      </c>
      <c r="X59" s="15"/>
      <c r="Y59" s="15"/>
      <c r="Z59" s="15"/>
    </row>
    <row r="60" spans="1:26">
      <c r="A60" s="15"/>
      <c r="B60" s="191"/>
      <c r="C60" s="192"/>
      <c r="D60" s="15"/>
      <c r="E60" s="15"/>
      <c r="F60" s="15"/>
      <c r="G60" s="15"/>
      <c r="H60" s="15"/>
      <c r="I60" s="15"/>
      <c r="J60" s="15"/>
      <c r="L60" s="80"/>
      <c r="M60" s="194" t="s">
        <v>253</v>
      </c>
      <c r="N60" s="227">
        <f>N23</f>
        <v>1.9858995748345043E-2</v>
      </c>
      <c r="O60" s="227">
        <f>N27</f>
        <v>1.846965699208436E-2</v>
      </c>
      <c r="P60" s="227">
        <f>N31</f>
        <v>1.899827288428324E-2</v>
      </c>
      <c r="Q60" s="227">
        <f>N35</f>
        <v>1.6949152542372836E-2</v>
      </c>
      <c r="R60" s="227">
        <f>N39</f>
        <v>2.1666666666666723E-2</v>
      </c>
      <c r="S60" s="227">
        <f>N43</f>
        <v>2.2144831398562603E-2</v>
      </c>
      <c r="T60" s="227">
        <f>N47</f>
        <v>2.1072415699281422E-2</v>
      </c>
      <c r="U60" s="227">
        <f>N51</f>
        <v>2.0000000000000018E-2</v>
      </c>
      <c r="V60" s="227">
        <f>N55</f>
        <v>2.0000000000000018E-2</v>
      </c>
      <c r="W60" s="80"/>
      <c r="X60" s="15"/>
      <c r="Y60" s="15"/>
      <c r="Z60" s="15"/>
    </row>
    <row r="61" spans="1:26">
      <c r="A61" s="15"/>
      <c r="B61" s="191"/>
      <c r="C61" s="192"/>
      <c r="D61" s="15"/>
      <c r="E61" s="15"/>
      <c r="F61" s="15"/>
      <c r="G61" s="15"/>
      <c r="H61" s="15"/>
      <c r="I61" s="15"/>
      <c r="J61" s="15"/>
      <c r="L61" s="80"/>
      <c r="M61" s="194" t="s">
        <v>434</v>
      </c>
      <c r="N61" s="227">
        <f>O21</f>
        <v>3.9589442815249232E-2</v>
      </c>
      <c r="O61" s="227">
        <f>O25</f>
        <v>2.1156558533145242E-2</v>
      </c>
      <c r="P61" s="227">
        <f>O29</f>
        <v>1.7888094464305171E-2</v>
      </c>
      <c r="Q61" s="227">
        <f>O33</f>
        <v>2.5023613457675342E-2</v>
      </c>
      <c r="R61" s="227">
        <f>O37</f>
        <v>1.29785853341986E-2</v>
      </c>
      <c r="S61" s="227">
        <f>O41</f>
        <v>1.9205353664219604E-2</v>
      </c>
      <c r="T61" s="227">
        <f>O45</f>
        <v>2.0308989315472648E-2</v>
      </c>
      <c r="U61" s="227">
        <f>O49</f>
        <v>2.2410409892577032E-2</v>
      </c>
      <c r="V61" s="227">
        <f>O53</f>
        <v>2.1338203775091324E-2</v>
      </c>
      <c r="W61" s="80"/>
      <c r="X61" s="15"/>
      <c r="Y61" s="15"/>
      <c r="Z61" s="15"/>
    </row>
    <row r="62" spans="1:26">
      <c r="A62" s="15"/>
      <c r="B62" s="191"/>
      <c r="C62" s="192"/>
      <c r="D62" s="15"/>
      <c r="E62" s="15"/>
      <c r="F62" s="15"/>
      <c r="G62" s="15"/>
      <c r="H62" s="15"/>
      <c r="I62" s="15"/>
      <c r="J62" s="15"/>
      <c r="L62" s="80"/>
      <c r="M62" s="194" t="s">
        <v>433</v>
      </c>
      <c r="N62" s="198"/>
      <c r="O62" s="227">
        <f>O26</f>
        <v>1.8903150525087398E-2</v>
      </c>
      <c r="P62" s="227">
        <f>O30</f>
        <v>1.8835385734687682E-2</v>
      </c>
      <c r="Q62" s="227">
        <f>O34</f>
        <v>2.2877545622851159E-2</v>
      </c>
      <c r="R62" s="227">
        <f>O38</f>
        <v>1.3574660633484115E-2</v>
      </c>
      <c r="S62" s="227">
        <f>O42</f>
        <v>1.9119615478218499E-2</v>
      </c>
      <c r="T62" s="227">
        <f>O46</f>
        <v>2.1680202356610057E-2</v>
      </c>
      <c r="U62" s="227">
        <f>O50</f>
        <v>2.2144831398562603E-2</v>
      </c>
      <c r="V62" s="227">
        <f>O54</f>
        <v>2.1072415699281422E-2</v>
      </c>
      <c r="W62" s="80"/>
      <c r="X62" s="15"/>
      <c r="Y62" s="15"/>
      <c r="Z62" s="15"/>
    </row>
    <row r="63" spans="1:26">
      <c r="A63" s="15"/>
      <c r="B63" s="191"/>
      <c r="C63" s="192"/>
      <c r="D63" s="15"/>
      <c r="E63" s="15"/>
      <c r="F63" s="15"/>
      <c r="G63" s="15"/>
      <c r="H63" s="15"/>
      <c r="I63" s="15"/>
      <c r="J63" s="15"/>
      <c r="K63" s="15"/>
      <c r="L63" s="80"/>
      <c r="M63" s="194" t="s">
        <v>435</v>
      </c>
      <c r="N63" s="227">
        <f>P21</f>
        <v>3.9589442815249232E-2</v>
      </c>
      <c r="O63" s="227">
        <f>P25</f>
        <v>2.1156558533145242E-2</v>
      </c>
      <c r="P63" s="227">
        <f>P29</f>
        <v>2.3020257826887658E-2</v>
      </c>
      <c r="Q63" s="227">
        <f>P33</f>
        <v>4.0279027902790254E-2</v>
      </c>
      <c r="R63" s="227">
        <f>P37</f>
        <v>1.29785853341986E-2</v>
      </c>
      <c r="S63" s="227">
        <f>P41</f>
        <v>1.9205353664219604E-2</v>
      </c>
      <c r="T63" s="227">
        <f>P45</f>
        <v>2.0308989315472648E-2</v>
      </c>
      <c r="U63" s="227">
        <f>P49</f>
        <v>2.2410409892577032E-2</v>
      </c>
      <c r="V63" s="227">
        <f>P53</f>
        <v>2.1338203775091324E-2</v>
      </c>
      <c r="W63" s="80"/>
      <c r="X63" s="15"/>
      <c r="Y63" s="15"/>
      <c r="Z63" s="15"/>
    </row>
    <row r="64" spans="1:26">
      <c r="A64" s="15"/>
      <c r="B64" s="191"/>
      <c r="C64" s="192"/>
      <c r="D64" s="15"/>
      <c r="E64" s="15"/>
      <c r="F64" s="15"/>
      <c r="G64" s="15"/>
      <c r="H64" s="15"/>
      <c r="I64" s="15"/>
      <c r="J64" s="15"/>
      <c r="K64" s="15"/>
      <c r="L64" s="80"/>
      <c r="M64" s="194" t="s">
        <v>436</v>
      </c>
      <c r="N64" s="198"/>
      <c r="O64" s="227">
        <f>P26</f>
        <v>1.890315052508762E-2</v>
      </c>
      <c r="P64" s="227">
        <f>P30</f>
        <v>2.9088410444342738E-2</v>
      </c>
      <c r="Q64" s="227">
        <f>P34</f>
        <v>3.2940129089695125E-2</v>
      </c>
      <c r="R64" s="227">
        <f>P38</f>
        <v>1.3574660633484115E-2</v>
      </c>
      <c r="S64" s="227">
        <f>P42</f>
        <v>1.9119615478218499E-2</v>
      </c>
      <c r="T64" s="227">
        <f>P46</f>
        <v>2.1680202356610057E-2</v>
      </c>
      <c r="U64" s="227">
        <f>P50</f>
        <v>2.2144831398562603E-2</v>
      </c>
      <c r="V64" s="227">
        <f>P54</f>
        <v>2.1072415699281422E-2</v>
      </c>
      <c r="W64" s="80"/>
      <c r="X64" s="15"/>
      <c r="Y64" s="15"/>
      <c r="Z64" s="15"/>
    </row>
    <row r="65" spans="2:22">
      <c r="B65" s="104"/>
      <c r="C65" s="103"/>
    </row>
    <row r="66" spans="2:22">
      <c r="B66" s="104"/>
      <c r="C66" s="103"/>
    </row>
    <row r="67" spans="2:22">
      <c r="B67" s="104"/>
      <c r="C67" s="103"/>
      <c r="N67" s="195"/>
      <c r="O67" s="195"/>
      <c r="P67" s="195"/>
      <c r="Q67" s="195"/>
      <c r="R67" s="195"/>
      <c r="S67" s="195"/>
      <c r="T67" s="195"/>
      <c r="U67" s="195"/>
      <c r="V67" s="195"/>
    </row>
    <row r="68" spans="2:22">
      <c r="B68" s="104"/>
      <c r="C68" s="103"/>
      <c r="N68" s="195"/>
      <c r="O68" s="195"/>
      <c r="P68" s="195"/>
      <c r="Q68" s="195"/>
      <c r="R68" s="195"/>
      <c r="S68" s="195"/>
      <c r="T68" s="195"/>
      <c r="U68" s="195"/>
      <c r="V68" s="195"/>
    </row>
    <row r="69" spans="2:22">
      <c r="B69" s="104"/>
      <c r="C69" s="103"/>
      <c r="N69" s="195"/>
      <c r="O69" s="195"/>
      <c r="P69" s="195"/>
      <c r="Q69" s="195"/>
      <c r="R69" s="195"/>
      <c r="S69" s="195"/>
      <c r="T69" s="195"/>
      <c r="U69" s="195"/>
      <c r="V69" s="195"/>
    </row>
    <row r="70" spans="2:22">
      <c r="B70" s="104"/>
      <c r="C70" s="103"/>
      <c r="N70" s="195"/>
      <c r="O70" s="195"/>
      <c r="P70" s="195"/>
      <c r="Q70" s="195"/>
      <c r="R70" s="195"/>
      <c r="S70" s="195"/>
      <c r="T70" s="195"/>
      <c r="U70" s="195"/>
      <c r="V70" s="195"/>
    </row>
    <row r="71" spans="2:22">
      <c r="B71" s="104"/>
      <c r="C71" s="103"/>
    </row>
    <row r="72" spans="2:22">
      <c r="B72" s="104"/>
      <c r="C72" s="105"/>
    </row>
  </sheetData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T108"/>
  <sheetViews>
    <sheetView zoomScaleNormal="100" workbookViewId="0"/>
  </sheetViews>
  <sheetFormatPr defaultRowHeight="15"/>
  <cols>
    <col min="1" max="1" width="4.42578125" customWidth="1"/>
    <col min="2" max="2" width="43.85546875" customWidth="1"/>
    <col min="3" max="3" width="9.42578125" style="19" customWidth="1"/>
    <col min="4" max="10" width="9.42578125" customWidth="1"/>
    <col min="11" max="11" width="12.28515625" customWidth="1"/>
    <col min="12" max="13" width="9.42578125" customWidth="1"/>
    <col min="14" max="14" width="10" customWidth="1"/>
    <col min="15" max="17" width="9.42578125" customWidth="1"/>
    <col min="18" max="18" width="10" customWidth="1"/>
    <col min="19" max="19" width="9.42578125" customWidth="1"/>
    <col min="20" max="20" width="9.28515625" customWidth="1"/>
    <col min="21" max="59" width="9.28515625" style="74" customWidth="1"/>
    <col min="60" max="60" width="42" customWidth="1"/>
    <col min="88" max="89" width="9.28515625" bestFit="1" customWidth="1"/>
    <col min="90" max="90" width="10" bestFit="1" customWidth="1"/>
    <col min="91" max="92" width="9.28515625" bestFit="1" customWidth="1"/>
  </cols>
  <sheetData>
    <row r="1" spans="1:98" ht="25.5">
      <c r="A1" s="80"/>
      <c r="B1" s="4" t="s">
        <v>3</v>
      </c>
      <c r="C1" s="4"/>
    </row>
    <row r="2" spans="1:98" ht="7.5" customHeight="1">
      <c r="O2" s="74"/>
      <c r="P2" s="74"/>
      <c r="Q2" s="74"/>
      <c r="R2" s="74"/>
      <c r="S2" s="74"/>
    </row>
    <row r="3" spans="1:98" ht="21">
      <c r="B3" s="3" t="s">
        <v>8</v>
      </c>
      <c r="C3" s="3"/>
      <c r="D3" s="3"/>
      <c r="O3" s="74"/>
      <c r="P3" s="74"/>
      <c r="Q3" s="74"/>
      <c r="R3" s="74"/>
      <c r="S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</row>
    <row r="4" spans="1:98">
      <c r="B4" t="s">
        <v>10</v>
      </c>
      <c r="C4" s="50">
        <v>7.4399999999999994E-2</v>
      </c>
      <c r="O4" s="74"/>
      <c r="P4" s="74"/>
      <c r="Q4" s="74"/>
      <c r="R4" s="74"/>
      <c r="S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</row>
    <row r="5" spans="1:98">
      <c r="B5" t="s">
        <v>11</v>
      </c>
      <c r="C5" s="50">
        <v>5.3800000000000001E-2</v>
      </c>
      <c r="O5" s="74"/>
      <c r="P5" s="74"/>
      <c r="Q5" s="74"/>
      <c r="R5" s="74"/>
      <c r="S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</row>
    <row r="6" spans="1:98">
      <c r="B6" t="s">
        <v>12</v>
      </c>
      <c r="C6" s="50">
        <v>0.44</v>
      </c>
      <c r="O6" s="74"/>
      <c r="P6" s="74"/>
      <c r="Q6" s="74"/>
      <c r="R6" s="74"/>
      <c r="S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</row>
    <row r="7" spans="1:98">
      <c r="B7" t="s">
        <v>36</v>
      </c>
      <c r="C7" s="172">
        <v>45</v>
      </c>
      <c r="D7" t="s">
        <v>37</v>
      </c>
      <c r="O7" s="74"/>
      <c r="P7" s="74"/>
      <c r="Q7" s="74"/>
      <c r="R7" s="74"/>
      <c r="S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</row>
    <row r="8" spans="1:98" s="19" customFormat="1">
      <c r="B8" s="74"/>
      <c r="C8" s="74"/>
      <c r="D8" s="74"/>
      <c r="E8" s="74"/>
      <c r="O8" s="74"/>
      <c r="P8" s="74"/>
      <c r="Q8" s="74"/>
      <c r="R8" s="74"/>
      <c r="S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</row>
    <row r="9" spans="1:98" s="19" customFormat="1">
      <c r="B9" s="38" t="s">
        <v>123</v>
      </c>
      <c r="C9" s="50">
        <v>0</v>
      </c>
      <c r="O9" s="74"/>
      <c r="P9" s="74"/>
      <c r="Q9" s="74"/>
      <c r="R9" s="74"/>
      <c r="S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</row>
    <row r="10" spans="1:98" s="38" customFormat="1">
      <c r="C10" s="74"/>
      <c r="J10" s="74"/>
      <c r="K10" s="74"/>
      <c r="L10" s="74"/>
      <c r="M10" s="74"/>
      <c r="O10" s="74"/>
      <c r="P10" s="74"/>
      <c r="Q10" s="74"/>
      <c r="R10" s="74"/>
      <c r="S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</row>
    <row r="11" spans="1:98" ht="21">
      <c r="B11" s="3" t="s">
        <v>146</v>
      </c>
      <c r="C11" s="3"/>
      <c r="D11" s="52"/>
      <c r="E11" s="52"/>
      <c r="F11" s="52"/>
      <c r="G11" s="52"/>
      <c r="H11" s="52"/>
      <c r="I11" s="52"/>
      <c r="J11" s="74"/>
      <c r="K11" s="74"/>
      <c r="L11" s="74"/>
      <c r="M11" s="74"/>
      <c r="N11" s="74"/>
      <c r="O11" s="74"/>
      <c r="P11" s="74"/>
      <c r="Q11" s="74"/>
      <c r="R11" s="74"/>
      <c r="S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</row>
    <row r="12" spans="1:98">
      <c r="B12" s="38"/>
      <c r="C12" s="38"/>
      <c r="D12" s="53" t="s">
        <v>140</v>
      </c>
      <c r="E12" s="53" t="s">
        <v>141</v>
      </c>
      <c r="F12" s="53" t="s">
        <v>142</v>
      </c>
      <c r="G12" s="53" t="s">
        <v>143</v>
      </c>
      <c r="H12" s="53" t="s">
        <v>144</v>
      </c>
      <c r="I12" s="53" t="s">
        <v>145</v>
      </c>
      <c r="J12" s="53" t="s">
        <v>159</v>
      </c>
      <c r="K12" s="53" t="s">
        <v>160</v>
      </c>
      <c r="L12" s="53" t="s">
        <v>161</v>
      </c>
      <c r="M12" s="74"/>
      <c r="N12" s="74"/>
      <c r="O12" s="74"/>
      <c r="P12" s="74"/>
      <c r="Q12" s="74"/>
      <c r="R12" s="74"/>
      <c r="S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</row>
    <row r="13" spans="1:98" s="38" customFormat="1">
      <c r="B13" s="74" t="s">
        <v>243</v>
      </c>
      <c r="C13" s="19"/>
      <c r="D13" s="50">
        <v>0.3</v>
      </c>
      <c r="E13" s="50">
        <v>0.3</v>
      </c>
      <c r="F13" s="50">
        <v>0.28000000000000003</v>
      </c>
      <c r="G13" s="50">
        <v>0.28000000000000003</v>
      </c>
      <c r="H13" s="50">
        <v>0.28000000000000003</v>
      </c>
      <c r="I13" s="50">
        <v>0.28000000000000003</v>
      </c>
      <c r="J13" s="50">
        <v>0.28000000000000003</v>
      </c>
      <c r="K13" s="50">
        <v>0.28000000000000003</v>
      </c>
      <c r="L13" s="50">
        <v>0.28000000000000003</v>
      </c>
      <c r="M13" s="74"/>
      <c r="O13" s="74"/>
      <c r="P13" s="74"/>
      <c r="Q13" s="74"/>
      <c r="R13" s="74"/>
      <c r="S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</row>
    <row r="14" spans="1:98" s="74" customFormat="1"/>
    <row r="15" spans="1:98" s="38" customFormat="1">
      <c r="B15" s="81" t="s">
        <v>138</v>
      </c>
      <c r="C15" s="74"/>
      <c r="D15" s="10"/>
      <c r="E15" s="10"/>
      <c r="F15" s="10"/>
      <c r="G15" s="10"/>
      <c r="H15" s="10"/>
      <c r="I15" s="10"/>
      <c r="J15" s="74"/>
      <c r="K15" s="74"/>
      <c r="L15" s="74"/>
      <c r="M15" s="74"/>
      <c r="O15" s="74"/>
      <c r="P15" s="74"/>
      <c r="Q15" s="74"/>
      <c r="R15" s="74"/>
      <c r="S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</row>
    <row r="16" spans="1:98" s="74" customFormat="1">
      <c r="B16" s="80" t="s">
        <v>252</v>
      </c>
      <c r="C16" s="80"/>
      <c r="D16" s="35">
        <f>CPI!N59</f>
        <v>1.6651248843663202E-2</v>
      </c>
      <c r="E16" s="35">
        <f>CPI!O59</f>
        <v>3.2132598262234913E-2</v>
      </c>
      <c r="F16" s="35">
        <f>CPI!P59</f>
        <v>9.5073465859982775E-3</v>
      </c>
      <c r="G16" s="35">
        <f>CPI!Q59</f>
        <v>2.1404109589041154E-2</v>
      </c>
      <c r="H16" s="35">
        <f>CPI!R59</f>
        <v>2.0117351215423351E-2</v>
      </c>
      <c r="I16" s="35">
        <f>CPI!S59</f>
        <v>2.2144831398562603E-2</v>
      </c>
      <c r="J16" s="35">
        <f>CPI!T59</f>
        <v>2.1072415699281422E-2</v>
      </c>
      <c r="K16" s="35">
        <f>CPI!U59</f>
        <v>2.0000000000000018E-2</v>
      </c>
      <c r="L16" s="35">
        <f>CPI!V59</f>
        <v>2.0000000000000018E-2</v>
      </c>
      <c r="N16" s="80"/>
    </row>
    <row r="17" spans="2:98" s="74" customFormat="1">
      <c r="B17" s="80" t="s">
        <v>253</v>
      </c>
      <c r="C17" s="80"/>
      <c r="D17" s="35">
        <f>CPI!N60</f>
        <v>1.9858995748345043E-2</v>
      </c>
      <c r="E17" s="35">
        <f>CPI!O60</f>
        <v>1.846965699208436E-2</v>
      </c>
      <c r="F17" s="35">
        <f>CPI!P60</f>
        <v>1.899827288428324E-2</v>
      </c>
      <c r="G17" s="35">
        <f>CPI!Q60</f>
        <v>1.6949152542372836E-2</v>
      </c>
      <c r="H17" s="35">
        <f>CPI!R60</f>
        <v>2.1666666666666723E-2</v>
      </c>
      <c r="I17" s="35">
        <f>CPI!S60</f>
        <v>2.2144831398562603E-2</v>
      </c>
      <c r="J17" s="35">
        <f>CPI!T60</f>
        <v>2.1072415699281422E-2</v>
      </c>
      <c r="K17" s="35">
        <f>CPI!U60</f>
        <v>2.0000000000000018E-2</v>
      </c>
      <c r="L17" s="35">
        <f>CPI!V60</f>
        <v>2.0000000000000018E-2</v>
      </c>
      <c r="N17" s="80"/>
    </row>
    <row r="18" spans="2:98" s="74" customFormat="1">
      <c r="B18" s="80" t="s">
        <v>434</v>
      </c>
      <c r="C18" s="80"/>
      <c r="D18" s="35">
        <f>CPI!N61</f>
        <v>3.9589442815249232E-2</v>
      </c>
      <c r="E18" s="35">
        <f>CPI!O61</f>
        <v>2.1156558533145242E-2</v>
      </c>
      <c r="F18" s="35">
        <f>CPI!P61</f>
        <v>1.7888094464305171E-2</v>
      </c>
      <c r="G18" s="35">
        <f>CPI!Q61</f>
        <v>2.5023613457675342E-2</v>
      </c>
      <c r="H18" s="35">
        <f>CPI!R61</f>
        <v>1.29785853341986E-2</v>
      </c>
      <c r="I18" s="35">
        <f>CPI!S61</f>
        <v>1.9205353664219604E-2</v>
      </c>
      <c r="J18" s="35">
        <f>CPI!T61</f>
        <v>2.0308989315472648E-2</v>
      </c>
      <c r="K18" s="35">
        <f>CPI!U61</f>
        <v>2.2410409892577032E-2</v>
      </c>
      <c r="L18" s="35">
        <f>CPI!V61</f>
        <v>2.1338203775091324E-2</v>
      </c>
      <c r="N18" s="80"/>
    </row>
    <row r="19" spans="2:98" s="74" customFormat="1">
      <c r="B19" s="80" t="s">
        <v>433</v>
      </c>
      <c r="C19" s="80"/>
      <c r="D19" s="35"/>
      <c r="E19" s="35">
        <f>CPI!O62</f>
        <v>1.8903150525087398E-2</v>
      </c>
      <c r="F19" s="35">
        <f>CPI!P62</f>
        <v>1.8835385734687682E-2</v>
      </c>
      <c r="G19" s="35">
        <f>CPI!Q62</f>
        <v>2.2877545622851159E-2</v>
      </c>
      <c r="H19" s="35">
        <f>CPI!R62</f>
        <v>1.3574660633484115E-2</v>
      </c>
      <c r="I19" s="35">
        <f>CPI!S62</f>
        <v>1.9119615478218499E-2</v>
      </c>
      <c r="J19" s="35">
        <f>CPI!T62</f>
        <v>2.1680202356610057E-2</v>
      </c>
      <c r="K19" s="35">
        <f>CPI!U62</f>
        <v>2.2144831398562603E-2</v>
      </c>
      <c r="L19" s="35">
        <f>CPI!V62</f>
        <v>2.1072415699281422E-2</v>
      </c>
      <c r="N19" s="80"/>
    </row>
    <row r="20" spans="2:98" s="74" customFormat="1">
      <c r="B20" s="80" t="s">
        <v>435</v>
      </c>
      <c r="C20" s="80"/>
      <c r="D20" s="35">
        <f>CPI!N63</f>
        <v>3.9589442815249232E-2</v>
      </c>
      <c r="E20" s="35">
        <f>CPI!O63</f>
        <v>2.1156558533145242E-2</v>
      </c>
      <c r="F20" s="35">
        <f>CPI!P63</f>
        <v>2.3020257826887658E-2</v>
      </c>
      <c r="G20" s="35">
        <f>CPI!Q63</f>
        <v>4.0279027902790254E-2</v>
      </c>
      <c r="H20" s="35">
        <f>CPI!R63</f>
        <v>1.29785853341986E-2</v>
      </c>
      <c r="I20" s="35">
        <f>CPI!S63</f>
        <v>1.9205353664219604E-2</v>
      </c>
      <c r="J20" s="35">
        <f>CPI!T63</f>
        <v>2.0308989315472648E-2</v>
      </c>
      <c r="K20" s="35">
        <f>CPI!U63</f>
        <v>2.2410409892577032E-2</v>
      </c>
      <c r="L20" s="35">
        <f>CPI!V63</f>
        <v>2.1338203775091324E-2</v>
      </c>
      <c r="N20" s="80"/>
    </row>
    <row r="21" spans="2:98" s="74" customFormat="1">
      <c r="B21" s="80" t="s">
        <v>436</v>
      </c>
      <c r="C21" s="80"/>
      <c r="D21" s="35"/>
      <c r="E21" s="35">
        <f>CPI!O64</f>
        <v>1.890315052508762E-2</v>
      </c>
      <c r="F21" s="35">
        <f>CPI!P64</f>
        <v>2.9088410444342738E-2</v>
      </c>
      <c r="G21" s="35">
        <f>CPI!Q64</f>
        <v>3.2940129089695125E-2</v>
      </c>
      <c r="H21" s="35">
        <f>CPI!R64</f>
        <v>1.3574660633484115E-2</v>
      </c>
      <c r="I21" s="35">
        <f>CPI!S64</f>
        <v>1.9119615478218499E-2</v>
      </c>
      <c r="J21" s="35">
        <f>CPI!T64</f>
        <v>2.1680202356610057E-2</v>
      </c>
      <c r="K21" s="35">
        <f>CPI!U64</f>
        <v>2.2144831398562603E-2</v>
      </c>
      <c r="L21" s="35">
        <f>CPI!V64</f>
        <v>2.1072415699281422E-2</v>
      </c>
      <c r="N21" s="80"/>
    </row>
    <row r="22" spans="2:98" s="74" customFormat="1">
      <c r="D22" s="34"/>
      <c r="E22" s="34"/>
      <c r="F22" s="34"/>
      <c r="G22" s="34"/>
      <c r="H22" s="34"/>
      <c r="I22" s="34"/>
    </row>
    <row r="23" spans="2:98" ht="21">
      <c r="B23" s="3" t="s">
        <v>64</v>
      </c>
      <c r="C23" s="3"/>
      <c r="D23" s="3"/>
      <c r="K23" s="74"/>
      <c r="O23" s="38"/>
      <c r="P23" s="38"/>
      <c r="Q23" s="38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</row>
    <row r="24" spans="2:98" ht="75.75" customHeight="1">
      <c r="B24" s="11" t="s">
        <v>2</v>
      </c>
      <c r="C24" s="11"/>
      <c r="D24" s="14" t="s">
        <v>153</v>
      </c>
      <c r="E24" s="14" t="s">
        <v>155</v>
      </c>
      <c r="F24" s="14" t="s">
        <v>156</v>
      </c>
      <c r="G24" s="14" t="s">
        <v>154</v>
      </c>
      <c r="H24" s="14" t="s">
        <v>157</v>
      </c>
      <c r="I24" s="80"/>
      <c r="N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</row>
    <row r="25" spans="2:98">
      <c r="B25" s="74" t="s">
        <v>158</v>
      </c>
      <c r="D25" s="8">
        <v>4218.4803100000008</v>
      </c>
      <c r="E25" s="8">
        <v>44264.5435</v>
      </c>
      <c r="F25" s="8">
        <v>77777</v>
      </c>
      <c r="G25" s="8">
        <v>38541</v>
      </c>
      <c r="H25" s="8">
        <v>113468</v>
      </c>
      <c r="I25" s="80"/>
      <c r="J25" s="74"/>
      <c r="K25" s="74"/>
      <c r="L25" s="74"/>
      <c r="M25" s="74"/>
      <c r="N25" s="74"/>
      <c r="O25" s="74"/>
      <c r="Q25" s="78"/>
      <c r="R25" s="78"/>
      <c r="S25" s="78"/>
      <c r="T25" s="78"/>
      <c r="U25" s="78"/>
      <c r="V25" s="78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</row>
    <row r="26" spans="2:98">
      <c r="B26" t="s">
        <v>13</v>
      </c>
      <c r="D26" s="8">
        <v>44.899550000000005</v>
      </c>
      <c r="E26" s="8">
        <v>1369.2731349999997</v>
      </c>
      <c r="F26" s="8">
        <v>1003.1098499999998</v>
      </c>
      <c r="G26" s="8">
        <v>500</v>
      </c>
      <c r="H26" s="8">
        <v>766.99468000000002</v>
      </c>
      <c r="I26" s="80"/>
      <c r="J26" s="74"/>
      <c r="K26" s="74"/>
      <c r="L26" s="74"/>
      <c r="M26" s="74"/>
      <c r="N26" s="74"/>
      <c r="O26" s="74"/>
      <c r="Q26" s="78"/>
      <c r="R26" s="78"/>
      <c r="S26" s="78"/>
      <c r="T26" s="78"/>
      <c r="U26" s="78"/>
      <c r="V26" s="78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</row>
    <row r="27" spans="2:98">
      <c r="B27" t="s">
        <v>14</v>
      </c>
      <c r="D27" s="8">
        <v>0</v>
      </c>
      <c r="E27" s="8">
        <v>0</v>
      </c>
      <c r="F27" s="8">
        <v>0</v>
      </c>
      <c r="G27" s="8">
        <v>240</v>
      </c>
      <c r="H27" s="8">
        <v>0</v>
      </c>
      <c r="I27" s="80"/>
      <c r="J27" s="74"/>
      <c r="K27" s="74"/>
      <c r="L27" s="74"/>
      <c r="M27" s="74"/>
      <c r="N27" s="74"/>
      <c r="O27" s="74"/>
      <c r="Q27" s="78"/>
      <c r="R27" s="78"/>
      <c r="S27" s="78"/>
      <c r="T27" s="78"/>
      <c r="U27" s="78"/>
      <c r="V27" s="78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</row>
    <row r="28" spans="2:98">
      <c r="B28" s="74" t="s">
        <v>162</v>
      </c>
      <c r="D28" s="8">
        <v>22482.672525439408</v>
      </c>
      <c r="E28" s="8">
        <v>320907</v>
      </c>
      <c r="F28" s="8">
        <v>423842.82146160956</v>
      </c>
      <c r="G28" s="8">
        <v>301255</v>
      </c>
      <c r="H28" s="8">
        <v>488298.51896392228</v>
      </c>
      <c r="I28" s="80"/>
      <c r="J28" s="74"/>
      <c r="K28" s="74"/>
      <c r="L28" s="74"/>
      <c r="M28" s="74"/>
      <c r="N28" s="74"/>
      <c r="O28" s="74"/>
      <c r="Q28" s="78"/>
      <c r="R28" s="78"/>
      <c r="S28" s="78"/>
      <c r="T28" s="78"/>
      <c r="U28" s="78"/>
      <c r="V28" s="78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</row>
    <row r="29" spans="2:98">
      <c r="B29" s="38" t="s">
        <v>117</v>
      </c>
      <c r="D29" s="8">
        <v>892</v>
      </c>
      <c r="E29" s="8">
        <v>7827</v>
      </c>
      <c r="F29" s="8">
        <v>12571</v>
      </c>
      <c r="G29" s="8">
        <v>7121</v>
      </c>
      <c r="H29" s="8">
        <v>16828</v>
      </c>
      <c r="I29" s="80"/>
      <c r="J29" s="74"/>
      <c r="K29" s="74"/>
      <c r="L29" s="74"/>
      <c r="M29" s="74"/>
      <c r="N29" s="74"/>
      <c r="O29" s="74"/>
      <c r="Q29" s="78"/>
      <c r="R29" s="78"/>
      <c r="S29" s="78"/>
      <c r="T29" s="78"/>
      <c r="U29" s="78"/>
      <c r="V29" s="78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</row>
    <row r="30" spans="2:98">
      <c r="B30" t="s">
        <v>16</v>
      </c>
      <c r="D30" s="8">
        <v>0</v>
      </c>
      <c r="E30" s="8">
        <v>0</v>
      </c>
      <c r="F30" s="8">
        <v>328</v>
      </c>
      <c r="G30" s="8">
        <v>0</v>
      </c>
      <c r="H30" s="8">
        <v>450</v>
      </c>
      <c r="I30" s="80"/>
      <c r="J30" s="74"/>
      <c r="K30" s="74"/>
      <c r="L30" s="74"/>
      <c r="M30" s="74"/>
      <c r="N30" s="74"/>
      <c r="O30" s="74"/>
      <c r="Q30" s="78"/>
      <c r="R30" s="78"/>
      <c r="S30" s="78"/>
      <c r="T30" s="78"/>
      <c r="U30" s="78"/>
      <c r="V30" s="78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</row>
    <row r="31" spans="2:98" s="74" customFormat="1">
      <c r="B31" s="74" t="s">
        <v>65</v>
      </c>
      <c r="D31" s="8">
        <v>715</v>
      </c>
      <c r="E31" s="8">
        <v>7776</v>
      </c>
      <c r="F31" s="8">
        <v>22745</v>
      </c>
      <c r="G31" s="8">
        <v>67</v>
      </c>
      <c r="H31" s="8">
        <v>11521</v>
      </c>
      <c r="I31" s="80"/>
      <c r="Q31" s="78"/>
      <c r="R31" s="78"/>
      <c r="S31" s="78"/>
      <c r="T31" s="78"/>
      <c r="U31" s="78"/>
      <c r="V31" s="78"/>
    </row>
    <row r="32" spans="2:98">
      <c r="B32" t="s">
        <v>17</v>
      </c>
      <c r="D32" s="8">
        <v>787</v>
      </c>
      <c r="E32" s="8">
        <v>22606.893406940388</v>
      </c>
      <c r="F32" s="8">
        <v>26084</v>
      </c>
      <c r="G32" s="8">
        <v>4802</v>
      </c>
      <c r="H32" s="8">
        <v>13165</v>
      </c>
      <c r="I32" s="80"/>
      <c r="J32" s="74"/>
      <c r="K32" s="74"/>
      <c r="L32" s="74"/>
      <c r="M32" s="74"/>
      <c r="N32" s="74"/>
      <c r="O32" s="74"/>
      <c r="Q32" s="78"/>
      <c r="R32" s="78"/>
      <c r="S32" s="78"/>
      <c r="T32" s="78"/>
      <c r="U32" s="78"/>
      <c r="V32" s="78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</row>
    <row r="33" spans="2:98" s="38" customFormat="1">
      <c r="B33" s="74" t="s">
        <v>164</v>
      </c>
      <c r="D33" s="8">
        <v>5785</v>
      </c>
      <c r="E33" s="8">
        <v>227938.067667247</v>
      </c>
      <c r="F33" s="8">
        <v>223466</v>
      </c>
      <c r="G33" s="8">
        <v>57040</v>
      </c>
      <c r="H33" s="8">
        <v>109768</v>
      </c>
      <c r="I33" s="80"/>
      <c r="J33" s="74"/>
      <c r="K33" s="74"/>
      <c r="L33" s="74"/>
      <c r="M33" s="74"/>
      <c r="N33" s="74"/>
      <c r="O33" s="74"/>
      <c r="P33"/>
      <c r="Q33" s="78"/>
      <c r="R33" s="78"/>
      <c r="S33" s="78"/>
      <c r="T33" s="78"/>
      <c r="U33" s="78"/>
      <c r="V33" s="78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</row>
    <row r="34" spans="2:98" s="74" customFormat="1">
      <c r="B34" s="38" t="s">
        <v>85</v>
      </c>
      <c r="C34" s="38"/>
      <c r="D34" s="8">
        <v>13.25</v>
      </c>
      <c r="E34" s="8">
        <v>146.19932499999999</v>
      </c>
      <c r="F34" s="8">
        <v>0</v>
      </c>
      <c r="G34" s="8">
        <v>0</v>
      </c>
      <c r="H34" s="8">
        <v>0</v>
      </c>
      <c r="I34" s="80"/>
      <c r="Q34" s="78"/>
      <c r="R34" s="78"/>
      <c r="S34" s="78"/>
      <c r="T34" s="78"/>
      <c r="U34" s="78"/>
      <c r="V34" s="78"/>
    </row>
    <row r="35" spans="2:98" s="74" customFormat="1">
      <c r="B35" s="74" t="s">
        <v>163</v>
      </c>
      <c r="D35" s="8">
        <v>22386</v>
      </c>
      <c r="E35" s="8">
        <v>312155</v>
      </c>
      <c r="F35" s="8">
        <v>418694</v>
      </c>
      <c r="G35" s="8">
        <v>301325</v>
      </c>
      <c r="H35" s="8">
        <v>487595</v>
      </c>
      <c r="I35" s="80"/>
      <c r="Q35" s="78"/>
      <c r="R35" s="78"/>
      <c r="S35" s="78"/>
      <c r="T35" s="78"/>
      <c r="U35" s="78"/>
      <c r="V35" s="78"/>
    </row>
    <row r="36" spans="2:98" s="74" customFormat="1">
      <c r="B36" s="74" t="s">
        <v>240</v>
      </c>
      <c r="D36" s="8">
        <v>0</v>
      </c>
      <c r="E36" s="8">
        <v>0</v>
      </c>
      <c r="F36" s="8">
        <v>723</v>
      </c>
      <c r="G36" s="8">
        <v>0</v>
      </c>
      <c r="H36" s="8">
        <v>317</v>
      </c>
      <c r="I36" s="80"/>
      <c r="K36" s="80"/>
      <c r="Q36" s="78"/>
      <c r="R36" s="78"/>
      <c r="S36" s="78"/>
      <c r="T36" s="78"/>
      <c r="U36" s="78"/>
      <c r="V36" s="78"/>
    </row>
    <row r="37" spans="2:98" s="74" customFormat="1">
      <c r="B37" s="74" t="s">
        <v>165</v>
      </c>
      <c r="D37" s="8">
        <v>5785</v>
      </c>
      <c r="E37" s="8">
        <v>246115</v>
      </c>
      <c r="F37" s="8">
        <v>240659</v>
      </c>
      <c r="G37" s="8">
        <v>61857</v>
      </c>
      <c r="H37" s="8">
        <v>109726.6850092409</v>
      </c>
      <c r="I37" s="80"/>
      <c r="K37" s="80"/>
      <c r="Q37" s="78"/>
      <c r="R37" s="78"/>
      <c r="S37" s="78"/>
      <c r="T37" s="78"/>
      <c r="U37" s="78"/>
      <c r="V37" s="78"/>
    </row>
    <row r="38" spans="2:98" s="74" customFormat="1">
      <c r="B38" s="74" t="s">
        <v>167</v>
      </c>
      <c r="D38" s="8">
        <v>788</v>
      </c>
      <c r="E38" s="8">
        <v>24426</v>
      </c>
      <c r="F38" s="8">
        <v>26719</v>
      </c>
      <c r="G38" s="8">
        <v>4847</v>
      </c>
      <c r="H38" s="8">
        <v>13396.385181650627</v>
      </c>
      <c r="I38" s="80"/>
      <c r="K38" s="80"/>
      <c r="Q38" s="78"/>
      <c r="R38" s="78"/>
      <c r="S38" s="78"/>
      <c r="T38" s="78"/>
      <c r="U38" s="78"/>
      <c r="V38" s="78"/>
    </row>
    <row r="39" spans="2:98" s="74" customFormat="1">
      <c r="B39" s="74" t="s">
        <v>168</v>
      </c>
      <c r="D39" s="8">
        <v>27</v>
      </c>
      <c r="E39" s="8">
        <v>42</v>
      </c>
      <c r="F39" s="8">
        <v>43</v>
      </c>
      <c r="G39" s="8" t="s">
        <v>477</v>
      </c>
      <c r="H39" s="8" t="s">
        <v>477</v>
      </c>
      <c r="I39" s="80"/>
      <c r="K39" s="80"/>
      <c r="Q39" s="78"/>
      <c r="R39" s="78"/>
      <c r="S39" s="78"/>
      <c r="T39" s="78"/>
      <c r="U39" s="78"/>
      <c r="V39" s="78"/>
    </row>
    <row r="40" spans="2:98" s="74" customFormat="1">
      <c r="B40" s="74" t="s">
        <v>208</v>
      </c>
      <c r="D40" s="8" t="s">
        <v>478</v>
      </c>
      <c r="E40" s="8" t="s">
        <v>478</v>
      </c>
      <c r="F40" s="8" t="s">
        <v>478</v>
      </c>
      <c r="G40" s="8" t="s">
        <v>479</v>
      </c>
      <c r="H40" s="8" t="s">
        <v>478</v>
      </c>
      <c r="I40" s="80"/>
      <c r="K40" s="80"/>
      <c r="Q40" s="78"/>
      <c r="R40" s="78"/>
      <c r="S40" s="78"/>
      <c r="T40" s="78"/>
      <c r="U40" s="78"/>
      <c r="V40" s="78"/>
    </row>
    <row r="41" spans="2:98" s="74" customFormat="1">
      <c r="B41" s="74" t="s">
        <v>209</v>
      </c>
      <c r="D41" s="8" t="s">
        <v>480</v>
      </c>
      <c r="E41" s="8" t="s">
        <v>480</v>
      </c>
      <c r="F41" s="8" t="s">
        <v>480</v>
      </c>
      <c r="G41" s="8" t="s">
        <v>481</v>
      </c>
      <c r="H41" s="8" t="s">
        <v>480</v>
      </c>
      <c r="I41" s="80"/>
      <c r="K41" s="80"/>
      <c r="Q41" s="78"/>
      <c r="R41" s="78"/>
      <c r="S41" s="78"/>
      <c r="T41" s="78"/>
      <c r="U41" s="78"/>
      <c r="V41" s="78"/>
    </row>
    <row r="42" spans="2:98" s="74" customFormat="1">
      <c r="B42" s="67" t="s">
        <v>56</v>
      </c>
      <c r="C42" s="19"/>
      <c r="D42" s="8">
        <v>0</v>
      </c>
      <c r="E42" s="8">
        <v>0</v>
      </c>
      <c r="F42" s="8">
        <v>87</v>
      </c>
      <c r="G42" s="8">
        <v>0</v>
      </c>
      <c r="H42" s="8">
        <v>94</v>
      </c>
      <c r="I42" s="80"/>
      <c r="K42" s="80"/>
      <c r="Q42" s="78"/>
      <c r="R42" s="78"/>
      <c r="S42" s="78"/>
      <c r="T42" s="78"/>
      <c r="U42" s="78"/>
    </row>
    <row r="43" spans="2:98" s="74" customFormat="1">
      <c r="B43" s="80" t="s">
        <v>264</v>
      </c>
      <c r="C43" s="80"/>
      <c r="D43" s="8">
        <v>16</v>
      </c>
      <c r="E43" s="8">
        <v>64</v>
      </c>
      <c r="F43" s="8">
        <v>0</v>
      </c>
      <c r="G43" s="8">
        <v>0</v>
      </c>
      <c r="H43" s="8">
        <v>0</v>
      </c>
      <c r="I43" s="80"/>
      <c r="K43" s="80"/>
      <c r="Q43" s="78"/>
    </row>
    <row r="44" spans="2:98" s="92" customFormat="1">
      <c r="D44" s="91"/>
      <c r="E44" s="91"/>
      <c r="F44" s="91"/>
      <c r="G44" s="91"/>
      <c r="H44" s="91"/>
      <c r="I44"/>
      <c r="J44"/>
      <c r="K44" s="80"/>
      <c r="L44" s="74"/>
      <c r="M44" s="74"/>
      <c r="N44" s="74"/>
      <c r="O44" s="74"/>
      <c r="P44" s="74"/>
      <c r="Q44" s="78"/>
      <c r="R44"/>
      <c r="S44"/>
      <c r="T44"/>
    </row>
    <row r="45" spans="2:98" s="40" customFormat="1" ht="18.75">
      <c r="D45" s="131" t="s">
        <v>261</v>
      </c>
      <c r="I45"/>
      <c r="K45" s="80"/>
      <c r="L45" s="74"/>
      <c r="M45" s="74"/>
      <c r="N45" s="74"/>
      <c r="O45" s="74"/>
      <c r="P45" s="74"/>
      <c r="Q45" s="78"/>
    </row>
    <row r="46" spans="2:98" s="74" customFormat="1" ht="77.25" customHeight="1">
      <c r="B46" s="131" t="s">
        <v>148</v>
      </c>
      <c r="C46" s="40"/>
      <c r="D46" s="132" t="s">
        <v>153</v>
      </c>
      <c r="E46" s="132" t="s">
        <v>155</v>
      </c>
      <c r="F46" s="132" t="s">
        <v>156</v>
      </c>
      <c r="G46" s="132" t="s">
        <v>154</v>
      </c>
      <c r="H46" s="132" t="s">
        <v>157</v>
      </c>
      <c r="I46" s="80"/>
      <c r="K46" s="80"/>
      <c r="Q46" s="78"/>
      <c r="R46"/>
    </row>
    <row r="47" spans="2:98">
      <c r="B47" s="36" t="s">
        <v>316</v>
      </c>
      <c r="C47"/>
      <c r="D47" s="8">
        <v>1575.1139145388759</v>
      </c>
      <c r="E47" s="8">
        <v>15866.314799669559</v>
      </c>
      <c r="F47" s="8">
        <v>20077.815237908471</v>
      </c>
      <c r="G47" s="8">
        <v>9049.7501487724985</v>
      </c>
      <c r="H47" s="8">
        <v>31122.871998920371</v>
      </c>
      <c r="I47" s="80"/>
      <c r="K47" s="80"/>
      <c r="L47" s="74"/>
      <c r="M47" s="74"/>
      <c r="N47" s="74"/>
      <c r="O47" s="74"/>
      <c r="P47" s="74"/>
      <c r="Q47" s="78"/>
      <c r="S47" s="74"/>
      <c r="T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</row>
    <row r="48" spans="2:98">
      <c r="B48" s="80" t="s">
        <v>317</v>
      </c>
      <c r="C48"/>
      <c r="D48" s="8">
        <v>1655.2943863483949</v>
      </c>
      <c r="E48" s="8">
        <v>16282.009601288903</v>
      </c>
      <c r="F48" s="8">
        <v>20762.956283591477</v>
      </c>
      <c r="G48" s="8">
        <v>12340.704746973583</v>
      </c>
      <c r="H48" s="8">
        <v>31912.609425647923</v>
      </c>
      <c r="I48" s="80"/>
      <c r="K48" s="80"/>
      <c r="L48" s="74"/>
      <c r="M48" s="74"/>
      <c r="N48" s="74"/>
      <c r="O48" s="74"/>
      <c r="P48" s="74"/>
      <c r="Q48" s="78"/>
      <c r="S48" s="74"/>
      <c r="T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</row>
    <row r="49" spans="1:98">
      <c r="B49" s="80" t="s">
        <v>318</v>
      </c>
      <c r="C49"/>
      <c r="D49" s="8">
        <v>1793.8933336255081</v>
      </c>
      <c r="E49" s="8">
        <v>16791.474568849135</v>
      </c>
      <c r="F49" s="8">
        <v>21575.007847129284</v>
      </c>
      <c r="G49" s="8">
        <v>12653.769862568573</v>
      </c>
      <c r="H49" s="8">
        <v>32861.579199367348</v>
      </c>
      <c r="I49" s="80"/>
      <c r="K49" s="80"/>
      <c r="L49" s="74"/>
      <c r="M49" s="74"/>
      <c r="N49" s="74"/>
      <c r="O49" s="74"/>
      <c r="P49" s="74"/>
      <c r="Q49" s="78"/>
      <c r="S49" s="74"/>
      <c r="T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</row>
    <row r="50" spans="1:98">
      <c r="B50" s="80" t="s">
        <v>319</v>
      </c>
      <c r="C50"/>
      <c r="D50" s="8">
        <v>1770.7301563967308</v>
      </c>
      <c r="E50" s="8">
        <v>17318.257545390392</v>
      </c>
      <c r="F50" s="8">
        <v>22420.152642681369</v>
      </c>
      <c r="G50" s="8">
        <v>13001.85971325796</v>
      </c>
      <c r="H50" s="8">
        <v>33812.014781153383</v>
      </c>
      <c r="I50" s="80"/>
      <c r="K50" s="80"/>
      <c r="L50" s="74"/>
      <c r="M50" s="74"/>
      <c r="N50" s="74"/>
      <c r="O50" s="74"/>
      <c r="P50" s="74"/>
      <c r="Q50" s="78"/>
      <c r="S50" s="74"/>
      <c r="T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</row>
    <row r="51" spans="1:98">
      <c r="B51" s="80" t="s">
        <v>320</v>
      </c>
      <c r="C51"/>
      <c r="D51" s="8">
        <v>1832.7995841900247</v>
      </c>
      <c r="E51" s="8">
        <v>17927.597030479908</v>
      </c>
      <c r="F51" s="8">
        <v>23381.165203583729</v>
      </c>
      <c r="G51" s="8">
        <v>13350.017491214847</v>
      </c>
      <c r="H51" s="8">
        <v>34848.816607910398</v>
      </c>
      <c r="I51" s="80"/>
      <c r="K51" s="80"/>
      <c r="L51" s="74"/>
      <c r="M51" s="74"/>
      <c r="N51" s="74"/>
      <c r="O51" s="74"/>
      <c r="P51" s="74"/>
      <c r="Q51" s="78"/>
      <c r="S51" s="74"/>
      <c r="T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</row>
    <row r="52" spans="1:98">
      <c r="B52" s="80" t="s">
        <v>321</v>
      </c>
      <c r="C52" s="37"/>
      <c r="D52" s="8">
        <v>1889.2589148193192</v>
      </c>
      <c r="E52" s="8">
        <v>18467.45646978126</v>
      </c>
      <c r="F52" s="8">
        <v>24261.979394821963</v>
      </c>
      <c r="G52" s="8">
        <v>13682.742725687782</v>
      </c>
      <c r="H52" s="8">
        <v>35632.497069711142</v>
      </c>
      <c r="I52" s="80"/>
      <c r="K52" s="80"/>
      <c r="L52" s="74"/>
      <c r="M52" s="74"/>
      <c r="N52" s="74"/>
      <c r="O52" s="74"/>
      <c r="P52" s="74"/>
      <c r="Q52" s="78"/>
      <c r="S52" s="74"/>
      <c r="T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</row>
    <row r="53" spans="1:98" s="74" customFormat="1">
      <c r="B53" s="80" t="s">
        <v>322</v>
      </c>
      <c r="C53" s="37"/>
      <c r="D53" s="8">
        <v>1949.9866085546105</v>
      </c>
      <c r="E53" s="8">
        <v>19058.295637106814</v>
      </c>
      <c r="F53" s="8">
        <v>25220.697311075277</v>
      </c>
      <c r="G53" s="187">
        <v>0</v>
      </c>
      <c r="H53" s="8">
        <v>36478.256976429977</v>
      </c>
      <c r="I53" s="80"/>
      <c r="K53" s="80"/>
      <c r="Q53" s="78"/>
      <c r="R53"/>
    </row>
    <row r="54" spans="1:98">
      <c r="C54"/>
      <c r="I54" s="80"/>
      <c r="K54" s="80"/>
      <c r="L54" s="74"/>
      <c r="M54" s="74"/>
      <c r="N54" s="74"/>
      <c r="O54" s="74"/>
      <c r="P54" s="74"/>
      <c r="Q54" s="78"/>
      <c r="S54" s="74"/>
      <c r="T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</row>
    <row r="55" spans="1:98" ht="18.75">
      <c r="B55" s="76" t="s">
        <v>150</v>
      </c>
      <c r="C55"/>
      <c r="I55" s="80"/>
      <c r="K55" s="80"/>
      <c r="L55" s="74"/>
      <c r="M55" s="74"/>
      <c r="N55" s="74"/>
      <c r="O55" s="74"/>
      <c r="P55" s="74"/>
      <c r="Q55" s="78"/>
      <c r="S55" s="74"/>
      <c r="T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</row>
    <row r="56" spans="1:98" s="74" customFormat="1" ht="15.75" thickBot="1">
      <c r="B56" s="188" t="s">
        <v>323</v>
      </c>
      <c r="C56" s="189"/>
      <c r="D56" s="190">
        <v>-3.7679929234839878E-2</v>
      </c>
      <c r="E56" s="190">
        <v>-3.2675400412756954E-2</v>
      </c>
      <c r="F56" s="190">
        <v>-9.1802922156142674E-3</v>
      </c>
      <c r="G56" s="190">
        <v>-0.13620669539664057</v>
      </c>
      <c r="H56" s="190">
        <v>8.77211639376963E-2</v>
      </c>
      <c r="I56" s="169"/>
      <c r="K56" s="80"/>
      <c r="Q56"/>
      <c r="R56"/>
    </row>
    <row r="57" spans="1:98">
      <c r="B57" s="36" t="s">
        <v>324</v>
      </c>
      <c r="C57"/>
      <c r="D57" s="50">
        <v>-5.2848619996040966E-3</v>
      </c>
      <c r="E57" s="50">
        <v>7.8446735614526504E-4</v>
      </c>
      <c r="F57" s="50">
        <v>5.4860029249341269E-3</v>
      </c>
      <c r="G57" s="50">
        <v>-4.8529034142521688E-2</v>
      </c>
      <c r="H57" s="50">
        <v>1.302774990673306E-2</v>
      </c>
      <c r="I57" s="80"/>
      <c r="K57" s="80"/>
      <c r="L57" s="74"/>
      <c r="M57" s="74"/>
      <c r="N57" s="74"/>
      <c r="O57" s="74"/>
      <c r="P57" s="74"/>
      <c r="S57" s="74"/>
      <c r="T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</row>
    <row r="58" spans="1:98">
      <c r="B58" s="80" t="s">
        <v>325</v>
      </c>
      <c r="C58"/>
      <c r="D58" s="50">
        <v>-5.2848619996040966E-3</v>
      </c>
      <c r="E58" s="50">
        <v>7.8446735614526504E-4</v>
      </c>
      <c r="F58" s="50">
        <v>5.4860029249341269E-3</v>
      </c>
      <c r="G58" s="50">
        <v>8.6478763596620177E-3</v>
      </c>
      <c r="H58" s="50">
        <v>-2.411975653237225E-3</v>
      </c>
      <c r="I58" s="80"/>
      <c r="K58" s="80"/>
      <c r="L58" s="74"/>
      <c r="M58" s="74"/>
      <c r="N58" s="74"/>
      <c r="O58" s="74"/>
      <c r="P58" s="74"/>
      <c r="S58" s="74"/>
      <c r="T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</row>
    <row r="59" spans="1:98">
      <c r="B59" s="80" t="s">
        <v>326</v>
      </c>
      <c r="C59"/>
      <c r="D59" s="50">
        <v>-5.2848619996040966E-3</v>
      </c>
      <c r="E59" s="50">
        <v>7.8446735614526504E-4</v>
      </c>
      <c r="F59" s="50">
        <v>5.4860029249341269E-3</v>
      </c>
      <c r="G59" s="50">
        <v>-4.1138541039843761E-2</v>
      </c>
      <c r="H59" s="50">
        <v>-1.0187872901963492E-2</v>
      </c>
      <c r="I59" s="80"/>
      <c r="K59" s="80"/>
      <c r="L59" s="74"/>
      <c r="M59" s="74"/>
      <c r="N59" s="74"/>
      <c r="O59" s="74"/>
      <c r="P59" s="74"/>
      <c r="S59" s="74"/>
      <c r="T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</row>
    <row r="60" spans="1:98">
      <c r="B60" s="80" t="s">
        <v>327</v>
      </c>
      <c r="C60"/>
      <c r="D60" s="50">
        <v>-5.2848619996040966E-3</v>
      </c>
      <c r="E60" s="50">
        <v>7.8446735614526504E-4</v>
      </c>
      <c r="F60" s="50">
        <v>5.4860029249341269E-3</v>
      </c>
      <c r="G60" s="50">
        <v>-6.0672360934851385E-2</v>
      </c>
      <c r="H60" s="50">
        <v>-7.1357375718283898E-3</v>
      </c>
      <c r="I60" s="80"/>
      <c r="K60" s="80"/>
      <c r="L60" s="74"/>
      <c r="M60" s="74"/>
      <c r="N60" s="74"/>
      <c r="O60" s="74"/>
      <c r="P60" s="74"/>
      <c r="S60" s="74"/>
      <c r="T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</row>
    <row r="61" spans="1:98">
      <c r="B61" s="80" t="s">
        <v>328</v>
      </c>
      <c r="C61"/>
      <c r="D61" s="50">
        <v>-5.2848619996040966E-3</v>
      </c>
      <c r="E61" s="50">
        <v>7.8446735614526504E-4</v>
      </c>
      <c r="F61" s="50">
        <v>5.4860029249341269E-3</v>
      </c>
      <c r="G61" s="50">
        <v>-6.0204778048143934E-2</v>
      </c>
      <c r="H61" s="50">
        <v>2.6772475423385549E-3</v>
      </c>
      <c r="I61" s="80"/>
      <c r="K61" s="80"/>
      <c r="L61" s="74"/>
      <c r="M61" s="74"/>
      <c r="N61" s="74"/>
      <c r="O61" s="74"/>
      <c r="P61" s="74"/>
      <c r="S61" s="74"/>
      <c r="T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</row>
    <row r="62" spans="1:98">
      <c r="A62" s="38"/>
      <c r="B62" s="80" t="s">
        <v>329</v>
      </c>
      <c r="C62" s="38"/>
      <c r="D62" s="50">
        <v>-5.2848619996040966E-3</v>
      </c>
      <c r="E62" s="50">
        <v>7.8446735614526504E-4</v>
      </c>
      <c r="F62" s="50">
        <v>5.4860029249341269E-3</v>
      </c>
      <c r="G62" s="50">
        <v>-6.1225527832922184E-2</v>
      </c>
      <c r="H62" s="50">
        <v>2.6976240896474405E-3</v>
      </c>
      <c r="I62" s="80"/>
      <c r="K62" s="80"/>
      <c r="L62" s="74"/>
      <c r="M62" s="74"/>
      <c r="N62" s="74"/>
      <c r="O62" s="74"/>
      <c r="P62" s="74"/>
      <c r="S62" s="74"/>
      <c r="T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</row>
    <row r="63" spans="1:98" s="74" customFormat="1">
      <c r="B63" s="80" t="s">
        <v>330</v>
      </c>
      <c r="D63" s="50">
        <v>-5.2848619996040966E-3</v>
      </c>
      <c r="E63" s="50">
        <v>7.8446735614526504E-4</v>
      </c>
      <c r="F63" s="50">
        <v>5.4860029249341269E-3</v>
      </c>
      <c r="G63" s="50">
        <v>-6.1722467954496402E-2</v>
      </c>
      <c r="H63" s="50">
        <v>2.7178856080614742E-3</v>
      </c>
      <c r="I63" s="80"/>
      <c r="K63" s="80"/>
      <c r="Q63"/>
      <c r="R63"/>
    </row>
    <row r="64" spans="1:98">
      <c r="C64" s="38"/>
      <c r="D64" s="41"/>
      <c r="E64" s="41"/>
      <c r="F64" s="41"/>
      <c r="G64" s="41"/>
      <c r="H64" s="41"/>
      <c r="I64" s="80"/>
      <c r="K64" s="80"/>
      <c r="L64" s="74"/>
      <c r="M64" s="74"/>
      <c r="N64" s="74"/>
      <c r="O64" s="74"/>
      <c r="P64" s="74"/>
      <c r="S64" s="74"/>
      <c r="T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</row>
    <row r="65" spans="1:98" ht="18.75">
      <c r="B65" s="42" t="s">
        <v>65</v>
      </c>
      <c r="C65"/>
      <c r="D65" s="24"/>
      <c r="E65" s="24"/>
      <c r="F65" s="24"/>
      <c r="G65" s="24"/>
      <c r="H65" s="24"/>
      <c r="I65" s="80"/>
      <c r="K65" s="80"/>
      <c r="L65" s="74"/>
      <c r="M65" s="74"/>
      <c r="N65" s="74"/>
      <c r="O65" s="74"/>
      <c r="P65" s="74"/>
      <c r="S65" s="74"/>
      <c r="T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</row>
    <row r="66" spans="1:98">
      <c r="B66" s="36" t="s">
        <v>331</v>
      </c>
      <c r="C66"/>
      <c r="D66" s="8">
        <v>654.65479747974143</v>
      </c>
      <c r="E66" s="8">
        <v>11477.60347864556</v>
      </c>
      <c r="F66" s="8">
        <v>21065.627862595422</v>
      </c>
      <c r="G66" s="8">
        <v>132.90725802574445</v>
      </c>
      <c r="H66" s="8">
        <v>11898.39590487747</v>
      </c>
      <c r="I66" s="80"/>
      <c r="K66" s="80"/>
      <c r="L66" s="74"/>
      <c r="M66" s="74"/>
      <c r="N66" s="74"/>
      <c r="O66" s="74"/>
      <c r="P66" s="74"/>
      <c r="S66" s="74"/>
      <c r="T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</row>
    <row r="67" spans="1:98">
      <c r="B67" s="80" t="s">
        <v>332</v>
      </c>
      <c r="C67"/>
      <c r="D67" s="8">
        <v>693.01469355560312</v>
      </c>
      <c r="E67" s="8">
        <v>11316.56026369571</v>
      </c>
      <c r="F67" s="8">
        <v>24983.383211822271</v>
      </c>
      <c r="G67" s="8">
        <v>302.49942994629163</v>
      </c>
      <c r="H67" s="8">
        <v>16279.6723450229</v>
      </c>
      <c r="I67" s="80"/>
      <c r="K67" s="80"/>
      <c r="L67" s="74"/>
      <c r="M67" s="74"/>
      <c r="N67" s="74"/>
      <c r="O67" s="74"/>
      <c r="P67" s="74"/>
      <c r="S67" s="74"/>
      <c r="T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</row>
    <row r="68" spans="1:98">
      <c r="B68" s="80" t="s">
        <v>333</v>
      </c>
      <c r="C68"/>
      <c r="D68" s="8">
        <v>723.2955785004109</v>
      </c>
      <c r="E68" s="8">
        <v>11378.473102374501</v>
      </c>
      <c r="F68" s="8">
        <v>28206.001594177971</v>
      </c>
      <c r="G68" s="8">
        <v>2794.2580748269124</v>
      </c>
      <c r="H68" s="8">
        <v>25950.952115017339</v>
      </c>
      <c r="I68" s="80"/>
      <c r="K68" s="80"/>
      <c r="L68" s="74"/>
      <c r="M68" s="74"/>
      <c r="N68" s="74"/>
      <c r="O68" s="74"/>
      <c r="P68" s="74"/>
      <c r="S68" s="74"/>
      <c r="T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</row>
    <row r="69" spans="1:98">
      <c r="B69" s="80" t="s">
        <v>334</v>
      </c>
      <c r="C69"/>
      <c r="D69" s="8">
        <v>737.13160554854358</v>
      </c>
      <c r="E69" s="8">
        <v>12750.448702763084</v>
      </c>
      <c r="F69" s="8">
        <v>18418.29816184007</v>
      </c>
      <c r="G69" s="8">
        <v>209.13245040632776</v>
      </c>
      <c r="H69" s="8">
        <v>11326.972118574446</v>
      </c>
      <c r="I69" s="80"/>
      <c r="K69" s="80"/>
      <c r="L69" s="74"/>
      <c r="M69" s="74"/>
      <c r="N69" s="74"/>
      <c r="O69" s="74"/>
      <c r="P69" s="74"/>
      <c r="S69" s="74"/>
      <c r="T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</row>
    <row r="70" spans="1:98">
      <c r="B70" s="80" t="s">
        <v>335</v>
      </c>
      <c r="C70"/>
      <c r="D70" s="8">
        <v>834.89712803678583</v>
      </c>
      <c r="E70" s="8">
        <v>13154.476248724959</v>
      </c>
      <c r="F70" s="8">
        <v>14946.527271212733</v>
      </c>
      <c r="G70" s="8">
        <v>144.68800406178775</v>
      </c>
      <c r="H70" s="8">
        <v>10669.298823753605</v>
      </c>
      <c r="I70" s="80"/>
      <c r="K70" s="80"/>
      <c r="L70" s="74"/>
      <c r="M70" s="74"/>
      <c r="N70" s="74"/>
      <c r="O70" s="74"/>
      <c r="P70" s="74"/>
      <c r="S70" s="74"/>
      <c r="T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</row>
    <row r="71" spans="1:98">
      <c r="B71" s="80" t="s">
        <v>336</v>
      </c>
      <c r="C71"/>
      <c r="D71" s="8">
        <v>851.57033947766172</v>
      </c>
      <c r="E71" s="8">
        <v>13550.417024109189</v>
      </c>
      <c r="F71" s="8">
        <v>15157.394795639755</v>
      </c>
      <c r="G71" s="8">
        <v>211.23628233683604</v>
      </c>
      <c r="H71" s="8">
        <v>10558.46804828866</v>
      </c>
      <c r="I71" s="80"/>
      <c r="K71" s="80"/>
      <c r="L71" s="74"/>
      <c r="M71" s="74"/>
      <c r="N71" s="74"/>
      <c r="O71" s="74"/>
      <c r="P71" s="74"/>
      <c r="S71" s="74"/>
      <c r="T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</row>
    <row r="72" spans="1:98">
      <c r="A72" s="38"/>
      <c r="B72" s="80" t="s">
        <v>337</v>
      </c>
      <c r="C72" s="38"/>
      <c r="D72" s="8">
        <v>868.30316791604878</v>
      </c>
      <c r="E72" s="8">
        <v>13816.674305301129</v>
      </c>
      <c r="F72" s="8">
        <v>15455.228192284256</v>
      </c>
      <c r="G72" s="187">
        <v>0</v>
      </c>
      <c r="H72" s="8">
        <v>10765.935389779879</v>
      </c>
      <c r="I72" s="80"/>
      <c r="K72" s="80"/>
      <c r="L72" s="74"/>
      <c r="M72" s="74"/>
      <c r="N72" s="74"/>
      <c r="O72" s="74"/>
      <c r="P72" s="74"/>
      <c r="S72" s="74"/>
      <c r="T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</row>
    <row r="73" spans="1:98">
      <c r="B73" s="80"/>
      <c r="I73" s="80"/>
      <c r="K73" s="80"/>
      <c r="L73" s="74"/>
      <c r="M73" s="74"/>
      <c r="N73" s="74"/>
      <c r="O73" s="74"/>
      <c r="P73" s="74"/>
      <c r="S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</row>
    <row r="74" spans="1:98" ht="18.75">
      <c r="B74" s="42" t="s">
        <v>170</v>
      </c>
      <c r="I74" s="80"/>
      <c r="K74" s="80"/>
      <c r="L74" s="74"/>
      <c r="M74" s="74"/>
      <c r="N74" s="74"/>
      <c r="O74" s="74"/>
      <c r="P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</row>
    <row r="75" spans="1:98" s="74" customFormat="1" ht="69.75" customHeight="1">
      <c r="B75" s="42"/>
      <c r="D75" s="14" t="s">
        <v>153</v>
      </c>
      <c r="E75" s="14" t="s">
        <v>155</v>
      </c>
      <c r="F75" s="14" t="s">
        <v>156</v>
      </c>
      <c r="G75" s="14" t="s">
        <v>154</v>
      </c>
      <c r="H75" s="14" t="s">
        <v>157</v>
      </c>
      <c r="I75" s="80"/>
      <c r="K75" s="80"/>
      <c r="P75" s="80"/>
      <c r="Q75"/>
      <c r="R75"/>
    </row>
    <row r="76" spans="1:98" s="74" customFormat="1">
      <c r="B76" s="25" t="s">
        <v>255</v>
      </c>
      <c r="I76" s="80"/>
      <c r="K76" s="80"/>
      <c r="P76" s="80"/>
      <c r="Q76"/>
      <c r="R76"/>
    </row>
    <row r="77" spans="1:98">
      <c r="B77" t="s">
        <v>338</v>
      </c>
      <c r="D77" s="8">
        <v>0</v>
      </c>
      <c r="E77" s="8">
        <v>0</v>
      </c>
      <c r="F77" s="8">
        <v>0</v>
      </c>
      <c r="G77" s="8">
        <v>6</v>
      </c>
      <c r="H77" s="8">
        <v>0</v>
      </c>
      <c r="I77" s="80"/>
      <c r="K77" s="80"/>
      <c r="P77" s="80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</row>
    <row r="78" spans="1:98">
      <c r="B78" s="74" t="s">
        <v>339</v>
      </c>
      <c r="D78" s="8">
        <v>12</v>
      </c>
      <c r="E78" s="8">
        <v>12</v>
      </c>
      <c r="F78" s="8">
        <v>12</v>
      </c>
      <c r="G78" s="8">
        <v>12</v>
      </c>
      <c r="H78" s="8">
        <v>12</v>
      </c>
      <c r="I78" s="80"/>
      <c r="J78" s="25"/>
      <c r="K78" s="80"/>
      <c r="P78" s="80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</row>
    <row r="79" spans="1:98">
      <c r="B79" s="74" t="s">
        <v>340</v>
      </c>
      <c r="C79" s="74"/>
      <c r="D79" s="8">
        <v>12</v>
      </c>
      <c r="E79" s="8">
        <v>12</v>
      </c>
      <c r="F79" s="8">
        <v>12</v>
      </c>
      <c r="G79" s="8">
        <v>12</v>
      </c>
      <c r="H79" s="8">
        <v>12</v>
      </c>
      <c r="I79" s="80"/>
      <c r="K79" s="80"/>
      <c r="P79" s="80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</row>
    <row r="80" spans="1:98">
      <c r="B80" s="74" t="s">
        <v>341</v>
      </c>
      <c r="D80" s="8">
        <v>12</v>
      </c>
      <c r="E80" s="8">
        <v>12</v>
      </c>
      <c r="F80" s="8">
        <v>12</v>
      </c>
      <c r="G80" s="8">
        <v>12</v>
      </c>
      <c r="H80" s="8">
        <v>12</v>
      </c>
      <c r="I80" s="80"/>
      <c r="K80" s="80"/>
      <c r="P80" s="80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</row>
    <row r="81" spans="2:98">
      <c r="B81" s="74" t="s">
        <v>342</v>
      </c>
      <c r="D81" s="8">
        <v>12</v>
      </c>
      <c r="E81" s="8">
        <v>12</v>
      </c>
      <c r="F81" s="8">
        <v>12</v>
      </c>
      <c r="G81" s="8">
        <v>9</v>
      </c>
      <c r="H81" s="8">
        <v>12</v>
      </c>
      <c r="I81" s="80"/>
      <c r="K81" s="80"/>
      <c r="P81" s="80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</row>
    <row r="82" spans="2:98">
      <c r="B82" s="74" t="s">
        <v>343</v>
      </c>
      <c r="D82" s="8">
        <v>3</v>
      </c>
      <c r="E82" s="8">
        <v>3</v>
      </c>
      <c r="F82" s="8">
        <v>3</v>
      </c>
      <c r="G82" s="8">
        <v>0</v>
      </c>
      <c r="H82" s="8">
        <v>3</v>
      </c>
      <c r="I82" s="80"/>
      <c r="K82" s="80"/>
      <c r="P82" s="80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</row>
    <row r="83" spans="2:98">
      <c r="B83" s="25" t="s">
        <v>237</v>
      </c>
      <c r="I83" s="80"/>
      <c r="K83" s="80"/>
      <c r="P83" s="80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</row>
    <row r="84" spans="2:98" s="74" customFormat="1" ht="15.75" thickBot="1">
      <c r="B84" s="25" t="s">
        <v>172</v>
      </c>
      <c r="D84" s="93">
        <f>SUM(D77:D82)</f>
        <v>51</v>
      </c>
      <c r="E84" s="93">
        <f t="shared" ref="E84:H84" si="0">SUM(E77:E82)</f>
        <v>51</v>
      </c>
      <c r="F84" s="93">
        <f t="shared" si="0"/>
        <v>51</v>
      </c>
      <c r="G84" s="93">
        <f t="shared" si="0"/>
        <v>51</v>
      </c>
      <c r="H84" s="93">
        <f t="shared" si="0"/>
        <v>51</v>
      </c>
      <c r="I84" s="80"/>
      <c r="K84" s="80"/>
      <c r="P84" s="80"/>
      <c r="Q84"/>
      <c r="R84"/>
    </row>
    <row r="85" spans="2:98" s="74" customFormat="1" ht="15.75" thickTop="1">
      <c r="I85" s="80"/>
      <c r="P85" s="80"/>
      <c r="Q85"/>
      <c r="R85"/>
    </row>
    <row r="86" spans="2:98" ht="18.75">
      <c r="B86" s="42" t="s">
        <v>171</v>
      </c>
      <c r="C86" s="74"/>
      <c r="D86" s="74"/>
      <c r="E86" s="74"/>
      <c r="F86" s="74"/>
      <c r="G86" s="74"/>
      <c r="H86" s="74"/>
      <c r="I86" s="80"/>
      <c r="P86" s="80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</row>
    <row r="87" spans="2:98" s="74" customFormat="1" ht="72" customHeight="1">
      <c r="B87" s="42"/>
      <c r="D87" s="14" t="str">
        <f>Inputs!D24</f>
        <v>GasNet</v>
      </c>
      <c r="E87" s="14" t="str">
        <f>Inputs!E24</f>
        <v>Powerco</v>
      </c>
      <c r="F87" s="14" t="str">
        <f>Inputs!F24</f>
        <v>Vector_Dist</v>
      </c>
      <c r="G87" s="14" t="str">
        <f>Inputs!G24</f>
        <v>Maui</v>
      </c>
      <c r="H87" s="14" t="str">
        <f>Inputs!H24</f>
        <v>Vector_Trans</v>
      </c>
      <c r="I87" s="80"/>
      <c r="P87" s="80"/>
    </row>
    <row r="88" spans="2:98" s="74" customFormat="1">
      <c r="B88" s="25" t="s">
        <v>256</v>
      </c>
      <c r="I88" s="80"/>
      <c r="P88" s="80"/>
    </row>
    <row r="89" spans="2:98">
      <c r="B89" s="74" t="s">
        <v>344</v>
      </c>
      <c r="C89" s="74"/>
      <c r="D89" s="8">
        <v>3</v>
      </c>
      <c r="E89" s="8">
        <v>3</v>
      </c>
      <c r="F89" s="8">
        <v>3</v>
      </c>
      <c r="G89" s="8">
        <v>0</v>
      </c>
      <c r="H89" s="8">
        <v>3</v>
      </c>
      <c r="I89" s="80"/>
      <c r="J89" s="74"/>
      <c r="P89" s="80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</row>
    <row r="90" spans="2:98">
      <c r="B90" s="74" t="s">
        <v>345</v>
      </c>
      <c r="C90" s="74"/>
      <c r="D90" s="8">
        <v>12</v>
      </c>
      <c r="E90" s="8">
        <v>12</v>
      </c>
      <c r="F90" s="8">
        <v>12</v>
      </c>
      <c r="G90" s="8">
        <v>12</v>
      </c>
      <c r="H90" s="8">
        <v>12</v>
      </c>
      <c r="I90" s="80"/>
      <c r="J90" s="25"/>
      <c r="P90" s="80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</row>
    <row r="91" spans="2:98">
      <c r="B91" s="74" t="s">
        <v>346</v>
      </c>
      <c r="C91" s="74"/>
      <c r="D91" s="8">
        <v>12</v>
      </c>
      <c r="E91" s="8">
        <v>12</v>
      </c>
      <c r="F91" s="8">
        <v>12</v>
      </c>
      <c r="G91" s="8">
        <v>12</v>
      </c>
      <c r="H91" s="8">
        <v>12</v>
      </c>
      <c r="I91" s="80"/>
      <c r="P91" s="80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</row>
    <row r="92" spans="2:98">
      <c r="B92" s="74" t="s">
        <v>347</v>
      </c>
      <c r="C92" s="74"/>
      <c r="D92" s="8">
        <v>12</v>
      </c>
      <c r="E92" s="8">
        <v>12</v>
      </c>
      <c r="F92" s="8">
        <v>12</v>
      </c>
      <c r="G92" s="8">
        <v>12</v>
      </c>
      <c r="H92" s="8">
        <v>12</v>
      </c>
      <c r="I92" s="80"/>
      <c r="P92" s="80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</row>
    <row r="93" spans="2:98">
      <c r="B93" s="74" t="s">
        <v>348</v>
      </c>
      <c r="C93" s="74"/>
      <c r="D93" s="8">
        <v>12</v>
      </c>
      <c r="E93" s="8">
        <v>12</v>
      </c>
      <c r="F93" s="8">
        <v>12</v>
      </c>
      <c r="G93" s="8">
        <v>12</v>
      </c>
      <c r="H93" s="8">
        <v>12</v>
      </c>
      <c r="I93" s="80"/>
      <c r="P93" s="80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</row>
    <row r="94" spans="2:98">
      <c r="B94" s="74" t="s">
        <v>349</v>
      </c>
      <c r="D94" s="8">
        <v>0</v>
      </c>
      <c r="E94" s="8">
        <v>0</v>
      </c>
      <c r="F94" s="8">
        <v>0</v>
      </c>
      <c r="G94" s="8">
        <v>3</v>
      </c>
      <c r="H94" s="8">
        <v>0</v>
      </c>
      <c r="I94" s="80"/>
      <c r="P94" s="80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</row>
    <row r="95" spans="2:98">
      <c r="B95" s="25" t="s">
        <v>237</v>
      </c>
      <c r="I95" s="80"/>
      <c r="P95" s="80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</row>
    <row r="96" spans="2:98" ht="15.75" thickBot="1">
      <c r="B96" s="25" t="s">
        <v>172</v>
      </c>
      <c r="D96" s="93">
        <f>SUM(D89:D94)</f>
        <v>51</v>
      </c>
      <c r="E96" s="93">
        <f t="shared" ref="E96:H96" si="1">SUM(E89:E94)</f>
        <v>51</v>
      </c>
      <c r="F96" s="93">
        <f t="shared" si="1"/>
        <v>51</v>
      </c>
      <c r="G96" s="93">
        <f t="shared" si="1"/>
        <v>51</v>
      </c>
      <c r="H96" s="93">
        <f t="shared" si="1"/>
        <v>51</v>
      </c>
      <c r="I96" s="80"/>
      <c r="P96" s="80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</row>
    <row r="97" spans="4:98" ht="15.75" thickTop="1">
      <c r="D97" s="74"/>
      <c r="E97" s="74"/>
      <c r="F97" s="74"/>
      <c r="G97" s="74"/>
      <c r="H97" s="74"/>
      <c r="I97" s="80"/>
      <c r="P97" s="80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</row>
    <row r="98" spans="4:98">
      <c r="I98" s="80"/>
      <c r="P98" s="80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</row>
    <row r="99" spans="4:98">
      <c r="I99" s="80"/>
      <c r="P99" s="80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</row>
    <row r="100" spans="4:98">
      <c r="P100" s="80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</row>
    <row r="101" spans="4:98">
      <c r="P101" s="80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</row>
    <row r="102" spans="4:98">
      <c r="P102" s="80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</row>
    <row r="103" spans="4:98">
      <c r="P103" s="80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</row>
    <row r="104" spans="4:98"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</row>
    <row r="105" spans="4:98"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</row>
    <row r="106" spans="4:98"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</row>
    <row r="107" spans="4:98"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</row>
    <row r="108" spans="4:98"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</row>
  </sheetData>
  <pageMargins left="0.15748031496062992" right="0.15748031496062992" top="0.74803149606299213" bottom="0.74803149606299213" header="0.31496062992125984" footer="0.31496062992125984"/>
  <pageSetup paperSize="9" scale="28" orientation="landscape" r:id="rId1"/>
  <headerFooter>
    <oddFooter>&amp;L&amp;D  &amp;T&amp;R&amp;F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70"/>
  <sheetViews>
    <sheetView zoomScaleNormal="100" workbookViewId="0"/>
  </sheetViews>
  <sheetFormatPr defaultRowHeight="15"/>
  <cols>
    <col min="1" max="1" width="9" style="19" customWidth="1"/>
    <col min="2" max="2" width="12.42578125" style="19" bestFit="1" customWidth="1"/>
    <col min="3" max="3" width="42.140625" customWidth="1"/>
    <col min="4" max="4" width="6.140625" customWidth="1"/>
    <col min="5" max="18" width="10.85546875" customWidth="1"/>
    <col min="19" max="19" width="10.42578125" customWidth="1"/>
    <col min="20" max="20" width="10.85546875" customWidth="1"/>
    <col min="22" max="22" width="10.7109375" bestFit="1" customWidth="1"/>
  </cols>
  <sheetData>
    <row r="1" spans="1:29" s="74" customFormat="1" ht="26.25">
      <c r="A1" s="80"/>
      <c r="B1" s="148" t="s">
        <v>265</v>
      </c>
    </row>
    <row r="2" spans="1:29" s="74" customFormat="1">
      <c r="C2" s="147">
        <f ca="1">NOW()</f>
        <v>41332.920180671295</v>
      </c>
    </row>
    <row r="3" spans="1:29" ht="69" customHeight="1">
      <c r="B3" s="38"/>
      <c r="D3" s="51"/>
      <c r="E3" s="32" t="str">
        <f ca="1">GasNet!C1</f>
        <v>GasNet</v>
      </c>
      <c r="F3" s="32" t="str">
        <f ca="1">Powerco!C1</f>
        <v>Powerco</v>
      </c>
      <c r="G3" s="32" t="str">
        <f ca="1">Vector_Dist!C1</f>
        <v>Vector_Dist</v>
      </c>
      <c r="H3" s="32" t="str">
        <f ca="1">Maui!C1</f>
        <v>Maui</v>
      </c>
      <c r="I3" s="32" t="str">
        <f ca="1">Vector_Trans!C1</f>
        <v>Vector_Trans</v>
      </c>
      <c r="J3" s="14"/>
      <c r="K3" s="142"/>
      <c r="L3" s="14"/>
      <c r="M3" s="14"/>
      <c r="N3" s="14"/>
      <c r="O3" s="14"/>
      <c r="P3" s="14"/>
      <c r="Q3" s="14"/>
      <c r="R3" s="14"/>
      <c r="S3" s="14"/>
      <c r="T3" s="14"/>
      <c r="U3" s="74"/>
      <c r="V3" s="74"/>
      <c r="W3" s="74"/>
      <c r="X3" s="74"/>
      <c r="Y3" s="74"/>
      <c r="Z3" s="74"/>
      <c r="AA3" s="74"/>
      <c r="AB3" s="74"/>
      <c r="AC3" s="74"/>
    </row>
    <row r="4" spans="1:29" s="74" customFormat="1">
      <c r="C4" s="77" t="s">
        <v>152</v>
      </c>
      <c r="E4" s="72">
        <f>GasNet!D328</f>
        <v>1.9951962530362854E-2</v>
      </c>
      <c r="F4" s="72">
        <f>Powerco!D328</f>
        <v>3.9911039047253037E-2</v>
      </c>
      <c r="G4" s="72">
        <f>Vector_Dist!D328</f>
        <v>-0.17987258995966005</v>
      </c>
      <c r="H4" s="72">
        <f>Maui!D328</f>
        <v>-1.1974356789439131E-2</v>
      </c>
      <c r="I4" s="72">
        <f>Vector_Trans!D328</f>
        <v>-0.29498028903808937</v>
      </c>
      <c r="J4" s="72"/>
      <c r="K4" s="142"/>
      <c r="L4" s="14"/>
      <c r="M4" s="14"/>
      <c r="N4" s="14"/>
      <c r="O4" s="14"/>
      <c r="P4" s="14"/>
      <c r="Q4" s="14"/>
      <c r="R4" s="14"/>
      <c r="S4" s="14"/>
      <c r="T4" s="14"/>
    </row>
    <row r="5" spans="1:29" s="74" customFormat="1">
      <c r="C5" s="74" t="s">
        <v>282</v>
      </c>
      <c r="E5" s="142">
        <f>GasNet!E336</f>
        <v>5636.1675266575503</v>
      </c>
      <c r="F5" s="142">
        <f>Powerco!E336</f>
        <v>60153.615822657513</v>
      </c>
      <c r="G5" s="142">
        <f>Vector_Dist!E336</f>
        <v>86548.073342951524</v>
      </c>
      <c r="H5" s="142">
        <f>Maui!E336</f>
        <v>39804.815070220364</v>
      </c>
      <c r="I5" s="142">
        <f>Vector_Trans!E336</f>
        <v>110022.0308435378</v>
      </c>
      <c r="J5" s="142"/>
      <c r="K5" s="142"/>
      <c r="L5" s="14"/>
      <c r="M5" s="14"/>
      <c r="N5" s="14"/>
      <c r="O5" s="14"/>
      <c r="P5" s="14"/>
      <c r="Q5" s="14"/>
      <c r="R5" s="14"/>
      <c r="S5" s="14"/>
      <c r="T5" s="14"/>
    </row>
    <row r="6" spans="1:29" s="74" customFormat="1">
      <c r="C6" s="74" t="s">
        <v>287</v>
      </c>
      <c r="E6" s="142">
        <f>GasNet!E337</f>
        <v>-339.97466235584761</v>
      </c>
      <c r="F6" s="142">
        <f>Powerco!E337</f>
        <v>-7140.4750302881293</v>
      </c>
      <c r="G6" s="142">
        <f>Vector_Dist!E337</f>
        <v>56539.345319954155</v>
      </c>
      <c r="H6" s="142">
        <f>Maui!E337</f>
        <v>1590.7287195222452</v>
      </c>
      <c r="I6" s="142">
        <f>Vector_Trans!E337</f>
        <v>135387.66483708192</v>
      </c>
      <c r="J6" s="142"/>
      <c r="K6" s="142"/>
      <c r="L6" s="14"/>
      <c r="M6" s="14"/>
      <c r="N6" s="14"/>
      <c r="O6" s="14"/>
      <c r="P6" s="14"/>
      <c r="Q6" s="14"/>
      <c r="R6" s="14"/>
      <c r="S6" s="14"/>
      <c r="T6" s="14"/>
    </row>
    <row r="7" spans="1:29" s="74" customFormat="1">
      <c r="C7" s="77" t="s">
        <v>254</v>
      </c>
      <c r="D7"/>
      <c r="E7" s="142">
        <f>GasNet!D286</f>
        <v>16670.556298319945</v>
      </c>
      <c r="F7" s="142">
        <f>Powerco!D286</f>
        <v>179630.9506815795</v>
      </c>
      <c r="G7" s="142">
        <f>Vector_Dist!D286</f>
        <v>260342.31434746599</v>
      </c>
      <c r="H7" s="142">
        <f>Maui!D286</f>
        <v>149585.37739113384</v>
      </c>
      <c r="I7" s="142">
        <f>Vector_Trans!D286</f>
        <v>328284.91597698571</v>
      </c>
      <c r="J7" s="142"/>
      <c r="K7" s="142"/>
      <c r="L7" s="14"/>
      <c r="M7" s="14"/>
      <c r="N7" s="14"/>
      <c r="O7" s="14"/>
      <c r="P7" s="14"/>
      <c r="Q7" s="14"/>
      <c r="R7" s="14"/>
      <c r="S7" s="14"/>
      <c r="T7" s="14"/>
    </row>
    <row r="8" spans="1:29" s="74" customFormat="1">
      <c r="C8" s="74" t="s">
        <v>303</v>
      </c>
      <c r="E8" s="141">
        <f>GasNet!H340</f>
        <v>4577.6694541082861</v>
      </c>
      <c r="F8" s="141">
        <f>Powerco!H340</f>
        <v>48620.068556696926</v>
      </c>
      <c r="G8" s="141">
        <f>Vector_Dist!H340</f>
        <v>69692.539928755723</v>
      </c>
      <c r="H8" s="141">
        <f>Maui!H340</f>
        <v>0</v>
      </c>
      <c r="I8" s="141">
        <f>Vector_Trans!H340</f>
        <v>88982.623493058578</v>
      </c>
      <c r="J8" s="141"/>
      <c r="K8" s="142"/>
      <c r="L8" s="14"/>
      <c r="M8" s="14"/>
      <c r="N8" s="14"/>
      <c r="O8" s="14"/>
      <c r="P8" s="14"/>
      <c r="Q8" s="14"/>
      <c r="R8" s="14"/>
      <c r="S8" s="14"/>
      <c r="T8" s="14"/>
    </row>
    <row r="9" spans="1:29" s="74" customFormat="1">
      <c r="C9" s="74" t="s">
        <v>304</v>
      </c>
      <c r="E9" s="141">
        <f>GasNet!I340</f>
        <v>4491.7501631304785</v>
      </c>
      <c r="F9" s="141">
        <f>Powerco!I340</f>
        <v>47998.59868348328</v>
      </c>
      <c r="G9" s="141">
        <f>Vector_Dist!I340</f>
        <v>69124.938360762593</v>
      </c>
      <c r="H9" s="141">
        <f>Maui!I340</f>
        <v>39804.815070220364</v>
      </c>
      <c r="I9" s="141">
        <f>Vector_Trans!I340</f>
        <v>87776.374970273158</v>
      </c>
      <c r="J9" s="141"/>
      <c r="K9" s="142"/>
      <c r="L9" s="14"/>
      <c r="M9" s="14"/>
      <c r="N9" s="14"/>
      <c r="O9" s="14"/>
      <c r="P9" s="14"/>
      <c r="Q9" s="14"/>
      <c r="R9" s="14"/>
      <c r="S9" s="14"/>
      <c r="T9" s="14"/>
    </row>
    <row r="10" spans="1:29" s="74" customFormat="1">
      <c r="C10" s="74" t="s">
        <v>300</v>
      </c>
      <c r="E10" s="17">
        <f>GasNet!E341</f>
        <v>0.98945820576714671</v>
      </c>
      <c r="F10" s="17">
        <f>Powerco!E341</f>
        <v>1.0015695501013233</v>
      </c>
      <c r="G10" s="17">
        <f>Vector_Dist!E341</f>
        <v>1.0110021020779607</v>
      </c>
      <c r="H10" s="17">
        <f>Maui!E341</f>
        <v>0.96715357430328885</v>
      </c>
      <c r="I10" s="17">
        <f>Vector_Trans!E341</f>
        <v>1.0105843516379043</v>
      </c>
      <c r="J10" s="17"/>
      <c r="K10" s="142"/>
      <c r="L10" s="14"/>
      <c r="M10" s="14"/>
      <c r="N10" s="14"/>
      <c r="O10" s="14"/>
      <c r="P10" s="14"/>
      <c r="Q10" s="14"/>
      <c r="R10" s="14"/>
      <c r="S10" s="14"/>
      <c r="T10" s="14"/>
    </row>
    <row r="11" spans="1:29" s="74" customFormat="1">
      <c r="C11" s="74" t="s">
        <v>202</v>
      </c>
      <c r="E11" s="141">
        <f>GasNet!D326</f>
        <v>4403.8840338980808</v>
      </c>
      <c r="F11" s="141">
        <f>Powerco!D326</f>
        <v>46156.446927862882</v>
      </c>
      <c r="G11" s="141">
        <f>Vector_Dist!D326</f>
        <v>84285.609180362007</v>
      </c>
      <c r="H11" s="141">
        <f>Maui!D326</f>
        <v>40287.228720983156</v>
      </c>
      <c r="I11" s="141">
        <f>Vector_Trans!D326</f>
        <v>124502.01548338747</v>
      </c>
      <c r="J11" s="141"/>
      <c r="K11" s="142"/>
      <c r="L11" s="14"/>
      <c r="M11" s="14"/>
      <c r="N11" s="14"/>
      <c r="O11" s="14"/>
      <c r="P11" s="14"/>
      <c r="Q11" s="14"/>
      <c r="R11" s="14"/>
      <c r="S11" s="14"/>
      <c r="T11" s="14"/>
    </row>
    <row r="12" spans="1:29" s="74" customFormat="1">
      <c r="C12" s="74" t="s">
        <v>201</v>
      </c>
      <c r="E12" s="141">
        <f>GasNet!D327</f>
        <v>4491.7501631304785</v>
      </c>
      <c r="F12" s="141">
        <f>Powerco!D327</f>
        <v>47998.59868348328</v>
      </c>
      <c r="G12" s="141">
        <f>Vector_Dist!D327</f>
        <v>69124.938360762593</v>
      </c>
      <c r="H12" s="141">
        <f>Maui!D327</f>
        <v>39804.815070220364</v>
      </c>
      <c r="I12" s="141">
        <f>Vector_Trans!D327</f>
        <v>87776.374970273158</v>
      </c>
      <c r="J12" s="141"/>
      <c r="K12" s="142"/>
      <c r="L12" s="14"/>
      <c r="M12" s="14"/>
      <c r="N12" s="14"/>
      <c r="O12" s="14"/>
      <c r="P12" s="14"/>
      <c r="Q12" s="14"/>
      <c r="R12" s="14"/>
      <c r="S12" s="14"/>
      <c r="T12" s="14"/>
    </row>
    <row r="13" spans="1:29" s="74" customFormat="1"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9">
      <c r="C14" s="140" t="s">
        <v>301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9"/>
    </row>
    <row r="15" spans="1:29" ht="64.5" customHeight="1">
      <c r="E15" s="32" t="s">
        <v>262</v>
      </c>
      <c r="F15" s="32" t="s">
        <v>155</v>
      </c>
      <c r="G15" s="32" t="s">
        <v>156</v>
      </c>
      <c r="H15" s="32" t="s">
        <v>154</v>
      </c>
      <c r="I15" s="32" t="s">
        <v>157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9"/>
    </row>
    <row r="16" spans="1:29">
      <c r="C16" s="106" t="s">
        <v>302</v>
      </c>
      <c r="E16" s="22">
        <f>E8</f>
        <v>4577.6694541082861</v>
      </c>
      <c r="F16" s="22">
        <f t="shared" ref="F16:I16" si="0">F8</f>
        <v>48620.068556696926</v>
      </c>
      <c r="G16" s="22">
        <f t="shared" si="0"/>
        <v>69692.539928755723</v>
      </c>
      <c r="H16" s="22">
        <f>H9</f>
        <v>39804.815070220364</v>
      </c>
      <c r="I16" s="22">
        <f t="shared" si="0"/>
        <v>88982.623493058578</v>
      </c>
      <c r="K16" s="74" t="s">
        <v>440</v>
      </c>
      <c r="L16" s="38"/>
      <c r="M16" s="38"/>
      <c r="N16" s="38"/>
      <c r="O16" s="38"/>
      <c r="P16" s="38"/>
      <c r="Q16" s="38"/>
      <c r="R16" s="38"/>
      <c r="S16" s="38"/>
      <c r="T16" s="38"/>
      <c r="U16" s="19"/>
    </row>
    <row r="17" spans="3:21">
      <c r="C17" s="74" t="s">
        <v>300</v>
      </c>
      <c r="E17" s="17">
        <f>E10</f>
        <v>0.98945820576714671</v>
      </c>
      <c r="F17" s="17">
        <f t="shared" ref="F17:I17" si="1">F10</f>
        <v>1.0015695501013233</v>
      </c>
      <c r="G17" s="17">
        <f t="shared" si="1"/>
        <v>1.0110021020779607</v>
      </c>
      <c r="H17" s="17">
        <f t="shared" si="1"/>
        <v>0.96715357430328885</v>
      </c>
      <c r="I17" s="17">
        <f t="shared" si="1"/>
        <v>1.0105843516379043</v>
      </c>
      <c r="J17" s="38"/>
      <c r="L17" s="74" t="s">
        <v>441</v>
      </c>
      <c r="M17" s="146"/>
      <c r="U17" s="19"/>
    </row>
    <row r="18" spans="3:21" s="74" customFormat="1">
      <c r="C18" s="74" t="s">
        <v>482</v>
      </c>
      <c r="E18" s="233">
        <f>1+GasNet!G49</f>
        <v>0.9947151380003959</v>
      </c>
      <c r="F18" s="233">
        <f>1+Powerco!G49</f>
        <v>1.0007844673561452</v>
      </c>
      <c r="G18" s="233">
        <f>1+Vector_Dist!G49</f>
        <v>1.0054860029249342</v>
      </c>
      <c r="H18" s="233">
        <f>1+Maui!G49</f>
        <v>0.95147096585747826</v>
      </c>
      <c r="I18" s="233">
        <f>1+Vector_Trans!G49</f>
        <v>1.0130277499067331</v>
      </c>
      <c r="M18" s="146"/>
    </row>
    <row r="19" spans="3:21" s="74" customFormat="1">
      <c r="M19" s="146"/>
    </row>
    <row r="20" spans="3:21" s="74" customFormat="1">
      <c r="C20" s="140" t="s">
        <v>306</v>
      </c>
      <c r="E20" s="17"/>
      <c r="F20" s="17"/>
      <c r="G20" s="17"/>
      <c r="H20" s="17"/>
      <c r="I20" s="17"/>
      <c r="M20" s="146"/>
    </row>
    <row r="21" spans="3:21" s="74" customFormat="1">
      <c r="C21" s="74" t="s">
        <v>307</v>
      </c>
      <c r="E21" s="141">
        <f>E11+F11+G11</f>
        <v>134845.94014212297</v>
      </c>
      <c r="F21" s="17"/>
      <c r="G21" s="17"/>
      <c r="H21" s="17"/>
      <c r="I21" s="17"/>
      <c r="M21" s="146"/>
    </row>
    <row r="22" spans="3:21" s="74" customFormat="1">
      <c r="C22" s="74" t="s">
        <v>308</v>
      </c>
      <c r="E22" s="141">
        <f>E12+F12+G12</f>
        <v>121615.28720737636</v>
      </c>
      <c r="F22" s="17"/>
      <c r="G22" s="17"/>
      <c r="H22" s="17"/>
      <c r="I22" s="17"/>
      <c r="M22" s="146"/>
    </row>
    <row r="23" spans="3:21" s="74" customFormat="1">
      <c r="C23" s="74" t="s">
        <v>309</v>
      </c>
      <c r="E23" s="163">
        <f>(E22-E21)/E21</f>
        <v>-9.8116805895690745E-2</v>
      </c>
      <c r="F23" s="17"/>
      <c r="G23" s="17"/>
      <c r="H23" s="17"/>
      <c r="I23" s="17"/>
      <c r="M23" s="146"/>
    </row>
    <row r="24" spans="3:21" s="74" customFormat="1">
      <c r="E24" s="17"/>
      <c r="F24" s="17"/>
      <c r="G24" s="17"/>
      <c r="H24" s="17"/>
      <c r="I24" s="17"/>
      <c r="M24" s="146"/>
    </row>
    <row r="25" spans="3:21" s="74" customFormat="1">
      <c r="C25" s="74" t="s">
        <v>310</v>
      </c>
      <c r="E25" s="141">
        <f>H11+I11</f>
        <v>164789.24420437063</v>
      </c>
      <c r="F25" s="17"/>
      <c r="G25" s="17"/>
      <c r="H25" s="17"/>
      <c r="I25" s="17"/>
      <c r="M25" s="146"/>
    </row>
    <row r="26" spans="3:21" s="74" customFormat="1">
      <c r="C26" s="74" t="s">
        <v>311</v>
      </c>
      <c r="E26" s="141">
        <f>H12+I12</f>
        <v>127581.19004049353</v>
      </c>
      <c r="F26" s="17"/>
      <c r="G26" s="17"/>
      <c r="H26" s="17"/>
      <c r="I26" s="17"/>
      <c r="M26" s="146"/>
    </row>
    <row r="27" spans="3:21" s="74" customFormat="1">
      <c r="C27" s="74" t="s">
        <v>312</v>
      </c>
      <c r="E27" s="163">
        <f>(E26-E25)/E25</f>
        <v>-0.2257917641623011</v>
      </c>
      <c r="F27" s="17"/>
      <c r="G27" s="17"/>
      <c r="H27" s="17"/>
      <c r="I27" s="17"/>
      <c r="M27" s="146"/>
    </row>
    <row r="28" spans="3:21" s="74" customFormat="1">
      <c r="E28" s="17"/>
      <c r="F28" s="17"/>
      <c r="G28" s="17"/>
      <c r="H28" s="17"/>
      <c r="I28" s="17"/>
      <c r="M28" s="146"/>
    </row>
    <row r="29" spans="3:21" s="74" customFormat="1">
      <c r="C29" s="74" t="s">
        <v>313</v>
      </c>
      <c r="E29" s="141">
        <f>SUM(E11:I11)</f>
        <v>299635.18434649357</v>
      </c>
      <c r="F29" s="17"/>
      <c r="G29" s="17"/>
      <c r="H29" s="17"/>
      <c r="I29" s="17"/>
      <c r="M29" s="146"/>
    </row>
    <row r="30" spans="3:21" s="74" customFormat="1">
      <c r="C30" s="74" t="s">
        <v>314</v>
      </c>
      <c r="E30" s="141">
        <f>SUM(E12:I12)</f>
        <v>249196.47724786989</v>
      </c>
      <c r="F30" s="17"/>
      <c r="G30" s="17"/>
      <c r="H30" s="17"/>
      <c r="I30" s="17"/>
      <c r="M30" s="146"/>
    </row>
    <row r="31" spans="3:21" s="74" customFormat="1">
      <c r="C31" s="74" t="s">
        <v>315</v>
      </c>
      <c r="E31" s="163">
        <f>(E30-E29)/E29</f>
        <v>-0.16833372625658383</v>
      </c>
      <c r="F31" s="17"/>
      <c r="G31" s="17"/>
      <c r="H31" s="17"/>
      <c r="I31" s="17"/>
      <c r="M31" s="146"/>
    </row>
    <row r="32" spans="3:21">
      <c r="E32" s="38"/>
      <c r="F32" s="38"/>
      <c r="G32" s="38"/>
      <c r="H32" s="38"/>
      <c r="I32" s="38"/>
      <c r="J32" s="38"/>
      <c r="L32" s="144"/>
    </row>
    <row r="33" spans="3:15" s="74" customFormat="1">
      <c r="J33" s="145"/>
      <c r="L33" s="144"/>
      <c r="M33" s="146"/>
    </row>
    <row r="34" spans="3:15" s="74" customFormat="1">
      <c r="J34" s="72"/>
      <c r="L34" s="144"/>
      <c r="M34" s="146"/>
    </row>
    <row r="35" spans="3:15" s="74" customFormat="1">
      <c r="J35" s="72"/>
      <c r="L35" s="144"/>
      <c r="M35" s="146"/>
    </row>
    <row r="36" spans="3:15" s="74" customFormat="1">
      <c r="L36" s="144"/>
      <c r="M36" s="146"/>
    </row>
    <row r="37" spans="3:15" s="74" customFormat="1">
      <c r="L37" s="144"/>
      <c r="M37" s="146"/>
    </row>
    <row r="38" spans="3:15">
      <c r="C38" s="19"/>
    </row>
    <row r="39" spans="3:15">
      <c r="C39" s="19"/>
      <c r="O39" s="146"/>
    </row>
    <row r="43" spans="3:15">
      <c r="E43" s="19"/>
    </row>
    <row r="45" spans="3:15">
      <c r="C45" s="74"/>
    </row>
    <row r="55" spans="3:22">
      <c r="J55" s="74"/>
      <c r="K55" s="74"/>
    </row>
    <row r="56" spans="3:22">
      <c r="J56" s="74"/>
      <c r="K56" s="74"/>
      <c r="L56" s="77"/>
      <c r="M56" s="77"/>
      <c r="N56" s="77"/>
      <c r="O56" s="77"/>
      <c r="P56" s="77"/>
      <c r="Q56" s="77"/>
      <c r="R56" s="77"/>
      <c r="S56" s="90"/>
      <c r="U56" s="77"/>
    </row>
    <row r="57" spans="3:22" s="74" customFormat="1">
      <c r="E57" s="141"/>
      <c r="F57" s="141"/>
      <c r="G57" s="141"/>
      <c r="H57" s="141"/>
      <c r="I57" s="141"/>
      <c r="L57" s="77"/>
      <c r="M57" s="77"/>
      <c r="N57" s="77"/>
      <c r="O57" s="77"/>
      <c r="P57" s="77"/>
      <c r="Q57" s="77"/>
      <c r="R57" s="77"/>
      <c r="S57" s="90"/>
      <c r="U57" s="77"/>
    </row>
    <row r="58" spans="3:22" s="74" customFormat="1">
      <c r="E58" s="141"/>
      <c r="F58" s="141"/>
      <c r="G58" s="141"/>
      <c r="H58" s="141"/>
      <c r="I58" s="141"/>
      <c r="L58" s="77"/>
      <c r="M58" s="77"/>
      <c r="N58" s="77"/>
      <c r="O58" s="77"/>
      <c r="P58" s="77"/>
      <c r="Q58" s="77"/>
      <c r="R58" s="77"/>
      <c r="S58" s="90"/>
      <c r="U58" s="77"/>
    </row>
    <row r="59" spans="3:22" s="74" customFormat="1">
      <c r="E59" s="141"/>
      <c r="F59" s="141"/>
      <c r="G59" s="141"/>
      <c r="H59" s="141"/>
      <c r="I59" s="141"/>
      <c r="L59" s="77"/>
      <c r="M59" s="77"/>
      <c r="N59" s="77"/>
      <c r="O59" s="77"/>
      <c r="P59" s="77"/>
      <c r="Q59" s="77"/>
      <c r="R59" s="77"/>
      <c r="S59" s="90"/>
      <c r="U59" s="77"/>
    </row>
    <row r="60" spans="3:22" s="74" customFormat="1">
      <c r="E60" s="141"/>
      <c r="F60" s="141"/>
      <c r="G60" s="141"/>
      <c r="H60" s="141"/>
      <c r="I60" s="141"/>
      <c r="L60" s="77"/>
      <c r="M60" s="77"/>
      <c r="N60" s="77"/>
      <c r="O60" s="77"/>
      <c r="P60" s="77"/>
      <c r="Q60" s="77"/>
      <c r="R60" s="77"/>
      <c r="S60" s="90"/>
      <c r="U60" s="77"/>
    </row>
    <row r="61" spans="3:22" s="74" customFormat="1">
      <c r="E61" s="141"/>
      <c r="F61" s="141"/>
      <c r="G61" s="141"/>
      <c r="H61" s="141"/>
      <c r="I61" s="141"/>
      <c r="L61" s="77"/>
      <c r="M61" s="77"/>
      <c r="N61" s="77"/>
      <c r="O61" s="77"/>
      <c r="P61" s="77"/>
      <c r="Q61" s="77"/>
      <c r="R61" s="77"/>
      <c r="S61" s="90"/>
      <c r="U61" s="77"/>
    </row>
    <row r="62" spans="3:22" s="74" customFormat="1">
      <c r="E62" s="141"/>
      <c r="F62" s="141"/>
      <c r="G62" s="141"/>
      <c r="H62" s="141"/>
      <c r="I62" s="141"/>
      <c r="L62" s="77"/>
      <c r="M62" s="77"/>
      <c r="N62" s="77"/>
      <c r="O62" s="77"/>
      <c r="P62" s="77"/>
      <c r="Q62" s="77"/>
      <c r="R62" s="77"/>
      <c r="S62" s="90"/>
      <c r="U62" s="77"/>
    </row>
    <row r="63" spans="3:22">
      <c r="C63" s="74"/>
      <c r="D63" s="74"/>
      <c r="E63" s="141"/>
      <c r="F63" s="141"/>
      <c r="G63" s="141"/>
      <c r="H63" s="141"/>
      <c r="I63" s="141"/>
      <c r="J63" s="74"/>
      <c r="K63" s="74"/>
      <c r="L63" s="77"/>
      <c r="M63" s="77"/>
      <c r="N63" s="77"/>
      <c r="O63" s="77"/>
      <c r="P63" s="77"/>
      <c r="Q63" s="77"/>
      <c r="R63" s="77"/>
      <c r="S63" s="90"/>
      <c r="T63" s="74"/>
      <c r="U63" s="77"/>
      <c r="V63" s="74"/>
    </row>
    <row r="64" spans="3:22">
      <c r="C64" s="74"/>
      <c r="D64" s="74"/>
      <c r="E64" s="141"/>
      <c r="F64" s="141"/>
      <c r="G64" s="141"/>
      <c r="H64" s="141"/>
      <c r="I64" s="141"/>
      <c r="J64" s="74"/>
      <c r="K64" s="74"/>
      <c r="L64" s="74"/>
      <c r="M64" s="77"/>
      <c r="N64" s="74"/>
      <c r="O64" s="74"/>
      <c r="P64" s="77"/>
      <c r="Q64" s="77"/>
      <c r="R64" s="77"/>
      <c r="S64" s="90"/>
      <c r="T64" s="74"/>
      <c r="U64" s="77"/>
      <c r="V64" s="74"/>
    </row>
    <row r="65" spans="3:22">
      <c r="C65" s="74"/>
      <c r="D65" s="74"/>
      <c r="E65" s="141"/>
      <c r="F65" s="141"/>
      <c r="G65" s="141"/>
      <c r="H65" s="141"/>
      <c r="I65" s="141"/>
      <c r="M65" s="77"/>
      <c r="N65" s="112"/>
      <c r="O65" s="112"/>
      <c r="P65" s="77"/>
      <c r="Q65" s="77"/>
      <c r="R65" s="77"/>
      <c r="S65" s="90"/>
      <c r="T65" s="74"/>
      <c r="U65" s="77"/>
      <c r="V65" s="74"/>
    </row>
    <row r="66" spans="3:22">
      <c r="C66" s="74"/>
      <c r="D66" s="74"/>
      <c r="E66" s="141"/>
      <c r="F66" s="141"/>
      <c r="G66" s="141"/>
      <c r="H66" s="141"/>
      <c r="I66" s="141"/>
      <c r="M66" s="77"/>
      <c r="P66" s="77"/>
      <c r="Q66" s="77"/>
      <c r="R66" s="77"/>
      <c r="S66" s="90"/>
      <c r="T66" s="74"/>
      <c r="U66" s="77"/>
      <c r="V66" s="74"/>
    </row>
    <row r="67" spans="3:22">
      <c r="C67" s="74"/>
      <c r="D67" s="74"/>
      <c r="E67" s="141"/>
      <c r="F67" s="141"/>
      <c r="G67" s="141"/>
      <c r="H67" s="141"/>
      <c r="I67" s="141"/>
      <c r="M67" s="77"/>
      <c r="P67" s="77"/>
      <c r="Q67" s="77"/>
      <c r="R67" s="77"/>
      <c r="S67" s="90"/>
      <c r="T67" s="74"/>
      <c r="U67" s="77"/>
      <c r="V67" s="74"/>
    </row>
    <row r="68" spans="3:22" s="74" customFormat="1">
      <c r="E68" s="141"/>
      <c r="F68" s="141"/>
      <c r="G68" s="141"/>
      <c r="H68" s="141"/>
      <c r="I68" s="141"/>
      <c r="P68" s="77"/>
      <c r="Q68" s="77"/>
      <c r="R68" s="77"/>
      <c r="S68" s="90"/>
      <c r="U68" s="77"/>
    </row>
    <row r="69" spans="3:22">
      <c r="C69" s="74"/>
      <c r="D69" s="74"/>
      <c r="E69" s="141"/>
      <c r="F69" s="141"/>
      <c r="G69" s="141"/>
      <c r="H69" s="141"/>
      <c r="I69" s="141"/>
      <c r="P69" s="77"/>
      <c r="Q69" s="77"/>
      <c r="R69" s="77"/>
      <c r="S69" s="90"/>
      <c r="T69" s="74"/>
      <c r="U69" s="77"/>
      <c r="V69" s="74"/>
    </row>
    <row r="70" spans="3:22">
      <c r="C70" s="74"/>
      <c r="D70" s="74"/>
      <c r="E70" s="141"/>
      <c r="F70" s="141"/>
      <c r="G70" s="141"/>
      <c r="H70" s="141"/>
      <c r="I70" s="141"/>
    </row>
  </sheetData>
  <conditionalFormatting sqref="E5:J7">
    <cfRule type="cellIs" dxfId="16" priority="15" operator="equal">
      <formula>TRUE</formula>
    </cfRule>
  </conditionalFormatting>
  <conditionalFormatting sqref="K3:K12">
    <cfRule type="cellIs" dxfId="15" priority="4" operator="equal">
      <formula>TRUE</formula>
    </cfRule>
  </conditionalFormatting>
  <pageMargins left="0.31496062992125984" right="0.39370078740157483" top="0.43307086614173229" bottom="0.43307086614173229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tabColor theme="3" tint="0.79998168889431442"/>
    <pageSetUpPr fitToPage="1"/>
  </sheetPr>
  <dimension ref="A1:O275"/>
  <sheetViews>
    <sheetView workbookViewId="0"/>
  </sheetViews>
  <sheetFormatPr defaultRowHeight="15"/>
  <cols>
    <col min="1" max="1" width="3.42578125" style="19" customWidth="1"/>
    <col min="2" max="2" width="46.5703125" style="19" customWidth="1"/>
    <col min="3" max="3" width="13" style="19" customWidth="1"/>
    <col min="4" max="4" width="10.85546875" style="19" customWidth="1"/>
    <col min="5" max="14" width="10" style="19" customWidth="1"/>
    <col min="15" max="19" width="11" style="19" customWidth="1"/>
    <col min="20" max="16384" width="9.140625" style="19"/>
  </cols>
  <sheetData>
    <row r="1" spans="1:15">
      <c r="A1" s="80"/>
    </row>
    <row r="2" spans="1:15" ht="28.5">
      <c r="B2" s="27" t="s">
        <v>55</v>
      </c>
    </row>
    <row r="3" spans="1:15" ht="15.75">
      <c r="B3" s="26" t="s">
        <v>54</v>
      </c>
    </row>
    <row r="4" spans="1:15" ht="15.75">
      <c r="B4" s="26" t="s">
        <v>53</v>
      </c>
    </row>
    <row r="6" spans="1:15" s="74" customFormat="1" ht="23.25">
      <c r="B6" s="62" t="s">
        <v>183</v>
      </c>
    </row>
    <row r="7" spans="1:15" s="74" customFormat="1" ht="30">
      <c r="B7" s="26"/>
      <c r="C7" s="58" t="s">
        <v>186</v>
      </c>
      <c r="D7" s="58" t="s">
        <v>230</v>
      </c>
      <c r="E7" s="58" t="s">
        <v>217</v>
      </c>
      <c r="F7" s="58" t="s">
        <v>187</v>
      </c>
    </row>
    <row r="8" spans="1:15" s="74" customFormat="1" ht="18.75">
      <c r="B8" s="26" t="s">
        <v>184</v>
      </c>
      <c r="C8" s="17">
        <f>C121</f>
        <v>1.0090850449949973</v>
      </c>
      <c r="D8" s="119">
        <f>C93</f>
        <v>1.0182526280325559</v>
      </c>
      <c r="E8" s="119">
        <f>C65</f>
        <v>1.0270995450725937</v>
      </c>
      <c r="F8" s="119">
        <f>C37</f>
        <v>1.0364307906539196</v>
      </c>
      <c r="K8" s="95"/>
      <c r="L8" s="95"/>
      <c r="M8" s="95"/>
      <c r="N8" s="95"/>
      <c r="O8" s="95"/>
    </row>
    <row r="9" spans="1:15" s="74" customFormat="1" ht="18.75">
      <c r="B9" s="26" t="s">
        <v>185</v>
      </c>
      <c r="C9" s="17">
        <f>C118</f>
        <v>1.0019680262519974</v>
      </c>
      <c r="D9" s="17">
        <f>C90</f>
        <v>1.011269756270474</v>
      </c>
      <c r="E9" s="17">
        <f>C62</f>
        <v>1.0202565759356894</v>
      </c>
      <c r="F9" s="17">
        <f>C34</f>
        <v>1.0295256528345071</v>
      </c>
    </row>
    <row r="10" spans="1:15" s="74" customFormat="1" ht="15.75">
      <c r="B10" s="26"/>
    </row>
    <row r="11" spans="1:15" s="74" customFormat="1" ht="23.25">
      <c r="B11" s="62" t="s">
        <v>173</v>
      </c>
      <c r="C11" s="19"/>
      <c r="D11" s="19"/>
    </row>
    <row r="12" spans="1:15" s="74" customFormat="1">
      <c r="B12" s="25"/>
    </row>
    <row r="13" spans="1:15" s="74" customFormat="1">
      <c r="B13" s="74" t="s">
        <v>174</v>
      </c>
      <c r="C13" s="23">
        <v>41455</v>
      </c>
      <c r="D13" s="23"/>
    </row>
    <row r="14" spans="1:15" s="74" customFormat="1">
      <c r="B14" s="80" t="s">
        <v>175</v>
      </c>
      <c r="C14" s="164">
        <v>41091</v>
      </c>
      <c r="D14" s="164"/>
      <c r="E14" s="80"/>
      <c r="F14" s="80"/>
      <c r="G14" s="80"/>
      <c r="H14" s="80"/>
      <c r="I14" s="80"/>
      <c r="J14" s="80"/>
      <c r="K14" s="80"/>
      <c r="L14" s="80"/>
    </row>
    <row r="15" spans="1:15" s="74" customFormat="1">
      <c r="B15" s="80" t="s">
        <v>176</v>
      </c>
      <c r="C15" s="165">
        <f>C13-C14+1</f>
        <v>365</v>
      </c>
      <c r="D15" s="80"/>
      <c r="E15" s="80"/>
      <c r="F15" s="80"/>
      <c r="G15" s="80"/>
      <c r="H15" s="80"/>
      <c r="I15" s="80"/>
      <c r="J15" s="80"/>
      <c r="K15" s="80"/>
      <c r="L15" s="80"/>
    </row>
    <row r="16" spans="1:15" s="74" customFormat="1">
      <c r="B16" s="80" t="s">
        <v>52</v>
      </c>
      <c r="C16" s="164">
        <f>C13-ROUNDDOWN(C15/2,0)</f>
        <v>41273</v>
      </c>
      <c r="D16" s="80"/>
      <c r="E16" s="80"/>
      <c r="F16" s="80"/>
      <c r="G16" s="80"/>
      <c r="H16" s="80"/>
      <c r="I16" s="80"/>
      <c r="J16" s="80"/>
      <c r="K16" s="80"/>
      <c r="L16" s="80"/>
    </row>
    <row r="17" spans="2:15" s="74" customFormat="1" ht="17.25">
      <c r="B17" s="80" t="s">
        <v>51</v>
      </c>
      <c r="C17" s="166">
        <v>41307</v>
      </c>
      <c r="D17" s="80" t="s">
        <v>84</v>
      </c>
      <c r="E17" s="80"/>
      <c r="F17" s="80"/>
      <c r="G17" s="80"/>
      <c r="H17" s="80"/>
      <c r="I17" s="80"/>
      <c r="J17" s="80"/>
      <c r="K17" s="80"/>
      <c r="L17" s="80"/>
    </row>
    <row r="18" spans="2:15" s="74" customFormat="1">
      <c r="B18" s="80"/>
      <c r="C18" s="164"/>
      <c r="D18" s="164"/>
      <c r="E18" s="80"/>
      <c r="F18" s="80"/>
      <c r="G18" s="80"/>
      <c r="H18" s="80"/>
      <c r="I18" s="80"/>
      <c r="J18" s="80"/>
      <c r="K18" s="80"/>
      <c r="L18" s="80"/>
    </row>
    <row r="19" spans="2:15" s="74" customFormat="1">
      <c r="B19" s="80"/>
      <c r="C19" s="167"/>
      <c r="D19" s="80"/>
      <c r="E19" s="167"/>
      <c r="F19" s="80"/>
      <c r="G19" s="80"/>
      <c r="H19" s="80"/>
      <c r="I19" s="80"/>
      <c r="J19" s="80"/>
      <c r="K19" s="80"/>
      <c r="L19" s="80"/>
    </row>
    <row r="20" spans="2:15" s="74" customFormat="1" ht="15.75">
      <c r="B20" s="168" t="s">
        <v>290</v>
      </c>
      <c r="C20" s="167"/>
      <c r="D20" s="80"/>
      <c r="E20" s="167"/>
      <c r="F20" s="80"/>
      <c r="G20" s="80"/>
      <c r="H20" s="80"/>
      <c r="I20" s="80"/>
      <c r="J20" s="80"/>
      <c r="K20" s="80"/>
      <c r="L20" s="80"/>
    </row>
    <row r="21" spans="2:15" s="74" customFormat="1" ht="15.75">
      <c r="B21" s="168" t="s">
        <v>231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2:15" s="74" customFormat="1">
      <c r="B22" s="169" t="s">
        <v>132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2:15" s="74" customFormat="1">
      <c r="B23" s="80" t="s">
        <v>67</v>
      </c>
      <c r="C23" s="166">
        <f>C14</f>
        <v>41091</v>
      </c>
      <c r="D23" s="166">
        <v>41141</v>
      </c>
      <c r="E23" s="166">
        <f t="shared" ref="E23" si="0">EDATE(D23,1)</f>
        <v>41172</v>
      </c>
      <c r="F23" s="166">
        <f t="shared" ref="F23" si="1">EDATE(E23,1)</f>
        <v>41202</v>
      </c>
      <c r="G23" s="166">
        <f t="shared" ref="G23" si="2">EDATE(F23,1)</f>
        <v>41233</v>
      </c>
      <c r="H23" s="166">
        <f t="shared" ref="H23" si="3">EDATE(G23,1)</f>
        <v>41263</v>
      </c>
      <c r="I23" s="166">
        <f>EDATE(H23,1)</f>
        <v>41294</v>
      </c>
      <c r="J23" s="166">
        <f>EDATE(I23,1)</f>
        <v>41325</v>
      </c>
      <c r="K23" s="166">
        <f t="shared" ref="K23:O23" si="4">EDATE(J23,1)</f>
        <v>41353</v>
      </c>
      <c r="L23" s="166">
        <f t="shared" si="4"/>
        <v>41384</v>
      </c>
      <c r="M23" s="30">
        <f t="shared" si="4"/>
        <v>41414</v>
      </c>
      <c r="N23" s="30">
        <f t="shared" si="4"/>
        <v>41445</v>
      </c>
      <c r="O23" s="30">
        <f t="shared" si="4"/>
        <v>41475</v>
      </c>
    </row>
    <row r="24" spans="2:15" s="74" customFormat="1">
      <c r="B24" s="80" t="s">
        <v>58</v>
      </c>
      <c r="C24" s="80">
        <v>0</v>
      </c>
      <c r="D24" s="80">
        <v>1</v>
      </c>
      <c r="E24" s="80">
        <v>1</v>
      </c>
      <c r="F24" s="80">
        <v>1</v>
      </c>
      <c r="G24" s="80">
        <v>1</v>
      </c>
      <c r="H24" s="80">
        <v>1</v>
      </c>
      <c r="I24" s="80">
        <v>1</v>
      </c>
      <c r="J24" s="80">
        <v>1</v>
      </c>
      <c r="K24" s="80">
        <v>1</v>
      </c>
      <c r="L24" s="80">
        <v>1</v>
      </c>
      <c r="M24" s="74">
        <v>1</v>
      </c>
      <c r="N24" s="74">
        <v>1</v>
      </c>
      <c r="O24" s="74">
        <v>1</v>
      </c>
    </row>
    <row r="25" spans="2:15" s="74" customFormat="1">
      <c r="B25" s="80" t="s">
        <v>260</v>
      </c>
      <c r="C25" s="167">
        <f>XNPV(WACC,C24:O24,C23:O23)</f>
        <v>11.5002899061412</v>
      </c>
      <c r="D25" s="80"/>
      <c r="E25" s="80"/>
      <c r="F25" s="80"/>
      <c r="G25" s="80"/>
      <c r="H25" s="80"/>
      <c r="I25" s="80"/>
      <c r="J25" s="80"/>
      <c r="K25" s="80"/>
      <c r="L25" s="80"/>
    </row>
    <row r="26" spans="2:15" s="74" customFormat="1">
      <c r="B26" s="80"/>
      <c r="C26" s="167"/>
      <c r="D26" s="80"/>
      <c r="E26" s="80"/>
      <c r="F26" s="80"/>
      <c r="G26" s="80"/>
      <c r="H26" s="80"/>
      <c r="I26" s="80"/>
      <c r="J26" s="80"/>
      <c r="K26" s="80"/>
      <c r="L26" s="80"/>
    </row>
    <row r="27" spans="2:15" s="74" customFormat="1">
      <c r="B27" s="169" t="s">
        <v>82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5" s="74" customFormat="1">
      <c r="B28" s="80" t="s">
        <v>67</v>
      </c>
      <c r="C28" s="164">
        <f>C23</f>
        <v>41091</v>
      </c>
      <c r="D28" s="166">
        <f>C17</f>
        <v>41307</v>
      </c>
      <c r="E28" s="80"/>
      <c r="F28" s="80"/>
      <c r="G28" s="80"/>
      <c r="H28" s="80"/>
      <c r="I28" s="80"/>
      <c r="J28" s="80"/>
      <c r="K28" s="80"/>
      <c r="L28" s="80"/>
    </row>
    <row r="29" spans="2:15" s="74" customFormat="1">
      <c r="B29" s="80" t="s">
        <v>58</v>
      </c>
      <c r="C29" s="80">
        <v>0</v>
      </c>
      <c r="D29" s="80">
        <f>SUM(D24:O24)</f>
        <v>12</v>
      </c>
      <c r="E29" s="80"/>
      <c r="F29" s="80"/>
      <c r="G29" s="80"/>
      <c r="H29" s="80"/>
      <c r="I29" s="80"/>
      <c r="J29" s="80"/>
      <c r="K29" s="80"/>
      <c r="L29" s="80"/>
    </row>
    <row r="30" spans="2:15" s="74" customFormat="1">
      <c r="B30" s="80" t="s">
        <v>66</v>
      </c>
      <c r="C30" s="167">
        <f>XNPV(WACC,C29:D29,C28:D28)</f>
        <v>11.50105830572136</v>
      </c>
      <c r="D30" s="80"/>
      <c r="E30" s="80"/>
      <c r="F30" s="80"/>
      <c r="G30" s="80"/>
      <c r="H30" s="80"/>
      <c r="I30" s="80"/>
      <c r="J30" s="80"/>
      <c r="K30" s="80"/>
      <c r="L30" s="80"/>
    </row>
    <row r="31" spans="2:15" s="74" customFormat="1">
      <c r="B31" s="80" t="str">
        <f>"Difference in PV for a date of " &amp; TEXT(D28,"dd mmm")</f>
        <v>Difference in PV for a date of 02 Feb</v>
      </c>
      <c r="C31" s="167">
        <f>C25-C30</f>
        <v>-7.683995801599508E-4</v>
      </c>
      <c r="D31" s="80"/>
      <c r="E31" s="80"/>
      <c r="F31" s="80"/>
      <c r="G31" s="80"/>
      <c r="H31" s="80"/>
      <c r="I31" s="80"/>
      <c r="J31" s="80"/>
      <c r="K31" s="80"/>
      <c r="L31" s="80"/>
    </row>
    <row r="32" spans="2:15" s="74" customFormat="1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2:12" s="74" customFormat="1">
      <c r="B33" s="80" t="s">
        <v>177</v>
      </c>
      <c r="C33" s="80">
        <f>C13-C17</f>
        <v>148</v>
      </c>
      <c r="D33" s="80"/>
      <c r="E33" s="80"/>
      <c r="F33" s="80"/>
      <c r="G33" s="80"/>
      <c r="H33" s="80"/>
      <c r="I33" s="80"/>
      <c r="J33" s="80"/>
      <c r="K33" s="80"/>
      <c r="L33" s="80"/>
    </row>
    <row r="34" spans="2:12" s="74" customFormat="1" ht="18">
      <c r="B34" s="80" t="s">
        <v>178</v>
      </c>
      <c r="C34" s="119">
        <f>(1+WACC)^(C33/365)</f>
        <v>1.0295256528345071</v>
      </c>
      <c r="D34" s="80"/>
      <c r="E34" s="80"/>
      <c r="F34" s="80"/>
      <c r="G34" s="80"/>
      <c r="H34" s="80"/>
      <c r="I34" s="80"/>
      <c r="J34" s="80"/>
      <c r="K34" s="80"/>
      <c r="L34" s="80"/>
    </row>
    <row r="35" spans="2:12" s="74" customForma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2:12" s="74" customFormat="1">
      <c r="B36" s="80" t="s">
        <v>180</v>
      </c>
      <c r="C36" s="80">
        <f>C13-C16</f>
        <v>182</v>
      </c>
      <c r="D36" s="80"/>
      <c r="E36" s="80"/>
      <c r="F36" s="80"/>
      <c r="G36" s="80"/>
      <c r="H36" s="80"/>
      <c r="I36" s="80"/>
      <c r="J36" s="80"/>
      <c r="K36" s="80"/>
      <c r="L36" s="80"/>
    </row>
    <row r="37" spans="2:12" s="74" customFormat="1" ht="18">
      <c r="B37" s="80" t="s">
        <v>179</v>
      </c>
      <c r="C37" s="119">
        <f>(1+WACC)^((C13-C16)/365)</f>
        <v>1.0364307906539196</v>
      </c>
      <c r="D37" s="80"/>
      <c r="E37" s="80"/>
      <c r="F37" s="80"/>
      <c r="G37" s="80"/>
      <c r="H37" s="80"/>
      <c r="I37" s="80"/>
      <c r="J37" s="80"/>
      <c r="K37" s="80"/>
      <c r="L37" s="80"/>
    </row>
    <row r="38" spans="2:12" s="74" customFormat="1">
      <c r="B38" s="80"/>
      <c r="C38" s="119"/>
      <c r="D38" s="80"/>
      <c r="E38" s="80"/>
      <c r="F38" s="80"/>
      <c r="G38" s="80"/>
      <c r="H38" s="80"/>
      <c r="I38" s="80"/>
      <c r="J38" s="80"/>
      <c r="K38" s="80"/>
      <c r="L38" s="80"/>
    </row>
    <row r="39" spans="2:12" s="74" customFormat="1" ht="23.25">
      <c r="B39" s="170" t="s">
        <v>218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2:12" s="74" customFormat="1">
      <c r="B40" s="171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2:12" s="74" customFormat="1">
      <c r="B41" s="80" t="s">
        <v>174</v>
      </c>
      <c r="C41" s="164">
        <v>43008</v>
      </c>
      <c r="D41" s="164"/>
      <c r="E41" s="80"/>
      <c r="F41" s="80"/>
      <c r="G41" s="80"/>
      <c r="H41" s="80"/>
      <c r="I41" s="80"/>
      <c r="J41" s="80"/>
      <c r="K41" s="80"/>
      <c r="L41" s="80"/>
    </row>
    <row r="42" spans="2:12" s="74" customFormat="1">
      <c r="B42" s="80" t="s">
        <v>175</v>
      </c>
      <c r="C42" s="164">
        <v>42736</v>
      </c>
      <c r="D42" s="164"/>
      <c r="E42" s="80"/>
      <c r="F42" s="80"/>
      <c r="G42" s="80"/>
      <c r="H42" s="80"/>
      <c r="I42" s="80"/>
      <c r="J42" s="80"/>
      <c r="K42" s="80"/>
      <c r="L42" s="80"/>
    </row>
    <row r="43" spans="2:12" s="74" customFormat="1">
      <c r="B43" s="80" t="s">
        <v>176</v>
      </c>
      <c r="C43" s="165">
        <f>C41-C42+1</f>
        <v>273</v>
      </c>
      <c r="D43" s="80"/>
      <c r="E43" s="80"/>
      <c r="F43" s="80"/>
      <c r="G43" s="80"/>
      <c r="H43" s="80"/>
      <c r="I43" s="80"/>
      <c r="J43" s="80"/>
      <c r="K43" s="80"/>
      <c r="L43" s="80"/>
    </row>
    <row r="44" spans="2:12" s="74" customFormat="1">
      <c r="B44" s="80" t="s">
        <v>52</v>
      </c>
      <c r="C44" s="164">
        <f>C41-ROUNDDOWN(C43/2,0)</f>
        <v>42872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2:12" s="74" customFormat="1" ht="17.25">
      <c r="B45" s="80" t="s">
        <v>51</v>
      </c>
      <c r="C45" s="166">
        <v>42906</v>
      </c>
      <c r="D45" s="80" t="s">
        <v>219</v>
      </c>
      <c r="E45" s="80"/>
      <c r="F45" s="80"/>
      <c r="G45" s="80"/>
      <c r="H45" s="80"/>
      <c r="I45" s="80"/>
      <c r="J45" s="80"/>
      <c r="K45" s="80"/>
      <c r="L45" s="80"/>
    </row>
    <row r="46" spans="2:12" s="74" customFormat="1">
      <c r="B46" s="80"/>
      <c r="C46" s="164"/>
      <c r="D46" s="164"/>
      <c r="E46" s="80"/>
      <c r="F46" s="80"/>
      <c r="G46" s="80"/>
      <c r="H46" s="80"/>
      <c r="I46" s="80"/>
      <c r="J46" s="80"/>
      <c r="K46" s="80"/>
      <c r="L46" s="80"/>
    </row>
    <row r="47" spans="2:12" s="74" customFormat="1">
      <c r="B47" s="80"/>
      <c r="C47" s="167"/>
      <c r="D47" s="80"/>
      <c r="E47" s="167"/>
      <c r="F47" s="80"/>
      <c r="G47" s="80"/>
      <c r="H47" s="80"/>
      <c r="I47" s="80"/>
      <c r="J47" s="80"/>
      <c r="K47" s="80"/>
      <c r="L47" s="80"/>
    </row>
    <row r="48" spans="2:12" s="74" customFormat="1" ht="15.75">
      <c r="B48" s="168" t="s">
        <v>258</v>
      </c>
      <c r="C48" s="167"/>
      <c r="D48" s="80"/>
      <c r="E48" s="167"/>
      <c r="F48" s="80"/>
      <c r="G48" s="80"/>
      <c r="H48" s="80"/>
      <c r="I48" s="80"/>
      <c r="J48" s="80"/>
      <c r="K48" s="80"/>
      <c r="L48" s="80"/>
    </row>
    <row r="49" spans="2:12" s="74" customFormat="1" ht="15.75">
      <c r="B49" s="168" t="s">
        <v>257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2:12" s="74" customFormat="1">
      <c r="B50" s="169" t="s">
        <v>132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2:12" s="74" customFormat="1">
      <c r="B51" s="80" t="s">
        <v>67</v>
      </c>
      <c r="C51" s="166">
        <v>42736</v>
      </c>
      <c r="D51" s="166">
        <v>42786</v>
      </c>
      <c r="E51" s="166">
        <f t="shared" ref="E51" si="5">EDATE(D51,1)</f>
        <v>42814</v>
      </c>
      <c r="F51" s="166">
        <f t="shared" ref="F51" si="6">EDATE(E51,1)</f>
        <v>42845</v>
      </c>
      <c r="G51" s="166">
        <f t="shared" ref="G51" si="7">EDATE(F51,1)</f>
        <v>42875</v>
      </c>
      <c r="H51" s="166">
        <f t="shared" ref="H51" si="8">EDATE(G51,1)</f>
        <v>42906</v>
      </c>
      <c r="I51" s="166">
        <f>EDATE(H51,1)</f>
        <v>42936</v>
      </c>
      <c r="J51" s="166">
        <f>EDATE(I51,1)</f>
        <v>42967</v>
      </c>
      <c r="K51" s="166">
        <f t="shared" ref="K51:L51" si="9">EDATE(J51,1)</f>
        <v>42998</v>
      </c>
      <c r="L51" s="166">
        <f t="shared" si="9"/>
        <v>43028</v>
      </c>
    </row>
    <row r="52" spans="2:12" s="74" customFormat="1">
      <c r="B52" s="80" t="s">
        <v>58</v>
      </c>
      <c r="C52" s="80">
        <v>0</v>
      </c>
      <c r="D52" s="80">
        <v>1</v>
      </c>
      <c r="E52" s="80">
        <v>1</v>
      </c>
      <c r="F52" s="80">
        <v>1</v>
      </c>
      <c r="G52" s="80">
        <v>1</v>
      </c>
      <c r="H52" s="80">
        <v>1</v>
      </c>
      <c r="I52" s="80">
        <v>1</v>
      </c>
      <c r="J52" s="80">
        <v>1</v>
      </c>
      <c r="K52" s="80">
        <v>1</v>
      </c>
      <c r="L52" s="80">
        <v>1</v>
      </c>
    </row>
    <row r="53" spans="2:12" s="74" customFormat="1">
      <c r="B53" s="80" t="s">
        <v>291</v>
      </c>
      <c r="C53" s="167">
        <f>XNPV(WACC,C52:L52,C51:L51)</f>
        <v>8.7050069405256423</v>
      </c>
      <c r="D53" s="80"/>
      <c r="E53" s="80"/>
      <c r="F53" s="80"/>
      <c r="G53" s="80"/>
      <c r="H53" s="80"/>
      <c r="I53" s="80"/>
      <c r="J53" s="80"/>
      <c r="K53" s="80"/>
      <c r="L53" s="80"/>
    </row>
    <row r="54" spans="2:12" s="74" customFormat="1">
      <c r="B54" s="80"/>
      <c r="C54" s="167"/>
      <c r="D54" s="80"/>
      <c r="E54" s="80"/>
      <c r="F54" s="80"/>
      <c r="G54" s="80"/>
      <c r="H54" s="80"/>
      <c r="I54" s="80"/>
      <c r="J54" s="80"/>
      <c r="K54" s="80"/>
      <c r="L54" s="80"/>
    </row>
    <row r="55" spans="2:12" s="74" customFormat="1">
      <c r="B55" s="169" t="s">
        <v>82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s="74" customFormat="1">
      <c r="B56" s="80" t="s">
        <v>67</v>
      </c>
      <c r="C56" s="164">
        <f>C51</f>
        <v>42736</v>
      </c>
      <c r="D56" s="166">
        <f>C45</f>
        <v>42906</v>
      </c>
      <c r="E56" s="80"/>
      <c r="F56" s="80"/>
      <c r="G56" s="80"/>
      <c r="H56" s="80"/>
      <c r="I56" s="80"/>
      <c r="J56" s="80"/>
      <c r="K56" s="80"/>
      <c r="L56" s="80"/>
    </row>
    <row r="57" spans="2:12" s="74" customFormat="1">
      <c r="B57" s="80" t="s">
        <v>58</v>
      </c>
      <c r="C57" s="80">
        <v>0</v>
      </c>
      <c r="D57" s="80">
        <f>SUM(D52:L52)</f>
        <v>9</v>
      </c>
      <c r="E57" s="80"/>
      <c r="F57" s="80"/>
      <c r="G57" s="80"/>
      <c r="H57" s="80"/>
      <c r="I57" s="80"/>
      <c r="J57" s="80"/>
      <c r="K57" s="80"/>
      <c r="L57" s="80"/>
    </row>
    <row r="58" spans="2:12" s="74" customFormat="1">
      <c r="B58" s="80" t="s">
        <v>66</v>
      </c>
      <c r="C58" s="167">
        <f>XNPV(WACC,C57:D57,C56:D56)</f>
        <v>8.7041594534391962</v>
      </c>
      <c r="D58" s="80"/>
      <c r="E58" s="80"/>
      <c r="F58" s="80"/>
      <c r="G58" s="80"/>
      <c r="H58" s="80"/>
      <c r="I58" s="80"/>
      <c r="J58" s="80"/>
      <c r="K58" s="80"/>
      <c r="L58" s="80"/>
    </row>
    <row r="59" spans="2:12" s="74" customFormat="1">
      <c r="B59" s="80" t="str">
        <f>"Difference in PV for a date of " &amp; TEXT(D56,"dd mmm")</f>
        <v>Difference in PV for a date of 20 Jun</v>
      </c>
      <c r="C59" s="167">
        <f>C53-C58</f>
        <v>8.4748708644610815E-4</v>
      </c>
      <c r="D59" s="80"/>
      <c r="E59" s="80"/>
      <c r="F59" s="80"/>
      <c r="G59" s="80"/>
      <c r="H59" s="80"/>
      <c r="I59" s="80"/>
      <c r="J59" s="80"/>
      <c r="K59" s="80"/>
      <c r="L59" s="80"/>
    </row>
    <row r="60" spans="2:12" s="74" customForma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2:12" s="74" customFormat="1">
      <c r="B61" s="80" t="s">
        <v>177</v>
      </c>
      <c r="C61" s="80">
        <f>C41-C45</f>
        <v>102</v>
      </c>
      <c r="D61" s="80"/>
      <c r="E61" s="80"/>
      <c r="F61" s="80"/>
      <c r="G61" s="80"/>
      <c r="H61" s="80"/>
      <c r="I61" s="80"/>
      <c r="J61" s="80"/>
      <c r="K61" s="80"/>
      <c r="L61" s="80"/>
    </row>
    <row r="62" spans="2:12" s="74" customFormat="1" ht="18">
      <c r="B62" s="80" t="s">
        <v>178</v>
      </c>
      <c r="C62" s="119">
        <f>(1+WACC)^(C61/365)</f>
        <v>1.0202565759356894</v>
      </c>
      <c r="D62" s="80"/>
      <c r="E62" s="80"/>
      <c r="F62" s="80"/>
      <c r="G62" s="80"/>
      <c r="H62" s="80"/>
      <c r="I62" s="80"/>
      <c r="J62" s="80"/>
      <c r="K62" s="80"/>
      <c r="L62" s="80"/>
    </row>
    <row r="63" spans="2:12" s="74" customFormat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2:12" s="74" customFormat="1">
      <c r="B64" s="80" t="s">
        <v>180</v>
      </c>
      <c r="C64" s="80">
        <f>C41-C44</f>
        <v>136</v>
      </c>
      <c r="D64" s="80"/>
      <c r="E64" s="80"/>
      <c r="F64" s="80"/>
      <c r="G64" s="80"/>
      <c r="H64" s="80"/>
      <c r="I64" s="80"/>
      <c r="J64" s="80"/>
      <c r="K64" s="80"/>
      <c r="L64" s="80"/>
    </row>
    <row r="65" spans="2:15" s="74" customFormat="1" ht="18">
      <c r="B65" s="80" t="s">
        <v>179</v>
      </c>
      <c r="C65" s="119">
        <f>(1+WACC)^((C41-C44)/365)</f>
        <v>1.0270995450725937</v>
      </c>
      <c r="D65" s="80"/>
      <c r="E65" s="80"/>
      <c r="F65" s="80"/>
      <c r="G65" s="80"/>
      <c r="H65" s="80"/>
      <c r="I65" s="80"/>
      <c r="J65" s="80"/>
      <c r="K65" s="80"/>
      <c r="L65" s="80"/>
    </row>
    <row r="66" spans="2:15" s="74" customForma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2:15" ht="23.25">
      <c r="B67" s="170" t="s">
        <v>228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74"/>
      <c r="N67" s="74"/>
      <c r="O67" s="74"/>
    </row>
    <row r="68" spans="2:15">
      <c r="B68" s="17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74"/>
      <c r="N68" s="74"/>
      <c r="O68" s="74"/>
    </row>
    <row r="69" spans="2:15">
      <c r="B69" s="80" t="s">
        <v>174</v>
      </c>
      <c r="C69" s="164">
        <v>41639</v>
      </c>
      <c r="D69" s="164"/>
      <c r="E69" s="80"/>
      <c r="F69" s="80"/>
      <c r="G69" s="80"/>
      <c r="H69" s="80"/>
      <c r="I69" s="80"/>
      <c r="J69" s="80"/>
      <c r="K69" s="80"/>
      <c r="L69" s="80"/>
      <c r="M69" s="74"/>
      <c r="N69" s="74"/>
      <c r="O69" s="74"/>
    </row>
    <row r="70" spans="2:15" s="74" customFormat="1">
      <c r="B70" s="80" t="s">
        <v>175</v>
      </c>
      <c r="C70" s="164">
        <v>41456</v>
      </c>
      <c r="D70" s="164"/>
      <c r="E70" s="80"/>
      <c r="F70" s="80"/>
      <c r="G70" s="80"/>
      <c r="H70" s="80"/>
      <c r="I70" s="80"/>
      <c r="J70" s="80"/>
      <c r="K70" s="80"/>
      <c r="L70" s="80"/>
    </row>
    <row r="71" spans="2:15">
      <c r="B71" s="80" t="s">
        <v>176</v>
      </c>
      <c r="C71" s="165">
        <f>C69-C70+1</f>
        <v>184</v>
      </c>
      <c r="D71" s="80"/>
      <c r="E71" s="80"/>
      <c r="F71" s="80"/>
      <c r="G71" s="80"/>
      <c r="H71" s="80"/>
      <c r="I71" s="80"/>
      <c r="J71" s="80"/>
      <c r="K71" s="80"/>
      <c r="L71" s="80"/>
      <c r="M71" s="74"/>
      <c r="N71" s="74"/>
      <c r="O71" s="74"/>
    </row>
    <row r="72" spans="2:15">
      <c r="B72" s="80" t="s">
        <v>52</v>
      </c>
      <c r="C72" s="164">
        <f>C69-ROUNDDOWN(C71/2,0)</f>
        <v>41547</v>
      </c>
      <c r="D72" s="80"/>
      <c r="E72" s="80"/>
      <c r="F72" s="80"/>
      <c r="G72" s="80"/>
      <c r="H72" s="80"/>
      <c r="I72" s="80"/>
      <c r="J72" s="80"/>
      <c r="K72" s="80"/>
      <c r="L72" s="80"/>
      <c r="M72" s="74"/>
      <c r="N72" s="74"/>
      <c r="O72" s="74"/>
    </row>
    <row r="73" spans="2:15" ht="17.25">
      <c r="B73" s="80" t="s">
        <v>51</v>
      </c>
      <c r="C73" s="166">
        <v>41582</v>
      </c>
      <c r="D73" s="80" t="s">
        <v>229</v>
      </c>
      <c r="E73" s="80"/>
      <c r="F73" s="80"/>
      <c r="G73" s="80"/>
      <c r="H73" s="80"/>
      <c r="I73" s="80"/>
      <c r="J73" s="80"/>
      <c r="K73" s="80"/>
      <c r="L73" s="80"/>
      <c r="M73" s="74"/>
      <c r="N73" s="74"/>
      <c r="O73" s="74"/>
    </row>
    <row r="74" spans="2:15">
      <c r="B74" s="80"/>
      <c r="C74" s="164"/>
      <c r="D74" s="164"/>
      <c r="E74" s="80"/>
      <c r="F74" s="80"/>
      <c r="G74" s="80"/>
      <c r="H74" s="80"/>
      <c r="I74" s="80"/>
      <c r="J74" s="80"/>
      <c r="K74" s="80"/>
      <c r="L74" s="80"/>
      <c r="M74" s="74"/>
      <c r="N74" s="74"/>
      <c r="O74" s="74"/>
    </row>
    <row r="75" spans="2:15">
      <c r="B75" s="80"/>
      <c r="C75" s="167"/>
      <c r="D75" s="80"/>
      <c r="E75" s="167"/>
      <c r="F75" s="80"/>
      <c r="G75" s="80"/>
      <c r="H75" s="80"/>
      <c r="I75" s="80"/>
      <c r="J75" s="80"/>
      <c r="K75" s="80"/>
      <c r="L75" s="80"/>
      <c r="M75" s="74"/>
      <c r="N75" s="74"/>
      <c r="O75" s="74"/>
    </row>
    <row r="76" spans="2:15" ht="15.75">
      <c r="B76" s="168" t="s">
        <v>288</v>
      </c>
      <c r="C76" s="167"/>
      <c r="D76" s="80"/>
      <c r="E76" s="167"/>
      <c r="F76" s="80"/>
      <c r="G76" s="80"/>
      <c r="H76" s="80"/>
      <c r="I76" s="80"/>
      <c r="J76" s="80"/>
      <c r="K76" s="80"/>
      <c r="L76" s="80"/>
      <c r="M76" s="74"/>
      <c r="N76" s="74"/>
      <c r="O76" s="74"/>
    </row>
    <row r="77" spans="2:15" ht="15.75">
      <c r="B77" s="168" t="s">
        <v>259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74"/>
      <c r="N77" s="74"/>
      <c r="O77" s="74"/>
    </row>
    <row r="78" spans="2:15">
      <c r="B78" s="169" t="s">
        <v>132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74"/>
      <c r="N78" s="74"/>
      <c r="O78" s="74"/>
    </row>
    <row r="79" spans="2:15">
      <c r="B79" s="80" t="s">
        <v>67</v>
      </c>
      <c r="C79" s="166">
        <v>41456</v>
      </c>
      <c r="D79" s="166">
        <v>41506</v>
      </c>
      <c r="E79" s="166">
        <f t="shared" ref="E79" si="10">EDATE(D79,1)</f>
        <v>41537</v>
      </c>
      <c r="F79" s="166">
        <f t="shared" ref="F79" si="11">EDATE(E79,1)</f>
        <v>41567</v>
      </c>
      <c r="G79" s="166">
        <f t="shared" ref="G79" si="12">EDATE(F79,1)</f>
        <v>41598</v>
      </c>
      <c r="H79" s="166">
        <f t="shared" ref="H79" si="13">EDATE(G79,1)</f>
        <v>41628</v>
      </c>
      <c r="I79" s="166">
        <f>EDATE(H79,1)</f>
        <v>41659</v>
      </c>
      <c r="J79" s="80"/>
      <c r="K79" s="80"/>
      <c r="L79" s="80"/>
    </row>
    <row r="80" spans="2:15">
      <c r="B80" s="80" t="s">
        <v>58</v>
      </c>
      <c r="C80" s="80">
        <v>0</v>
      </c>
      <c r="D80" s="80">
        <v>1</v>
      </c>
      <c r="E80" s="80">
        <v>1</v>
      </c>
      <c r="F80" s="80">
        <v>1</v>
      </c>
      <c r="G80" s="80">
        <v>1</v>
      </c>
      <c r="H80" s="80">
        <v>1</v>
      </c>
      <c r="I80" s="80">
        <v>1</v>
      </c>
      <c r="J80" s="80"/>
      <c r="K80" s="80"/>
      <c r="L80" s="80"/>
    </row>
    <row r="81" spans="2:15">
      <c r="B81" s="80" t="s">
        <v>292</v>
      </c>
      <c r="C81" s="167">
        <f>XNPV(WACC,C80:I80,C79:I79)</f>
        <v>5.8529218071131384</v>
      </c>
      <c r="D81" s="80"/>
      <c r="E81" s="80"/>
      <c r="F81" s="80"/>
      <c r="G81" s="80"/>
      <c r="H81" s="80"/>
      <c r="I81" s="80"/>
      <c r="J81" s="80"/>
      <c r="K81" s="80"/>
      <c r="L81" s="80"/>
      <c r="M81" s="74"/>
      <c r="N81" s="74"/>
      <c r="O81" s="74"/>
    </row>
    <row r="82" spans="2:15">
      <c r="B82" s="80"/>
      <c r="C82" s="167"/>
      <c r="D82" s="80"/>
      <c r="E82" s="80"/>
      <c r="F82" s="80"/>
      <c r="G82" s="80"/>
      <c r="H82" s="80"/>
      <c r="I82" s="80"/>
      <c r="J82" s="80"/>
      <c r="K82" s="80"/>
      <c r="L82" s="80"/>
      <c r="M82" s="74"/>
      <c r="N82" s="74"/>
      <c r="O82" s="74"/>
    </row>
    <row r="83" spans="2:15">
      <c r="B83" s="169" t="s">
        <v>82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74"/>
      <c r="N83" s="74"/>
      <c r="O83" s="74"/>
    </row>
    <row r="84" spans="2:15">
      <c r="B84" s="80" t="s">
        <v>67</v>
      </c>
      <c r="C84" s="164">
        <f>C79</f>
        <v>41456</v>
      </c>
      <c r="D84" s="166">
        <f>C73</f>
        <v>41582</v>
      </c>
      <c r="E84" s="80"/>
      <c r="F84" s="80"/>
      <c r="G84" s="80"/>
      <c r="H84" s="80"/>
      <c r="I84" s="80"/>
      <c r="J84" s="80"/>
      <c r="K84" s="80"/>
      <c r="L84" s="80"/>
      <c r="M84" s="74"/>
      <c r="N84" s="74"/>
      <c r="O84" s="74"/>
    </row>
    <row r="85" spans="2:15">
      <c r="B85" s="80" t="s">
        <v>58</v>
      </c>
      <c r="C85" s="80">
        <v>0</v>
      </c>
      <c r="D85" s="80">
        <f>SUM(D80:J80)</f>
        <v>6</v>
      </c>
      <c r="E85" s="80"/>
      <c r="F85" s="80"/>
      <c r="G85" s="80"/>
      <c r="H85" s="80"/>
      <c r="I85" s="80"/>
      <c r="J85" s="80"/>
      <c r="K85" s="80"/>
      <c r="L85" s="80"/>
      <c r="M85" s="74"/>
      <c r="N85" s="74"/>
      <c r="O85" s="74"/>
    </row>
    <row r="86" spans="2:15">
      <c r="B86" s="80" t="s">
        <v>66</v>
      </c>
      <c r="C86" s="167">
        <f>XNPV(WACC,C85:D85,C84:D84)</f>
        <v>5.8531893878767907</v>
      </c>
      <c r="D86" s="80"/>
      <c r="E86" s="80"/>
      <c r="F86" s="80"/>
      <c r="G86" s="80"/>
      <c r="H86" s="80"/>
      <c r="I86" s="80"/>
      <c r="J86" s="80"/>
      <c r="K86" s="80"/>
      <c r="L86" s="80"/>
      <c r="M86" s="74"/>
      <c r="N86" s="74"/>
      <c r="O86" s="74"/>
    </row>
    <row r="87" spans="2:15">
      <c r="B87" s="80" t="str">
        <f>"Difference in PV for a date of " &amp; TEXT(D84,"dd mmm")</f>
        <v>Difference in PV for a date of 04 Nov</v>
      </c>
      <c r="C87" s="167">
        <f>C81-C86</f>
        <v>-2.6758076365229755E-4</v>
      </c>
      <c r="D87" s="80"/>
      <c r="E87" s="80"/>
      <c r="F87" s="80"/>
      <c r="G87" s="80"/>
      <c r="H87" s="80"/>
      <c r="I87" s="80"/>
      <c r="J87" s="80"/>
      <c r="K87" s="80"/>
      <c r="L87" s="80"/>
      <c r="M87" s="74"/>
      <c r="N87" s="74"/>
      <c r="O87" s="74"/>
    </row>
    <row r="88" spans="2:1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2:15">
      <c r="B89" s="80" t="s">
        <v>177</v>
      </c>
      <c r="C89" s="80">
        <f>C69-C73</f>
        <v>57</v>
      </c>
      <c r="D89" s="80"/>
      <c r="E89" s="80"/>
      <c r="F89" s="80"/>
      <c r="G89" s="80"/>
      <c r="H89" s="80"/>
      <c r="I89" s="80"/>
      <c r="J89" s="80"/>
      <c r="K89" s="80"/>
      <c r="L89" s="80"/>
    </row>
    <row r="90" spans="2:15" ht="18">
      <c r="B90" s="80" t="s">
        <v>178</v>
      </c>
      <c r="C90" s="119">
        <f>(1+WACC)^(C89/365)</f>
        <v>1.011269756270474</v>
      </c>
      <c r="D90" s="80"/>
      <c r="E90" s="80"/>
      <c r="F90" s="80"/>
      <c r="G90" s="80"/>
      <c r="H90" s="80"/>
      <c r="I90" s="80"/>
      <c r="J90" s="80"/>
      <c r="K90" s="80"/>
      <c r="L90" s="80"/>
    </row>
    <row r="91" spans="2:1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</row>
    <row r="92" spans="2:15" s="74" customFormat="1">
      <c r="B92" s="80" t="s">
        <v>180</v>
      </c>
      <c r="C92" s="80">
        <f>C69-C72</f>
        <v>92</v>
      </c>
      <c r="D92" s="80"/>
      <c r="E92" s="80"/>
      <c r="F92" s="80"/>
      <c r="G92" s="80"/>
      <c r="H92" s="80"/>
      <c r="I92" s="80"/>
      <c r="J92" s="80"/>
      <c r="K92" s="80"/>
      <c r="L92" s="80"/>
    </row>
    <row r="93" spans="2:15" ht="18">
      <c r="B93" s="80" t="s">
        <v>179</v>
      </c>
      <c r="C93" s="119">
        <f>(1+WACC)^((C69-C72)/365)</f>
        <v>1.0182526280325559</v>
      </c>
      <c r="D93" s="80"/>
      <c r="E93" s="80"/>
      <c r="F93" s="80"/>
      <c r="G93" s="80"/>
      <c r="H93" s="80"/>
      <c r="I93" s="80"/>
      <c r="J93" s="80"/>
      <c r="K93" s="80"/>
      <c r="L93" s="80"/>
    </row>
    <row r="94" spans="2:1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2:15" ht="23.25">
      <c r="B95" s="170" t="s">
        <v>181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2:15">
      <c r="B96" s="171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2:12">
      <c r="B97" s="80" t="s">
        <v>174</v>
      </c>
      <c r="C97" s="164">
        <v>43008</v>
      </c>
      <c r="D97" s="164"/>
      <c r="E97" s="171" t="s">
        <v>294</v>
      </c>
      <c r="F97" s="80"/>
      <c r="G97" s="80"/>
      <c r="H97" s="80"/>
      <c r="I97" s="80"/>
      <c r="J97" s="80"/>
      <c r="K97" s="80"/>
      <c r="L97" s="80"/>
    </row>
    <row r="98" spans="2:12">
      <c r="B98" s="80" t="s">
        <v>175</v>
      </c>
      <c r="C98" s="164">
        <v>42917</v>
      </c>
      <c r="D98" s="164"/>
      <c r="E98" s="80"/>
      <c r="F98" s="80"/>
      <c r="G98" s="80"/>
      <c r="H98" s="80"/>
      <c r="I98" s="80"/>
      <c r="J98" s="80"/>
      <c r="K98" s="80"/>
      <c r="L98" s="80"/>
    </row>
    <row r="99" spans="2:12">
      <c r="B99" s="80" t="s">
        <v>176</v>
      </c>
      <c r="C99" s="165">
        <f>C97-C98+1</f>
        <v>92</v>
      </c>
      <c r="D99" s="80"/>
      <c r="E99" s="80"/>
      <c r="F99" s="80"/>
      <c r="G99" s="80"/>
      <c r="H99" s="80"/>
      <c r="I99" s="80"/>
      <c r="J99" s="80"/>
      <c r="K99" s="80"/>
      <c r="L99" s="80"/>
    </row>
    <row r="100" spans="2:12">
      <c r="B100" s="80" t="s">
        <v>52</v>
      </c>
      <c r="C100" s="164">
        <f>C97-ROUNDDOWN(C99/2,0)</f>
        <v>42962</v>
      </c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2:12" ht="17.25">
      <c r="B101" s="80" t="s">
        <v>51</v>
      </c>
      <c r="C101" s="166">
        <v>42998</v>
      </c>
      <c r="D101" s="80" t="s">
        <v>192</v>
      </c>
      <c r="E101" s="80"/>
      <c r="F101" s="80"/>
      <c r="G101" s="80"/>
      <c r="H101" s="80"/>
      <c r="I101" s="80"/>
      <c r="J101" s="80"/>
      <c r="K101" s="80"/>
      <c r="L101" s="80"/>
    </row>
    <row r="102" spans="2:12">
      <c r="B102" s="80"/>
      <c r="C102" s="164"/>
      <c r="D102" s="164"/>
      <c r="E102" s="80"/>
      <c r="F102" s="80"/>
      <c r="G102" s="80"/>
      <c r="H102" s="80"/>
      <c r="I102" s="80"/>
      <c r="J102" s="80"/>
      <c r="K102" s="80"/>
      <c r="L102" s="80"/>
    </row>
    <row r="103" spans="2:12">
      <c r="B103" s="80"/>
      <c r="C103" s="167"/>
      <c r="D103" s="80"/>
      <c r="E103" s="167"/>
      <c r="F103" s="80"/>
      <c r="G103" s="80"/>
      <c r="H103" s="80"/>
      <c r="I103" s="80"/>
      <c r="J103" s="80"/>
      <c r="K103" s="80"/>
      <c r="L103" s="80"/>
    </row>
    <row r="104" spans="2:12" ht="15.75">
      <c r="B104" s="168" t="s">
        <v>289</v>
      </c>
      <c r="C104" s="167"/>
      <c r="D104" s="80"/>
      <c r="E104" s="167"/>
      <c r="F104" s="80"/>
      <c r="G104" s="80"/>
      <c r="H104" s="80"/>
      <c r="I104" s="80"/>
      <c r="J104" s="80"/>
      <c r="K104" s="80"/>
      <c r="L104" s="80"/>
    </row>
    <row r="105" spans="2:12" ht="15.75">
      <c r="B105" s="168" t="s">
        <v>182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2:12">
      <c r="B106" s="169" t="s">
        <v>132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2:12">
      <c r="B107" s="80" t="s">
        <v>67</v>
      </c>
      <c r="C107" s="166">
        <v>42917</v>
      </c>
      <c r="D107" s="166">
        <v>42967</v>
      </c>
      <c r="E107" s="166">
        <f t="shared" ref="E107" si="14">EDATE(D107,1)</f>
        <v>42998</v>
      </c>
      <c r="F107" s="166">
        <f t="shared" ref="F107" si="15">EDATE(E107,1)</f>
        <v>43028</v>
      </c>
      <c r="G107" s="80"/>
      <c r="H107" s="80"/>
      <c r="I107" s="80"/>
      <c r="J107" s="80"/>
      <c r="K107" s="80"/>
      <c r="L107" s="80"/>
    </row>
    <row r="108" spans="2:12">
      <c r="B108" s="80" t="s">
        <v>58</v>
      </c>
      <c r="C108" s="80">
        <v>0</v>
      </c>
      <c r="D108" s="80">
        <v>1</v>
      </c>
      <c r="E108" s="80">
        <v>1</v>
      </c>
      <c r="F108" s="80">
        <v>1</v>
      </c>
      <c r="G108" s="80"/>
      <c r="H108" s="80"/>
      <c r="I108" s="80"/>
      <c r="J108" s="80"/>
      <c r="K108" s="80"/>
      <c r="L108" s="80"/>
    </row>
    <row r="109" spans="2:12">
      <c r="B109" s="80" t="s">
        <v>293</v>
      </c>
      <c r="C109" s="167">
        <f>XNPV(WACC,C108:F108,C107:F107)</f>
        <v>2.9528312794002169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2:12">
      <c r="B110" s="80"/>
      <c r="C110" s="167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2:12">
      <c r="B111" s="169" t="s">
        <v>82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2:12">
      <c r="B112" s="80" t="s">
        <v>67</v>
      </c>
      <c r="C112" s="164">
        <f>C107</f>
        <v>42917</v>
      </c>
      <c r="D112" s="166">
        <f>C101</f>
        <v>42998</v>
      </c>
      <c r="E112" s="80"/>
      <c r="F112" s="80"/>
      <c r="G112" s="80"/>
      <c r="H112" s="80"/>
      <c r="I112" s="80"/>
      <c r="J112" s="80"/>
      <c r="K112" s="80"/>
      <c r="L112" s="80"/>
    </row>
    <row r="113" spans="2:12">
      <c r="B113" s="80" t="s">
        <v>58</v>
      </c>
      <c r="C113" s="80">
        <v>0</v>
      </c>
      <c r="D113" s="80">
        <f>SUM(D108:F108)</f>
        <v>3</v>
      </c>
      <c r="E113" s="80"/>
      <c r="F113" s="80"/>
      <c r="G113" s="80"/>
      <c r="H113" s="80"/>
      <c r="I113" s="80"/>
      <c r="J113" s="80"/>
      <c r="K113" s="80"/>
      <c r="L113" s="80"/>
    </row>
    <row r="114" spans="2:12">
      <c r="B114" s="80" t="s">
        <v>66</v>
      </c>
      <c r="C114" s="167">
        <f>XNPV(WACC,C113:D113,C112:D112)</f>
        <v>2.9526023724875858</v>
      </c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>
      <c r="B115" s="80" t="str">
        <f>"Difference in PV for a date of " &amp; TEXT(D112,"dd mmm")</f>
        <v>Difference in PV for a date of 20 Sep</v>
      </c>
      <c r="C115" s="167">
        <f>C109-C114</f>
        <v>2.2890691263111052E-4</v>
      </c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>
      <c r="B117" s="80" t="s">
        <v>177</v>
      </c>
      <c r="C117" s="80">
        <f>C97-C101</f>
        <v>10</v>
      </c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ht="18">
      <c r="B118" s="80" t="s">
        <v>178</v>
      </c>
      <c r="C118" s="119">
        <f>(1+WACC)^(C117/365)</f>
        <v>1.0019680262519974</v>
      </c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>
      <c r="B120" s="80" t="s">
        <v>180</v>
      </c>
      <c r="C120" s="80">
        <f>C97-C100</f>
        <v>46</v>
      </c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ht="18">
      <c r="B121" s="80" t="s">
        <v>179</v>
      </c>
      <c r="C121" s="119">
        <f>(1+WACC)^((C97-C100)/365)</f>
        <v>1.0090850449949973</v>
      </c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</sheetData>
  <printOptions headings="1"/>
  <pageMargins left="0.70866141732283472" right="0.70866141732283472" top="0.74803149606299213" bottom="0.74803149606299213" header="0.31496062992125984" footer="0.31496062992125984"/>
  <pageSetup paperSize="8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2"/>
  <sheetViews>
    <sheetView zoomScale="85" zoomScaleNormal="85" workbookViewId="0"/>
  </sheetViews>
  <sheetFormatPr defaultRowHeight="15"/>
  <cols>
    <col min="1" max="1" width="25.28515625" style="150" customWidth="1"/>
    <col min="2" max="6" width="12.7109375" style="150" customWidth="1"/>
    <col min="7" max="16384" width="9.140625" style="150"/>
  </cols>
  <sheetData>
    <row r="1" spans="1:6" ht="31.5">
      <c r="A1" s="149" t="s">
        <v>271</v>
      </c>
    </row>
    <row r="4" spans="1:6" s="151" customFormat="1" ht="21">
      <c r="A4" s="151" t="s">
        <v>277</v>
      </c>
    </row>
    <row r="6" spans="1:6" s="152" customFormat="1" ht="25.5">
      <c r="B6" s="152" t="s">
        <v>153</v>
      </c>
      <c r="C6" s="152" t="s">
        <v>155</v>
      </c>
      <c r="D6" s="152" t="s">
        <v>483</v>
      </c>
      <c r="E6" s="152" t="s">
        <v>484</v>
      </c>
      <c r="F6" s="152" t="s">
        <v>485</v>
      </c>
    </row>
    <row r="7" spans="1:6" s="153" customFormat="1" ht="12.75"/>
    <row r="8" spans="1:6" s="154" customFormat="1" ht="38.25">
      <c r="A8" s="154" t="s">
        <v>278</v>
      </c>
      <c r="B8" s="158">
        <f>Results!E4</f>
        <v>1.9951962530362854E-2</v>
      </c>
      <c r="C8" s="158">
        <f>Results!F4</f>
        <v>3.9911039047253037E-2</v>
      </c>
      <c r="D8" s="158">
        <f>Results!G4</f>
        <v>-0.17987258995966005</v>
      </c>
      <c r="E8" s="158">
        <f>Results!H4</f>
        <v>-1.1974356789439131E-2</v>
      </c>
      <c r="F8" s="158">
        <f>Results!I4</f>
        <v>-0.29498028903808937</v>
      </c>
    </row>
    <row r="9" spans="1:6" s="154" customFormat="1" ht="12.75">
      <c r="B9" s="155"/>
      <c r="C9" s="155"/>
      <c r="D9" s="155"/>
      <c r="E9" s="155"/>
      <c r="F9" s="155"/>
    </row>
    <row r="10" spans="1:6" s="159" customFormat="1" ht="21">
      <c r="A10" s="151" t="s">
        <v>284</v>
      </c>
      <c r="B10" s="151"/>
      <c r="C10" s="151"/>
      <c r="D10" s="151"/>
      <c r="E10" s="151"/>
      <c r="F10" s="151"/>
    </row>
    <row r="12" spans="1:6" ht="26.25">
      <c r="A12" s="152"/>
      <c r="B12" s="152" t="s">
        <v>153</v>
      </c>
      <c r="C12" s="152" t="s">
        <v>155</v>
      </c>
      <c r="D12" s="152" t="s">
        <v>483</v>
      </c>
      <c r="E12" s="152" t="s">
        <v>484</v>
      </c>
      <c r="F12" s="152" t="s">
        <v>485</v>
      </c>
    </row>
    <row r="13" spans="1:6">
      <c r="A13" s="153"/>
      <c r="B13" s="153"/>
      <c r="C13" s="153"/>
      <c r="D13" s="153"/>
      <c r="E13" s="153"/>
      <c r="F13" s="153"/>
    </row>
    <row r="14" spans="1:6" ht="51.75">
      <c r="A14" s="154" t="s">
        <v>442</v>
      </c>
      <c r="B14" s="160">
        <f>Results!E6</f>
        <v>-339.97466235584761</v>
      </c>
      <c r="C14" s="160">
        <f>Results!F6</f>
        <v>-7140.4750302881293</v>
      </c>
      <c r="D14" s="160">
        <f>Results!G6</f>
        <v>56539.345319954155</v>
      </c>
      <c r="E14" s="160">
        <f>Results!H6</f>
        <v>1590.7287195222452</v>
      </c>
      <c r="F14" s="160">
        <f>Results!I6</f>
        <v>135387.66483708192</v>
      </c>
    </row>
    <row r="16" spans="1:6" s="154" customFormat="1" ht="12.75">
      <c r="A16" s="154" t="s">
        <v>279</v>
      </c>
      <c r="B16" s="161" t="str">
        <f t="shared" ref="B16:E16" si="0">IF(B14&gt;1,"+","-")</f>
        <v>-</v>
      </c>
      <c r="C16" s="161" t="str">
        <f t="shared" si="0"/>
        <v>-</v>
      </c>
      <c r="D16" s="161" t="str">
        <f t="shared" si="0"/>
        <v>+</v>
      </c>
      <c r="E16" s="161" t="str">
        <f t="shared" si="0"/>
        <v>+</v>
      </c>
      <c r="F16" s="161" t="str">
        <f>IF(F14&gt;1,"+","-")</f>
        <v>+</v>
      </c>
    </row>
    <row r="17" spans="1:6" s="156" customFormat="1" ht="12.75">
      <c r="A17" s="156" t="s">
        <v>272</v>
      </c>
      <c r="B17" s="157" t="s">
        <v>273</v>
      </c>
      <c r="C17" s="157" t="s">
        <v>273</v>
      </c>
      <c r="D17" s="157" t="s">
        <v>273</v>
      </c>
      <c r="E17" s="157" t="s">
        <v>273</v>
      </c>
      <c r="F17" s="157" t="s">
        <v>273</v>
      </c>
    </row>
    <row r="18" spans="1:6" s="154" customFormat="1" ht="12.75">
      <c r="A18" s="154" t="s">
        <v>280</v>
      </c>
      <c r="B18" s="161">
        <f t="shared" ref="B18:E18" si="1">ABS(ROUND((B14/1000),1))</f>
        <v>0.3</v>
      </c>
      <c r="C18" s="161">
        <f t="shared" si="1"/>
        <v>7.1</v>
      </c>
      <c r="D18" s="161">
        <f t="shared" si="1"/>
        <v>56.5</v>
      </c>
      <c r="E18" s="161">
        <f t="shared" si="1"/>
        <v>1.6</v>
      </c>
      <c r="F18" s="161">
        <f>ABS(ROUND((F14/1000),1))</f>
        <v>135.4</v>
      </c>
    </row>
    <row r="19" spans="1:6" s="156" customFormat="1" ht="12.75">
      <c r="A19" s="156" t="s">
        <v>274</v>
      </c>
      <c r="B19" s="157" t="s">
        <v>275</v>
      </c>
      <c r="C19" s="157" t="s">
        <v>275</v>
      </c>
      <c r="D19" s="157" t="s">
        <v>275</v>
      </c>
      <c r="E19" s="157" t="s">
        <v>275</v>
      </c>
      <c r="F19" s="157" t="s">
        <v>275</v>
      </c>
    </row>
    <row r="20" spans="1:6" s="156" customFormat="1" ht="12.75">
      <c r="A20" s="156" t="s">
        <v>281</v>
      </c>
      <c r="B20" s="157" t="str">
        <f>B12</f>
        <v>GasNet</v>
      </c>
      <c r="C20" s="157" t="str">
        <f>C12</f>
        <v>Powerco</v>
      </c>
      <c r="D20" s="157" t="str">
        <f>D12</f>
        <v>Vector Distribution</v>
      </c>
      <c r="E20" s="157" t="str">
        <f t="shared" ref="E20:F20" si="2">E12</f>
        <v>MDL</v>
      </c>
      <c r="F20" s="157" t="str">
        <f t="shared" si="2"/>
        <v>Vector Transmission</v>
      </c>
    </row>
    <row r="21" spans="1:6" s="156" customFormat="1" ht="12.75">
      <c r="A21" s="156" t="s">
        <v>276</v>
      </c>
      <c r="B21" s="157" t="str">
        <f>B20&amp;": "&amp;B16&amp;B17 &amp; B18 &amp; B19</f>
        <v>GasNet: -$0.3m</v>
      </c>
      <c r="C21" s="157" t="str">
        <f t="shared" ref="C21:D21" si="3">C20&amp;": "&amp;C16&amp;C17 &amp; C18 &amp; C19</f>
        <v>Powerco: -$7.1m</v>
      </c>
      <c r="D21" s="157" t="str">
        <f t="shared" si="3"/>
        <v>Vector Distribution: +$56.5m</v>
      </c>
      <c r="E21" s="157" t="str">
        <f t="shared" ref="E21:F21" si="4">E20&amp;": "&amp;E16&amp;E17 &amp; E18 &amp; E19</f>
        <v>MDL: +$1.6m</v>
      </c>
      <c r="F21" s="157" t="str">
        <f t="shared" si="4"/>
        <v>Vector Transmission: +$135.4m</v>
      </c>
    </row>
    <row r="41" spans="12:12" ht="23.25">
      <c r="L41" s="162"/>
    </row>
    <row r="42" spans="12:12" ht="23.25">
      <c r="L42" s="162"/>
    </row>
  </sheetData>
  <printOptions headings="1" gridLines="1"/>
  <pageMargins left="0.7" right="0.7" top="0.75" bottom="0.75" header="0.3" footer="0.3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theme="9" tint="0.79998168889431442"/>
    <pageSetUpPr fitToPage="1"/>
  </sheetPr>
  <dimension ref="A1:BJ848"/>
  <sheetViews>
    <sheetView zoomScaleNormal="100" workbookViewId="0"/>
  </sheetViews>
  <sheetFormatPr defaultRowHeight="15"/>
  <cols>
    <col min="1" max="2" width="4.140625" style="74" customWidth="1"/>
    <col min="3" max="3" width="46" style="74" customWidth="1"/>
    <col min="4" max="4" width="9.140625" style="74" customWidth="1"/>
    <col min="5" max="13" width="9.85546875" style="74" customWidth="1"/>
    <col min="14" max="14" width="3" style="74" customWidth="1"/>
    <col min="15" max="15" width="19.5703125" style="74" customWidth="1"/>
    <col min="16" max="16" width="16.28515625" style="74" customWidth="1"/>
    <col min="17" max="17" width="4.42578125" style="74" customWidth="1"/>
    <col min="18" max="19" width="9.140625" style="74" customWidth="1"/>
    <col min="20" max="20" width="13.85546875" style="74" customWidth="1"/>
    <col min="21" max="16384" width="9.140625" style="74"/>
  </cols>
  <sheetData>
    <row r="1" spans="1:19" ht="23.25">
      <c r="A1" s="232"/>
      <c r="C1" s="2" t="str">
        <f ca="1">OFFSET(Inputs_Anchor,0,G1+1)</f>
        <v>GasNet</v>
      </c>
      <c r="D1" s="2"/>
      <c r="E1" s="2"/>
      <c r="F1" s="6" t="s">
        <v>74</v>
      </c>
      <c r="G1" s="7">
        <v>1</v>
      </c>
      <c r="H1" s="2"/>
      <c r="I1" s="2"/>
      <c r="J1" s="2"/>
      <c r="K1" s="2"/>
      <c r="L1" s="2"/>
      <c r="M1" s="2"/>
      <c r="N1" s="2"/>
      <c r="O1" s="228"/>
      <c r="P1" s="228"/>
      <c r="Q1" s="228"/>
      <c r="R1" s="228"/>
      <c r="S1" s="228"/>
    </row>
    <row r="2" spans="1:19">
      <c r="O2" s="29"/>
      <c r="P2" s="80"/>
      <c r="Q2" s="80"/>
      <c r="R2" s="80"/>
      <c r="S2" s="80"/>
    </row>
    <row r="3" spans="1:19" ht="21">
      <c r="C3" s="3" t="s">
        <v>194</v>
      </c>
      <c r="O3" s="80"/>
      <c r="P3" s="80"/>
      <c r="Q3" s="80"/>
      <c r="R3" s="80"/>
      <c r="S3" s="80"/>
    </row>
    <row r="4" spans="1:19">
      <c r="O4" s="80"/>
      <c r="P4" s="80"/>
      <c r="Q4" s="80"/>
      <c r="R4" s="80"/>
      <c r="S4" s="80"/>
    </row>
    <row r="5" spans="1:19">
      <c r="C5" s="74" t="s">
        <v>212</v>
      </c>
      <c r="E5" s="81">
        <v>2010</v>
      </c>
      <c r="F5" s="81">
        <v>2011</v>
      </c>
      <c r="G5" s="81">
        <v>2012</v>
      </c>
      <c r="H5" s="81">
        <v>2013</v>
      </c>
      <c r="I5" s="81">
        <v>2014</v>
      </c>
      <c r="J5" s="81">
        <v>2015</v>
      </c>
      <c r="K5" s="81">
        <v>2016</v>
      </c>
      <c r="L5" s="81">
        <v>2017</v>
      </c>
      <c r="M5" s="81">
        <v>2018</v>
      </c>
      <c r="N5" s="21"/>
      <c r="O5" s="37"/>
      <c r="P5" s="80"/>
      <c r="Q5" s="80"/>
      <c r="R5" s="80"/>
      <c r="S5" s="80"/>
    </row>
    <row r="6" spans="1:19">
      <c r="C6" s="54"/>
      <c r="E6" s="81"/>
      <c r="F6" s="81"/>
      <c r="G6" s="81"/>
      <c r="H6" s="81"/>
      <c r="I6" s="81"/>
      <c r="J6" s="81"/>
      <c r="K6" s="81"/>
      <c r="L6" s="81"/>
      <c r="M6" s="81"/>
      <c r="N6" s="21"/>
      <c r="O6" s="37"/>
      <c r="P6" s="80"/>
      <c r="Q6" s="80"/>
      <c r="R6" s="80"/>
      <c r="S6" s="80"/>
    </row>
    <row r="7" spans="1:19" ht="45" customHeight="1">
      <c r="C7" s="54" t="s">
        <v>233</v>
      </c>
      <c r="E7" s="81" t="s">
        <v>140</v>
      </c>
      <c r="F7" s="81" t="s">
        <v>141</v>
      </c>
      <c r="G7" s="81" t="s">
        <v>142</v>
      </c>
      <c r="H7" s="81" t="s">
        <v>143</v>
      </c>
      <c r="I7" s="81" t="s">
        <v>144</v>
      </c>
      <c r="J7" s="81" t="s">
        <v>145</v>
      </c>
      <c r="K7" s="81" t="s">
        <v>159</v>
      </c>
      <c r="L7" s="81" t="s">
        <v>160</v>
      </c>
      <c r="M7" s="81" t="s">
        <v>161</v>
      </c>
      <c r="N7" s="21"/>
      <c r="O7" s="37"/>
      <c r="P7" s="80"/>
      <c r="Q7" s="80"/>
      <c r="R7" s="80"/>
      <c r="S7" s="80"/>
    </row>
    <row r="8" spans="1:19">
      <c r="C8" s="92"/>
      <c r="E8" s="21"/>
      <c r="F8" s="17"/>
      <c r="G8" s="17"/>
      <c r="H8" s="17"/>
      <c r="I8" s="17"/>
      <c r="J8" s="17"/>
      <c r="N8" s="45"/>
      <c r="O8" s="37"/>
      <c r="P8" s="80"/>
      <c r="Q8" s="80"/>
      <c r="R8" s="80"/>
      <c r="S8" s="80"/>
    </row>
    <row r="9" spans="1:19" ht="45">
      <c r="C9" s="74" t="s">
        <v>210</v>
      </c>
      <c r="E9" s="111" t="s">
        <v>443</v>
      </c>
      <c r="F9" s="111" t="s">
        <v>444</v>
      </c>
      <c r="G9" s="111" t="s">
        <v>445</v>
      </c>
      <c r="H9" s="111" t="s">
        <v>446</v>
      </c>
      <c r="I9" s="111" t="s">
        <v>447</v>
      </c>
      <c r="J9" s="111" t="s">
        <v>448</v>
      </c>
      <c r="K9" s="111" t="s">
        <v>449</v>
      </c>
      <c r="L9" s="111" t="s">
        <v>450</v>
      </c>
      <c r="M9" s="111" t="s">
        <v>451</v>
      </c>
      <c r="N9" s="45"/>
      <c r="O9" s="37"/>
      <c r="P9" s="80"/>
      <c r="Q9" s="80"/>
      <c r="R9" s="80"/>
      <c r="S9" s="80"/>
    </row>
    <row r="10" spans="1:19" ht="8.25" customHeight="1">
      <c r="E10" s="111"/>
      <c r="F10" s="111"/>
      <c r="G10" s="111"/>
      <c r="H10" s="111"/>
      <c r="I10" s="111"/>
      <c r="J10" s="111"/>
      <c r="K10" s="111"/>
      <c r="L10" s="111"/>
      <c r="M10" s="111"/>
      <c r="N10" s="45"/>
      <c r="O10" s="37"/>
      <c r="P10" s="80"/>
      <c r="Q10" s="80"/>
      <c r="R10" s="80"/>
      <c r="S10" s="80"/>
    </row>
    <row r="11" spans="1:19" ht="45">
      <c r="C11" s="74" t="s">
        <v>195</v>
      </c>
      <c r="E11" s="111" t="s">
        <v>452</v>
      </c>
      <c r="F11" s="111" t="s">
        <v>453</v>
      </c>
      <c r="G11" s="111" t="s">
        <v>454</v>
      </c>
      <c r="H11" s="111" t="s">
        <v>455</v>
      </c>
      <c r="I11" s="111" t="s">
        <v>456</v>
      </c>
      <c r="J11" s="111" t="s">
        <v>457</v>
      </c>
      <c r="K11" s="111" t="s">
        <v>458</v>
      </c>
      <c r="L11" s="111" t="s">
        <v>459</v>
      </c>
      <c r="M11" s="111" t="s">
        <v>460</v>
      </c>
      <c r="N11" s="45"/>
      <c r="O11" s="37"/>
      <c r="P11" s="80"/>
      <c r="Q11" s="80"/>
      <c r="R11" s="80"/>
      <c r="S11" s="80"/>
    </row>
    <row r="12" spans="1:19">
      <c r="E12" s="118"/>
      <c r="F12" s="118"/>
      <c r="G12" s="118"/>
      <c r="H12" s="118"/>
      <c r="I12" s="118"/>
      <c r="J12" s="118"/>
      <c r="K12" s="118"/>
      <c r="L12" s="118"/>
      <c r="M12" s="118"/>
      <c r="N12" s="45"/>
      <c r="O12" s="37"/>
      <c r="P12" s="80"/>
      <c r="Q12" s="80"/>
      <c r="R12" s="80"/>
      <c r="S12" s="80"/>
    </row>
    <row r="13" spans="1:19" ht="45" customHeight="1">
      <c r="C13" s="54" t="s">
        <v>222</v>
      </c>
      <c r="E13" s="118"/>
      <c r="F13" s="118"/>
      <c r="G13" s="118"/>
      <c r="H13" s="118" t="s">
        <v>461</v>
      </c>
      <c r="I13" s="111" t="s">
        <v>447</v>
      </c>
      <c r="J13" s="111" t="s">
        <v>448</v>
      </c>
      <c r="K13" s="111" t="s">
        <v>449</v>
      </c>
      <c r="L13" s="111" t="s">
        <v>450</v>
      </c>
      <c r="M13" s="111" t="s">
        <v>462</v>
      </c>
      <c r="N13" s="45"/>
      <c r="O13" s="37"/>
      <c r="P13" s="80"/>
      <c r="Q13" s="80"/>
      <c r="R13" s="80"/>
      <c r="S13" s="80"/>
    </row>
    <row r="14" spans="1:19" ht="45" customHeight="1">
      <c r="C14" s="54" t="s">
        <v>223</v>
      </c>
      <c r="E14" s="118"/>
      <c r="F14" s="118"/>
      <c r="G14" s="118"/>
      <c r="H14" s="111" t="s">
        <v>463</v>
      </c>
      <c r="I14" s="111" t="s">
        <v>456</v>
      </c>
      <c r="J14" s="111" t="s">
        <v>457</v>
      </c>
      <c r="K14" s="111" t="s">
        <v>458</v>
      </c>
      <c r="L14" s="111" t="s">
        <v>459</v>
      </c>
      <c r="M14" s="118" t="s">
        <v>461</v>
      </c>
      <c r="N14" s="45"/>
      <c r="O14" s="37"/>
      <c r="P14" s="80"/>
      <c r="Q14" s="80"/>
      <c r="R14" s="80"/>
      <c r="S14" s="80"/>
    </row>
    <row r="15" spans="1:19">
      <c r="N15" s="45"/>
      <c r="O15" s="37"/>
      <c r="P15" s="80"/>
      <c r="Q15" s="80"/>
      <c r="R15" s="80"/>
      <c r="S15" s="80"/>
    </row>
    <row r="16" spans="1:19" ht="23.25">
      <c r="C16" s="2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8"/>
      <c r="P16" s="228"/>
      <c r="Q16" s="228"/>
      <c r="R16" s="228"/>
      <c r="S16" s="228"/>
    </row>
    <row r="17" spans="1:19">
      <c r="O17" s="80"/>
      <c r="P17" s="80"/>
      <c r="Q17" s="80"/>
      <c r="R17" s="80"/>
      <c r="S17" s="80"/>
    </row>
    <row r="18" spans="1:19" ht="21">
      <c r="C18" s="3" t="s">
        <v>188</v>
      </c>
      <c r="I18" s="10" t="s">
        <v>5</v>
      </c>
      <c r="O18" s="80"/>
      <c r="P18" s="80"/>
      <c r="Q18" s="80"/>
      <c r="R18" s="80"/>
      <c r="S18" s="80"/>
    </row>
    <row r="19" spans="1:19">
      <c r="C19" s="40"/>
      <c r="D19" s="40" t="s">
        <v>39</v>
      </c>
      <c r="E19" s="40"/>
      <c r="F19" s="40" t="s">
        <v>40</v>
      </c>
      <c r="O19" s="80"/>
      <c r="P19" s="80"/>
      <c r="Q19" s="80"/>
      <c r="R19" s="80"/>
      <c r="S19" s="80"/>
    </row>
    <row r="20" spans="1:19">
      <c r="C20" s="40"/>
      <c r="D20" s="40" t="s">
        <v>38</v>
      </c>
      <c r="E20" s="40"/>
      <c r="O20" s="80"/>
      <c r="P20" s="80"/>
      <c r="Q20" s="80"/>
      <c r="R20" s="80"/>
      <c r="S20" s="80"/>
    </row>
    <row r="21" spans="1:19">
      <c r="C21" s="81" t="s">
        <v>1</v>
      </c>
      <c r="E21" s="81" t="str">
        <f>Inputs!D$12</f>
        <v>2009/10</v>
      </c>
      <c r="F21" s="81" t="str">
        <f>Inputs!E$12</f>
        <v>2010/11</v>
      </c>
      <c r="G21" s="81" t="str">
        <f>Inputs!F$12</f>
        <v>2011/12</v>
      </c>
      <c r="H21" s="81" t="str">
        <f>Inputs!G$12</f>
        <v>2012/13</v>
      </c>
      <c r="I21" s="81" t="str">
        <f>Inputs!H$12</f>
        <v>2013/14</v>
      </c>
      <c r="J21" s="81" t="str">
        <f>Inputs!I$12</f>
        <v>2014/15</v>
      </c>
      <c r="K21" s="81" t="str">
        <f>Inputs!J$12</f>
        <v>2015/16</v>
      </c>
      <c r="L21" s="81" t="str">
        <f>Inputs!K$12</f>
        <v>2016/17</v>
      </c>
      <c r="M21" s="81" t="str">
        <f>Inputs!L$12</f>
        <v>2017/18</v>
      </c>
      <c r="N21" s="81"/>
      <c r="O21" s="169"/>
      <c r="P21" s="80"/>
      <c r="Q21" s="80"/>
      <c r="R21" s="80"/>
      <c r="S21" s="80"/>
    </row>
    <row r="22" spans="1:19">
      <c r="N22" s="15"/>
      <c r="O22" s="169"/>
      <c r="P22" s="80"/>
      <c r="Q22" s="80"/>
      <c r="R22" s="80"/>
      <c r="S22" s="80"/>
    </row>
    <row r="23" spans="1:19">
      <c r="A23" s="9">
        <v>1</v>
      </c>
      <c r="B23" s="9"/>
      <c r="C23" s="74" t="str">
        <f>Inputs!B25</f>
        <v>Revenue through Prices</v>
      </c>
      <c r="F23" s="1">
        <f t="shared" ref="F23:F32" si="0">INDEX(InputsBlock,A23+1,$G$1+2)</f>
        <v>4218.4803100000008</v>
      </c>
      <c r="O23" s="80"/>
      <c r="P23" s="80"/>
      <c r="Q23" s="80"/>
      <c r="R23" s="80"/>
      <c r="S23" s="80"/>
    </row>
    <row r="24" spans="1:19">
      <c r="A24" s="9">
        <f t="shared" ref="A24:A31" si="1">A23+1</f>
        <v>2</v>
      </c>
      <c r="B24" s="9"/>
      <c r="C24" s="74" t="str">
        <f>Inputs!B26</f>
        <v>Pass-through costs</v>
      </c>
      <c r="F24" s="1">
        <f t="shared" si="0"/>
        <v>44.899550000000005</v>
      </c>
      <c r="O24" s="80"/>
      <c r="P24" s="80"/>
      <c r="Q24" s="80"/>
      <c r="R24" s="80"/>
      <c r="S24" s="80"/>
    </row>
    <row r="25" spans="1:19">
      <c r="A25" s="9">
        <f t="shared" si="1"/>
        <v>3</v>
      </c>
      <c r="B25" s="9"/>
      <c r="C25" s="74" t="str">
        <f>Inputs!B27</f>
        <v>Recoverable costs</v>
      </c>
      <c r="F25" s="1">
        <f t="shared" si="0"/>
        <v>0</v>
      </c>
      <c r="O25" s="80"/>
      <c r="P25" s="80"/>
      <c r="Q25" s="80"/>
      <c r="R25" s="80"/>
      <c r="S25" s="80"/>
    </row>
    <row r="26" spans="1:19">
      <c r="A26" s="9">
        <f t="shared" si="1"/>
        <v>4</v>
      </c>
      <c r="B26" s="9"/>
      <c r="C26" s="80" t="str">
        <f>Inputs!B28</f>
        <v>Opening RAB 2010/11</v>
      </c>
      <c r="F26" s="1">
        <f t="shared" si="0"/>
        <v>22482.672525439408</v>
      </c>
      <c r="O26" s="198"/>
      <c r="P26" s="80"/>
      <c r="Q26" s="80"/>
      <c r="R26" s="80"/>
      <c r="S26" s="80"/>
    </row>
    <row r="27" spans="1:19">
      <c r="A27" s="9">
        <f t="shared" si="1"/>
        <v>5</v>
      </c>
      <c r="B27" s="9"/>
      <c r="C27" s="80" t="str">
        <f>Inputs!B29</f>
        <v>Total Depreciation</v>
      </c>
      <c r="F27" s="1">
        <f t="shared" si="0"/>
        <v>892</v>
      </c>
      <c r="O27" s="80"/>
      <c r="P27" s="80"/>
      <c r="Q27" s="80"/>
      <c r="R27" s="80"/>
      <c r="S27" s="80"/>
    </row>
    <row r="28" spans="1:19">
      <c r="A28" s="9">
        <f t="shared" si="1"/>
        <v>6</v>
      </c>
      <c r="B28" s="9"/>
      <c r="C28" s="80" t="str">
        <f>Inputs!B30</f>
        <v>RAB of disposed assets</v>
      </c>
      <c r="F28" s="1">
        <f t="shared" si="0"/>
        <v>0</v>
      </c>
      <c r="O28" s="80"/>
      <c r="P28" s="80"/>
      <c r="Q28" s="80"/>
      <c r="R28" s="80"/>
      <c r="S28" s="80"/>
    </row>
    <row r="29" spans="1:19">
      <c r="A29" s="9">
        <f>A28+1</f>
        <v>7</v>
      </c>
      <c r="B29" s="9"/>
      <c r="C29" s="80" t="str">
        <f>Inputs!B31</f>
        <v>Value of commissioned assets</v>
      </c>
      <c r="F29" s="1">
        <f t="shared" si="0"/>
        <v>715</v>
      </c>
      <c r="O29" s="80"/>
      <c r="P29" s="80"/>
      <c r="Q29" s="80"/>
      <c r="R29" s="80"/>
      <c r="S29" s="80"/>
    </row>
    <row r="30" spans="1:19">
      <c r="A30" s="9">
        <f t="shared" si="1"/>
        <v>8</v>
      </c>
      <c r="B30" s="9"/>
      <c r="C30" s="80" t="str">
        <f>Inputs!B32</f>
        <v>Tax Depreciation</v>
      </c>
      <c r="F30" s="1">
        <f t="shared" si="0"/>
        <v>787</v>
      </c>
      <c r="O30" s="80"/>
      <c r="P30" s="80"/>
      <c r="Q30" s="80"/>
      <c r="R30" s="80"/>
      <c r="S30" s="80"/>
    </row>
    <row r="31" spans="1:19">
      <c r="A31" s="9">
        <f t="shared" si="1"/>
        <v>9</v>
      </c>
      <c r="B31" s="9"/>
      <c r="C31" s="80" t="str">
        <f>Inputs!B33</f>
        <v>Opening regulatory tax asset value 2010/11</v>
      </c>
      <c r="F31" s="1">
        <f t="shared" si="0"/>
        <v>5785</v>
      </c>
      <c r="O31" s="80"/>
      <c r="P31" s="80"/>
      <c r="Q31" s="80"/>
      <c r="R31" s="80"/>
      <c r="S31" s="80"/>
    </row>
    <row r="32" spans="1:19">
      <c r="A32" s="9">
        <f>A31+1</f>
        <v>10</v>
      </c>
      <c r="B32" s="9"/>
      <c r="C32" s="80" t="str">
        <f>Inputs!B34</f>
        <v>Other regulated income</v>
      </c>
      <c r="F32" s="1">
        <f t="shared" si="0"/>
        <v>13.25</v>
      </c>
      <c r="O32" s="80"/>
      <c r="P32" s="80"/>
      <c r="Q32" s="80"/>
      <c r="R32" s="80"/>
      <c r="S32" s="80"/>
    </row>
    <row r="33" spans="1:19">
      <c r="A33" s="9">
        <f>A32+1</f>
        <v>11</v>
      </c>
      <c r="B33" s="9"/>
      <c r="C33" s="80" t="str">
        <f>Inputs!B35</f>
        <v>Opening RAB 2009/10</v>
      </c>
      <c r="E33" s="1">
        <f t="shared" ref="E33:E37" si="2">INDEX(InputsBlock,A33+1,$G$1+2)</f>
        <v>22386</v>
      </c>
      <c r="O33" s="80"/>
      <c r="P33" s="80"/>
      <c r="Q33" s="80"/>
      <c r="R33" s="80"/>
      <c r="S33" s="80"/>
    </row>
    <row r="34" spans="1:19">
      <c r="A34" s="9">
        <f>A33+1</f>
        <v>12</v>
      </c>
      <c r="B34" s="9"/>
      <c r="C34" s="80" t="str">
        <f>Inputs!B36</f>
        <v>Disposed assets 2009/10</v>
      </c>
      <c r="E34" s="1">
        <f t="shared" si="2"/>
        <v>0</v>
      </c>
      <c r="O34" s="80"/>
      <c r="P34" s="80"/>
      <c r="Q34" s="80"/>
      <c r="R34" s="80"/>
      <c r="S34" s="80"/>
    </row>
    <row r="35" spans="1:19">
      <c r="A35" s="9">
        <f>A34+1</f>
        <v>13</v>
      </c>
      <c r="B35" s="9"/>
      <c r="C35" s="80" t="str">
        <f>Inputs!B37</f>
        <v>Opening regulatory tax asset value 2009/10</v>
      </c>
      <c r="E35" s="1">
        <f t="shared" si="2"/>
        <v>5785</v>
      </c>
      <c r="O35" s="80"/>
      <c r="P35" s="80"/>
      <c r="Q35" s="80"/>
      <c r="R35" s="80"/>
      <c r="S35" s="80"/>
    </row>
    <row r="36" spans="1:19">
      <c r="A36" s="9">
        <f t="shared" ref="A36:A41" si="3">A35+1</f>
        <v>14</v>
      </c>
      <c r="B36" s="9"/>
      <c r="C36" s="80" t="str">
        <f>Inputs!B38</f>
        <v>Tax Depreciation 2009/10</v>
      </c>
      <c r="E36" s="1">
        <f t="shared" si="2"/>
        <v>788</v>
      </c>
      <c r="O36" s="80"/>
      <c r="P36" s="80"/>
      <c r="Q36" s="80"/>
      <c r="R36" s="80"/>
      <c r="S36" s="80"/>
    </row>
    <row r="37" spans="1:19">
      <c r="A37" s="9">
        <f t="shared" si="3"/>
        <v>15</v>
      </c>
      <c r="B37" s="9"/>
      <c r="C37" s="80" t="str">
        <f>Inputs!B39</f>
        <v>Weighted Average Remaining Life at year-end 2009/10</v>
      </c>
      <c r="E37" s="1">
        <f t="shared" si="2"/>
        <v>27</v>
      </c>
      <c r="O37" s="80"/>
      <c r="P37" s="80"/>
      <c r="Q37" s="80"/>
      <c r="R37" s="80"/>
      <c r="S37" s="80"/>
    </row>
    <row r="38" spans="1:19">
      <c r="A38" s="9">
        <f>A37+1</f>
        <v>16</v>
      </c>
      <c r="C38" s="80" t="str">
        <f>Inputs!B40</f>
        <v>Information &amp; building blocks year-end</v>
      </c>
      <c r="D38" s="44"/>
      <c r="E38" s="1" t="str">
        <f>INDEX(InputsBlock,A38+1,$G$1+2)</f>
        <v xml:space="preserve">June </v>
      </c>
      <c r="N38" s="44"/>
      <c r="O38" s="80"/>
      <c r="P38" s="80"/>
      <c r="Q38" s="80"/>
      <c r="R38" s="80"/>
      <c r="S38" s="80"/>
    </row>
    <row r="39" spans="1:19">
      <c r="A39" s="9">
        <f t="shared" si="3"/>
        <v>17</v>
      </c>
      <c r="C39" s="80" t="str">
        <f>Inputs!B41</f>
        <v>Pricing &amp; allowed revenue year-end</v>
      </c>
      <c r="D39" s="44"/>
      <c r="E39" s="1" t="str">
        <f>INDEX(InputsBlock,A39+1,$G$1+2)</f>
        <v xml:space="preserve">September </v>
      </c>
      <c r="N39" s="44"/>
      <c r="O39" s="80"/>
      <c r="P39" s="80"/>
      <c r="Q39" s="80"/>
      <c r="R39" s="80"/>
      <c r="S39" s="80"/>
    </row>
    <row r="40" spans="1:19">
      <c r="A40" s="9">
        <f t="shared" si="3"/>
        <v>18</v>
      </c>
      <c r="C40" s="80" t="str">
        <f>Inputs!B42</f>
        <v>Term Credit Spread Differential Allowance</v>
      </c>
      <c r="D40" s="44"/>
      <c r="E40" s="1"/>
      <c r="F40" s="139">
        <f>INDEX(InputsBlock,A40+1,$G$1+2)</f>
        <v>0</v>
      </c>
      <c r="N40" s="44"/>
      <c r="O40" s="80"/>
      <c r="P40" s="80"/>
      <c r="Q40" s="80"/>
      <c r="R40" s="80"/>
      <c r="S40" s="80"/>
    </row>
    <row r="41" spans="1:19">
      <c r="A41" s="9">
        <f t="shared" si="3"/>
        <v>19</v>
      </c>
      <c r="C41" s="80" t="s">
        <v>264</v>
      </c>
      <c r="D41" s="44"/>
      <c r="E41" s="139">
        <f>INDEX(InputsBlock,A41+1,$G$1+2)</f>
        <v>16</v>
      </c>
      <c r="N41" s="44"/>
      <c r="O41" s="80"/>
      <c r="P41" s="80"/>
      <c r="Q41" s="80"/>
      <c r="R41" s="80"/>
      <c r="S41" s="80"/>
    </row>
    <row r="42" spans="1:19">
      <c r="A42" s="9"/>
      <c r="C42" s="74" t="s">
        <v>220</v>
      </c>
      <c r="E42" s="74" t="s">
        <v>227</v>
      </c>
      <c r="N42" s="44"/>
      <c r="O42" s="80"/>
      <c r="P42" s="80"/>
      <c r="Q42" s="80"/>
      <c r="R42" s="80"/>
      <c r="S42" s="80"/>
    </row>
    <row r="43" spans="1:19">
      <c r="A43" s="9"/>
      <c r="C43" s="74" t="s">
        <v>221</v>
      </c>
      <c r="E43" s="1" t="s">
        <v>204</v>
      </c>
      <c r="N43" s="44"/>
      <c r="O43" s="80"/>
      <c r="P43" s="80"/>
      <c r="Q43" s="80"/>
      <c r="R43" s="80"/>
      <c r="S43" s="80"/>
    </row>
    <row r="44" spans="1:19">
      <c r="A44" s="9"/>
      <c r="O44" s="80"/>
      <c r="P44" s="80"/>
      <c r="Q44" s="80"/>
      <c r="R44" s="80"/>
      <c r="S44" s="80"/>
    </row>
    <row r="45" spans="1:19">
      <c r="E45" s="1"/>
      <c r="F45" s="81" t="str">
        <f>Inputs!E$12</f>
        <v>2010/11</v>
      </c>
      <c r="G45" s="81" t="str">
        <f>Inputs!F$12</f>
        <v>2011/12</v>
      </c>
      <c r="H45" s="81" t="str">
        <f>Inputs!G$12</f>
        <v>2012/13</v>
      </c>
      <c r="I45" s="81" t="str">
        <f>Inputs!H$12</f>
        <v>2013/14</v>
      </c>
      <c r="J45" s="81" t="str">
        <f>Inputs!I$12</f>
        <v>2014/15</v>
      </c>
      <c r="K45" s="81" t="str">
        <f>Inputs!J$12</f>
        <v>2015/16</v>
      </c>
      <c r="L45" s="81" t="str">
        <f>Inputs!K$12</f>
        <v>2016/17</v>
      </c>
      <c r="M45" s="81" t="str">
        <f>Inputs!L$12</f>
        <v>2017/18</v>
      </c>
      <c r="N45" s="44"/>
      <c r="O45" s="80"/>
      <c r="P45" s="80"/>
      <c r="Q45" s="80"/>
      <c r="R45" s="80"/>
      <c r="S45" s="80"/>
    </row>
    <row r="46" spans="1:19">
      <c r="C46" s="74" t="s">
        <v>211</v>
      </c>
      <c r="E46" s="1"/>
      <c r="F46" s="96">
        <v>0</v>
      </c>
      <c r="G46" s="15">
        <v>1</v>
      </c>
      <c r="H46" s="15">
        <v>2</v>
      </c>
      <c r="I46" s="15">
        <v>3</v>
      </c>
      <c r="J46" s="15">
        <v>4</v>
      </c>
      <c r="K46" s="15">
        <v>5</v>
      </c>
      <c r="L46" s="15">
        <v>6</v>
      </c>
      <c r="M46" s="15">
        <v>7</v>
      </c>
      <c r="N46" s="44"/>
      <c r="O46" s="80"/>
      <c r="P46" s="80"/>
      <c r="Q46" s="80"/>
      <c r="R46" s="80"/>
      <c r="S46" s="80"/>
    </row>
    <row r="47" spans="1:19">
      <c r="A47" s="9"/>
      <c r="B47" s="9"/>
      <c r="C47" s="74" t="s">
        <v>15</v>
      </c>
      <c r="E47" s="1"/>
      <c r="F47" s="43"/>
      <c r="G47" s="43">
        <f t="shared" ref="G47:M47" si="4">INDEX(OpexBlock,G46,$G$1)</f>
        <v>1575.1139145388759</v>
      </c>
      <c r="H47" s="43">
        <f t="shared" si="4"/>
        <v>1655.2943863483949</v>
      </c>
      <c r="I47" s="43">
        <f t="shared" si="4"/>
        <v>1793.8933336255081</v>
      </c>
      <c r="J47" s="43">
        <f t="shared" si="4"/>
        <v>1770.7301563967308</v>
      </c>
      <c r="K47" s="43">
        <f t="shared" si="4"/>
        <v>1832.7995841900247</v>
      </c>
      <c r="L47" s="43">
        <f t="shared" si="4"/>
        <v>1889.2589148193192</v>
      </c>
      <c r="M47" s="43">
        <f t="shared" si="4"/>
        <v>1949.9866085546105</v>
      </c>
      <c r="N47" s="44"/>
      <c r="O47" s="80"/>
      <c r="P47" s="80"/>
      <c r="Q47" s="80"/>
      <c r="R47" s="80"/>
      <c r="S47" s="80"/>
    </row>
    <row r="48" spans="1:19">
      <c r="A48" s="9"/>
      <c r="B48" s="9"/>
      <c r="C48" s="74" t="s">
        <v>113</v>
      </c>
      <c r="D48" s="1"/>
      <c r="E48" s="1"/>
      <c r="F48" s="174">
        <f>F29</f>
        <v>715</v>
      </c>
      <c r="G48" s="43">
        <f t="shared" ref="G48:M48" si="5">INDEX(CommAssetsBlock,G46,$G$1)</f>
        <v>654.65479747974143</v>
      </c>
      <c r="H48" s="43">
        <f t="shared" si="5"/>
        <v>693.01469355560312</v>
      </c>
      <c r="I48" s="43">
        <f t="shared" si="5"/>
        <v>723.2955785004109</v>
      </c>
      <c r="J48" s="43">
        <f t="shared" si="5"/>
        <v>737.13160554854358</v>
      </c>
      <c r="K48" s="43">
        <f t="shared" si="5"/>
        <v>834.89712803678583</v>
      </c>
      <c r="L48" s="43">
        <f t="shared" si="5"/>
        <v>851.57033947766172</v>
      </c>
      <c r="M48" s="43">
        <f t="shared" si="5"/>
        <v>868.30316791604878</v>
      </c>
      <c r="N48" s="44"/>
      <c r="O48" s="80"/>
      <c r="P48" s="80"/>
      <c r="Q48" s="80"/>
      <c r="R48" s="80"/>
      <c r="S48" s="80"/>
    </row>
    <row r="49" spans="1:19">
      <c r="A49" s="9"/>
      <c r="B49" s="9"/>
      <c r="C49" s="74" t="s">
        <v>150</v>
      </c>
      <c r="D49" s="1"/>
      <c r="E49" s="44"/>
      <c r="F49" s="44">
        <f t="shared" ref="F49:M49" si="6">INDEX(ConstPriceRevGrwth,F$46+1,$G$1)</f>
        <v>-3.7679929234839878E-2</v>
      </c>
      <c r="G49" s="44">
        <f t="shared" si="6"/>
        <v>-5.2848619996040966E-3</v>
      </c>
      <c r="H49" s="44">
        <f t="shared" si="6"/>
        <v>-5.2848619996040966E-3</v>
      </c>
      <c r="I49" s="44">
        <f t="shared" si="6"/>
        <v>-5.2848619996040966E-3</v>
      </c>
      <c r="J49" s="44">
        <f t="shared" si="6"/>
        <v>-5.2848619996040966E-3</v>
      </c>
      <c r="K49" s="44">
        <f t="shared" si="6"/>
        <v>-5.2848619996040966E-3</v>
      </c>
      <c r="L49" s="44">
        <f t="shared" si="6"/>
        <v>-5.2848619996040966E-3</v>
      </c>
      <c r="M49" s="44">
        <f t="shared" si="6"/>
        <v>-5.2848619996040966E-3</v>
      </c>
      <c r="N49" s="44"/>
      <c r="O49" s="80"/>
      <c r="P49" s="80"/>
      <c r="Q49" s="80"/>
      <c r="R49" s="80"/>
      <c r="S49" s="80"/>
    </row>
    <row r="50" spans="1:19">
      <c r="A50" s="9"/>
      <c r="B50" s="9"/>
      <c r="C50" s="74" t="s">
        <v>170</v>
      </c>
      <c r="D50" s="1"/>
      <c r="E50" s="44"/>
      <c r="F50" s="44"/>
      <c r="G50" s="94"/>
      <c r="H50" s="94">
        <f t="shared" ref="H50:M50" si="7">INDEX(BBlockMths,H$46-1,$G$1)</f>
        <v>0</v>
      </c>
      <c r="I50" s="94">
        <f t="shared" si="7"/>
        <v>12</v>
      </c>
      <c r="J50" s="94">
        <f t="shared" si="7"/>
        <v>12</v>
      </c>
      <c r="K50" s="94">
        <f t="shared" si="7"/>
        <v>12</v>
      </c>
      <c r="L50" s="94">
        <f t="shared" si="7"/>
        <v>12</v>
      </c>
      <c r="M50" s="94">
        <f t="shared" si="7"/>
        <v>3</v>
      </c>
      <c r="N50" s="44"/>
      <c r="O50" s="80"/>
      <c r="P50" s="80"/>
      <c r="Q50" s="80"/>
      <c r="R50" s="80"/>
      <c r="S50" s="80"/>
    </row>
    <row r="51" spans="1:19">
      <c r="A51" s="9"/>
      <c r="B51" s="9"/>
      <c r="C51" s="74" t="s">
        <v>171</v>
      </c>
      <c r="D51" s="1"/>
      <c r="E51" s="44"/>
      <c r="F51" s="44"/>
      <c r="G51" s="94"/>
      <c r="H51" s="94">
        <f t="shared" ref="H51:M51" si="8">INDEX(AllowedRevMths,H$46-1,$G$1)</f>
        <v>3</v>
      </c>
      <c r="I51" s="94">
        <f t="shared" si="8"/>
        <v>12</v>
      </c>
      <c r="J51" s="94">
        <f t="shared" si="8"/>
        <v>12</v>
      </c>
      <c r="K51" s="94">
        <f t="shared" si="8"/>
        <v>12</v>
      </c>
      <c r="L51" s="94">
        <f t="shared" si="8"/>
        <v>12</v>
      </c>
      <c r="M51" s="94">
        <f t="shared" si="8"/>
        <v>0</v>
      </c>
      <c r="N51" s="44"/>
      <c r="O51" s="80"/>
      <c r="P51" s="80"/>
      <c r="Q51" s="80"/>
      <c r="R51" s="80"/>
      <c r="S51" s="80"/>
    </row>
    <row r="52" spans="1:19">
      <c r="A52" s="9"/>
      <c r="B52" s="9"/>
      <c r="D52" s="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80"/>
      <c r="P52" s="80"/>
      <c r="Q52" s="80"/>
      <c r="R52" s="80"/>
      <c r="S52" s="80"/>
    </row>
    <row r="53" spans="1:19">
      <c r="A53" s="9"/>
      <c r="B53" s="9"/>
      <c r="D53" s="1"/>
      <c r="E53" s="44"/>
      <c r="G53" s="44"/>
      <c r="H53" s="44"/>
      <c r="I53" s="44"/>
      <c r="J53" s="44"/>
      <c r="K53" s="44"/>
      <c r="L53" s="44"/>
      <c r="M53" s="44"/>
      <c r="N53" s="44"/>
      <c r="O53" s="80"/>
      <c r="P53" s="80"/>
      <c r="Q53" s="80"/>
      <c r="R53" s="80"/>
      <c r="S53" s="80"/>
    </row>
    <row r="54" spans="1:19" ht="15.75">
      <c r="A54" s="9"/>
      <c r="B54" s="9"/>
      <c r="C54" s="79" t="s">
        <v>139</v>
      </c>
      <c r="D54" s="1"/>
      <c r="E54" s="81" t="str">
        <f>Inputs!D$12</f>
        <v>2009/10</v>
      </c>
      <c r="F54" s="81" t="str">
        <f>Inputs!E$12</f>
        <v>2010/11</v>
      </c>
      <c r="G54" s="81" t="str">
        <f>Inputs!F$12</f>
        <v>2011/12</v>
      </c>
      <c r="H54" s="81" t="str">
        <f>Inputs!G$12</f>
        <v>2012/13</v>
      </c>
      <c r="I54" s="81" t="str">
        <f>Inputs!H$12</f>
        <v>2013/14</v>
      </c>
      <c r="J54" s="81" t="str">
        <f>Inputs!I$12</f>
        <v>2014/15</v>
      </c>
      <c r="K54" s="81" t="str">
        <f>Inputs!J$12</f>
        <v>2015/16</v>
      </c>
      <c r="L54" s="81" t="str">
        <f>Inputs!K$12</f>
        <v>2016/17</v>
      </c>
      <c r="M54" s="81" t="str">
        <f>Inputs!L$12</f>
        <v>2017/18</v>
      </c>
      <c r="N54" s="44"/>
      <c r="O54" s="92"/>
      <c r="P54" s="80"/>
      <c r="Q54" s="80"/>
      <c r="R54" s="80"/>
      <c r="S54" s="80"/>
    </row>
    <row r="55" spans="1:19">
      <c r="A55" s="9"/>
      <c r="B55" s="9"/>
      <c r="C55" s="80" t="str">
        <f>Inputs!B16</f>
        <v>Change in CPI, 2 index, June year-end, no lag</v>
      </c>
      <c r="D55" s="1"/>
      <c r="E55" s="77">
        <f>Inputs!D16</f>
        <v>1.6651248843663202E-2</v>
      </c>
      <c r="F55" s="77">
        <f>Inputs!E16</f>
        <v>3.2132598262234913E-2</v>
      </c>
      <c r="G55" s="77">
        <f>Inputs!F16</f>
        <v>9.5073465859982775E-3</v>
      </c>
      <c r="H55" s="77">
        <f>Inputs!G16</f>
        <v>2.1404109589041154E-2</v>
      </c>
      <c r="I55" s="77">
        <f>Inputs!H16</f>
        <v>2.0117351215423351E-2</v>
      </c>
      <c r="J55" s="77">
        <f>Inputs!I16</f>
        <v>2.2144831398562603E-2</v>
      </c>
      <c r="K55" s="77">
        <f>Inputs!J16</f>
        <v>2.1072415699281422E-2</v>
      </c>
      <c r="L55" s="77">
        <f>Inputs!K16</f>
        <v>2.0000000000000018E-2</v>
      </c>
      <c r="M55" s="77">
        <f>Inputs!L16</f>
        <v>2.0000000000000018E-2</v>
      </c>
      <c r="O55" s="92"/>
      <c r="P55" s="80"/>
      <c r="Q55" s="80"/>
      <c r="R55" s="80"/>
      <c r="S55" s="80"/>
    </row>
    <row r="56" spans="1:19">
      <c r="A56" s="9"/>
      <c r="B56" s="9"/>
      <c r="C56" s="80" t="str">
        <f>Inputs!B17</f>
        <v>Change in CPI, 2 index, December year-end, no lag</v>
      </c>
      <c r="D56" s="1"/>
      <c r="E56" s="35">
        <f>Inputs!D17</f>
        <v>1.9858995748345043E-2</v>
      </c>
      <c r="F56" s="35">
        <f>Inputs!E17</f>
        <v>1.846965699208436E-2</v>
      </c>
      <c r="G56" s="35">
        <f>Inputs!F17</f>
        <v>1.899827288428324E-2</v>
      </c>
      <c r="H56" s="35">
        <f>Inputs!G17</f>
        <v>1.6949152542372836E-2</v>
      </c>
      <c r="I56" s="35">
        <f>Inputs!H17</f>
        <v>2.1666666666666723E-2</v>
      </c>
      <c r="J56" s="35">
        <f>Inputs!I17</f>
        <v>2.2144831398562603E-2</v>
      </c>
      <c r="K56" s="35">
        <f>Inputs!J17</f>
        <v>2.1072415699281422E-2</v>
      </c>
      <c r="L56" s="35">
        <f>Inputs!K17</f>
        <v>2.0000000000000018E-2</v>
      </c>
      <c r="M56" s="35">
        <f>Inputs!L17</f>
        <v>2.0000000000000018E-2</v>
      </c>
      <c r="O56" s="92"/>
      <c r="P56" s="80"/>
      <c r="Q56" s="80"/>
      <c r="R56" s="80"/>
      <c r="S56" s="80"/>
    </row>
    <row r="57" spans="1:19">
      <c r="A57" s="9"/>
      <c r="B57" s="9"/>
      <c r="C57" s="80" t="str">
        <f>Inputs!B18</f>
        <v>Change in CPI, 8 index, June year-end, with 1.02 factor</v>
      </c>
      <c r="D57" s="1"/>
      <c r="E57" s="77"/>
      <c r="F57" s="77"/>
      <c r="G57" s="77"/>
      <c r="H57" s="77"/>
      <c r="I57" s="77">
        <f>Inputs!H18</f>
        <v>1.29785853341986E-2</v>
      </c>
      <c r="J57" s="77">
        <f>Inputs!I18</f>
        <v>1.9205353664219604E-2</v>
      </c>
      <c r="K57" s="77">
        <f>Inputs!J18</f>
        <v>2.0308989315472648E-2</v>
      </c>
      <c r="L57" s="77">
        <f>Inputs!K18</f>
        <v>2.2410409892577032E-2</v>
      </c>
      <c r="M57" s="77">
        <f>Inputs!L18</f>
        <v>2.1338203775091324E-2</v>
      </c>
      <c r="O57" s="92"/>
      <c r="P57" s="80"/>
      <c r="Q57" s="80"/>
      <c r="R57" s="80"/>
      <c r="S57" s="80"/>
    </row>
    <row r="58" spans="1:19">
      <c r="A58" s="9"/>
      <c r="B58" s="9"/>
      <c r="C58" s="80" t="str">
        <f>Inputs!B19</f>
        <v>Change in CPI, 8 index, Sept year-end, with 1.02 factor</v>
      </c>
      <c r="E58" s="77"/>
      <c r="F58" s="77"/>
      <c r="G58" s="77"/>
      <c r="H58" s="77"/>
      <c r="I58" s="77">
        <f>Inputs!H19</f>
        <v>1.3574660633484115E-2</v>
      </c>
      <c r="J58" s="77">
        <f>Inputs!I19</f>
        <v>1.9119615478218499E-2</v>
      </c>
      <c r="K58" s="77">
        <f>Inputs!J19</f>
        <v>2.1680202356610057E-2</v>
      </c>
      <c r="L58" s="77">
        <f>Inputs!K19</f>
        <v>2.2144831398562603E-2</v>
      </c>
      <c r="M58" s="77">
        <f>Inputs!L19</f>
        <v>2.1072415699281422E-2</v>
      </c>
      <c r="O58" s="92"/>
      <c r="P58" s="80"/>
      <c r="Q58" s="80"/>
      <c r="R58" s="80"/>
      <c r="S58" s="80"/>
    </row>
    <row r="59" spans="1:19">
      <c r="A59" s="9"/>
      <c r="B59" s="9"/>
      <c r="C59" s="80" t="str">
        <f>Inputs!B20</f>
        <v>Change in CPI, 8 index, June year-end, no 1.02 factor</v>
      </c>
      <c r="E59" s="77"/>
      <c r="F59" s="77"/>
      <c r="G59" s="77">
        <f>Inputs!F20</f>
        <v>2.3020257826887658E-2</v>
      </c>
      <c r="H59" s="77">
        <f>Inputs!G20</f>
        <v>4.0279027902790254E-2</v>
      </c>
      <c r="I59" s="77">
        <f>Inputs!H20</f>
        <v>1.29785853341986E-2</v>
      </c>
      <c r="J59" s="77">
        <f>Inputs!I20</f>
        <v>1.9205353664219604E-2</v>
      </c>
      <c r="K59" s="77">
        <f>Inputs!J20</f>
        <v>2.0308989315472648E-2</v>
      </c>
      <c r="L59" s="77">
        <f>Inputs!K20</f>
        <v>2.2410409892577032E-2</v>
      </c>
      <c r="M59" s="77">
        <f>Inputs!L20</f>
        <v>2.1338203775091324E-2</v>
      </c>
      <c r="O59" s="92"/>
      <c r="P59" s="80"/>
      <c r="Q59" s="80"/>
      <c r="R59" s="80"/>
      <c r="S59" s="80"/>
    </row>
    <row r="60" spans="1:19">
      <c r="A60" s="9"/>
      <c r="B60" s="9"/>
      <c r="C60" s="80" t="str">
        <f>Inputs!B21</f>
        <v>Change in CPI, 8 index, Sept year-end, no 1.02 factor</v>
      </c>
      <c r="E60" s="77"/>
      <c r="F60" s="77">
        <f>Inputs!E21</f>
        <v>1.890315052508762E-2</v>
      </c>
      <c r="G60" s="77">
        <f>Inputs!F21</f>
        <v>2.9088410444342738E-2</v>
      </c>
      <c r="H60" s="77">
        <f>Inputs!G21</f>
        <v>3.2940129089695125E-2</v>
      </c>
      <c r="I60" s="77">
        <f>Inputs!H21</f>
        <v>1.3574660633484115E-2</v>
      </c>
      <c r="J60" s="77">
        <f>Inputs!I21</f>
        <v>1.9119615478218499E-2</v>
      </c>
      <c r="K60" s="77">
        <f>Inputs!J21</f>
        <v>2.1680202356610057E-2</v>
      </c>
      <c r="L60" s="77">
        <f>Inputs!K21</f>
        <v>2.2144831398562603E-2</v>
      </c>
      <c r="M60" s="77">
        <f>Inputs!L21</f>
        <v>2.1072415699281422E-2</v>
      </c>
      <c r="O60" s="92"/>
      <c r="P60" s="80"/>
      <c r="Q60" s="80"/>
      <c r="R60" s="80"/>
      <c r="S60" s="80"/>
    </row>
    <row r="61" spans="1:19">
      <c r="A61" s="9"/>
      <c r="B61" s="9"/>
      <c r="E61" s="77"/>
      <c r="F61" s="77"/>
      <c r="G61" s="77"/>
      <c r="H61" s="77"/>
      <c r="I61" s="77"/>
      <c r="J61" s="77"/>
      <c r="K61" s="77"/>
      <c r="L61" s="77"/>
      <c r="M61" s="77"/>
      <c r="O61" s="91"/>
      <c r="P61" s="80"/>
      <c r="Q61" s="80"/>
      <c r="R61" s="80"/>
      <c r="S61" s="80"/>
    </row>
    <row r="62" spans="1:19" ht="21">
      <c r="A62" s="9"/>
      <c r="B62" s="9"/>
      <c r="C62" s="3" t="s">
        <v>213</v>
      </c>
      <c r="E62" s="77"/>
      <c r="F62" s="77"/>
      <c r="G62" s="77"/>
      <c r="H62" s="77"/>
      <c r="I62" s="77"/>
      <c r="J62" s="77"/>
      <c r="K62" s="77"/>
      <c r="L62" s="77"/>
      <c r="M62" s="77"/>
      <c r="O62" s="91"/>
      <c r="P62" s="80"/>
      <c r="Q62" s="80"/>
      <c r="R62" s="80"/>
      <c r="S62" s="80"/>
    </row>
    <row r="63" spans="1:19">
      <c r="A63" s="9"/>
      <c r="B63" s="9"/>
      <c r="C63" s="40"/>
      <c r="E63" s="40"/>
      <c r="F63" s="40" t="s">
        <v>40</v>
      </c>
      <c r="I63" s="10" t="s">
        <v>5</v>
      </c>
      <c r="O63" s="91"/>
      <c r="P63" s="91"/>
      <c r="Q63" s="91"/>
      <c r="R63" s="91"/>
      <c r="S63" s="80"/>
    </row>
    <row r="64" spans="1:19">
      <c r="A64" s="9"/>
      <c r="B64" s="9"/>
      <c r="C64" s="40"/>
      <c r="D64" s="40"/>
      <c r="E64" s="40"/>
      <c r="O64" s="91"/>
      <c r="P64" s="91"/>
      <c r="Q64" s="91"/>
      <c r="R64" s="91"/>
      <c r="S64" s="80"/>
    </row>
    <row r="65" spans="1:30">
      <c r="A65" s="9"/>
      <c r="B65" s="9"/>
      <c r="C65" s="40"/>
      <c r="E65" s="81" t="str">
        <f t="shared" ref="E65:M65" si="9">E21</f>
        <v>2009/10</v>
      </c>
      <c r="F65" s="81" t="str">
        <f t="shared" si="9"/>
        <v>2010/11</v>
      </c>
      <c r="G65" s="81" t="str">
        <f t="shared" si="9"/>
        <v>2011/12</v>
      </c>
      <c r="H65" s="81" t="str">
        <f t="shared" si="9"/>
        <v>2012/13</v>
      </c>
      <c r="I65" s="81" t="str">
        <f t="shared" si="9"/>
        <v>2013/14</v>
      </c>
      <c r="J65" s="81" t="str">
        <f t="shared" si="9"/>
        <v>2014/15</v>
      </c>
      <c r="K65" s="81" t="str">
        <f t="shared" si="9"/>
        <v>2015/16</v>
      </c>
      <c r="L65" s="81" t="str">
        <f t="shared" si="9"/>
        <v>2016/17</v>
      </c>
      <c r="M65" s="81" t="str">
        <f t="shared" si="9"/>
        <v>2017/18</v>
      </c>
      <c r="O65" s="43"/>
      <c r="P65" s="43"/>
      <c r="Q65" s="43"/>
      <c r="R65" s="43"/>
    </row>
    <row r="66" spans="1:30">
      <c r="A66" s="9"/>
      <c r="B66" s="9"/>
      <c r="C66" s="98" t="s">
        <v>190</v>
      </c>
      <c r="E66" s="81"/>
      <c r="F66" s="81"/>
      <c r="G66" s="81"/>
      <c r="H66" s="81"/>
      <c r="I66" s="81"/>
      <c r="J66" s="81"/>
      <c r="K66" s="81"/>
      <c r="L66" s="81"/>
      <c r="M66" s="81"/>
      <c r="O66" s="43"/>
      <c r="P66" s="43"/>
      <c r="Q66" s="43"/>
      <c r="R66" s="43"/>
    </row>
    <row r="67" spans="1:30" ht="18">
      <c r="A67" s="9"/>
      <c r="B67" s="9"/>
      <c r="C67" s="40" t="s">
        <v>189</v>
      </c>
      <c r="E67" s="21"/>
      <c r="F67" s="17"/>
      <c r="G67" s="17"/>
      <c r="H67" s="175">
        <f>IF($G$1=4,IntraYr!D8,1)</f>
        <v>1</v>
      </c>
      <c r="I67" s="101">
        <f>IntraYr!$F$8</f>
        <v>1.0364307906539196</v>
      </c>
      <c r="J67" s="101">
        <f>IntraYr!$F$8</f>
        <v>1.0364307906539196</v>
      </c>
      <c r="K67" s="117">
        <f>IntraYr!$F$8</f>
        <v>1.0364307906539196</v>
      </c>
      <c r="L67" s="176">
        <f>IF($G$1=4,IntraYr!E8,IntraYr!$F$8)</f>
        <v>1.0364307906539196</v>
      </c>
      <c r="M67" s="101">
        <f>IF($G$1=4,1,IntraYr!C8)</f>
        <v>1.0090850449949973</v>
      </c>
      <c r="O67" s="43"/>
      <c r="P67" s="43"/>
      <c r="Q67" s="43"/>
      <c r="R67" s="43"/>
    </row>
    <row r="68" spans="1:30" ht="18">
      <c r="A68" s="9"/>
      <c r="B68" s="9"/>
      <c r="C68" s="40" t="s">
        <v>50</v>
      </c>
      <c r="E68" s="21"/>
      <c r="F68" s="17"/>
      <c r="G68" s="17"/>
      <c r="H68" s="175">
        <f>IF($G$1=4,IntraYr!D9,1)</f>
        <v>1</v>
      </c>
      <c r="I68" s="101">
        <f>IntraYr!$F$9</f>
        <v>1.0295256528345071</v>
      </c>
      <c r="J68" s="101">
        <f>IntraYr!$F$9</f>
        <v>1.0295256528345071</v>
      </c>
      <c r="K68" s="117">
        <f>IntraYr!$F$9</f>
        <v>1.0295256528345071</v>
      </c>
      <c r="L68" s="176">
        <f>IF($G$1=4,IntraYr!E9,IntraYr!$F$9)</f>
        <v>1.0295256528345071</v>
      </c>
      <c r="M68" s="101">
        <f>IF($G$1=4,1,IntraYr!C9)</f>
        <v>1.0019680262519974</v>
      </c>
      <c r="O68" s="43"/>
      <c r="P68" s="43"/>
      <c r="Q68" s="43"/>
      <c r="R68" s="43"/>
    </row>
    <row r="69" spans="1:30">
      <c r="A69" s="9"/>
      <c r="B69" s="9"/>
      <c r="C69" s="40"/>
      <c r="E69" s="21"/>
      <c r="F69" s="17"/>
      <c r="G69" s="17"/>
      <c r="H69" s="101"/>
      <c r="I69" s="101"/>
      <c r="J69" s="101"/>
      <c r="K69" s="102"/>
      <c r="L69" s="102"/>
      <c r="M69" s="102"/>
      <c r="O69" s="43"/>
      <c r="P69" s="43"/>
      <c r="Q69" s="43"/>
    </row>
    <row r="70" spans="1:30">
      <c r="A70" s="9"/>
      <c r="B70" s="9"/>
      <c r="C70" s="99" t="s">
        <v>191</v>
      </c>
      <c r="E70" s="21"/>
      <c r="F70" s="17"/>
      <c r="G70" s="17"/>
      <c r="H70" s="101"/>
      <c r="I70" s="101"/>
      <c r="J70" s="101"/>
      <c r="K70" s="102"/>
      <c r="L70" s="102"/>
      <c r="M70" s="102"/>
      <c r="O70" s="43"/>
      <c r="P70" s="43"/>
      <c r="Q70" s="43"/>
    </row>
    <row r="71" spans="1:30" ht="18">
      <c r="A71" s="9"/>
      <c r="B71" s="9"/>
      <c r="C71" s="40" t="s">
        <v>189</v>
      </c>
      <c r="E71" s="21"/>
      <c r="F71" s="17"/>
      <c r="G71" s="17"/>
      <c r="H71" s="175">
        <f>IF($G$1=4,1,IntraYr!C8)</f>
        <v>1.0090850449949973</v>
      </c>
      <c r="I71" s="101">
        <f>IntraYr!$F$8</f>
        <v>1.0364307906539196</v>
      </c>
      <c r="J71" s="101">
        <f>IntraYr!$F$8</f>
        <v>1.0364307906539196</v>
      </c>
      <c r="K71" s="101">
        <f>IntraYr!$F$8</f>
        <v>1.0364307906539196</v>
      </c>
      <c r="L71" s="175">
        <f>IntraYr!$F$8</f>
        <v>1.0364307906539196</v>
      </c>
      <c r="M71" s="101">
        <f>IF($G$1=4,IntraYr!C8,1)</f>
        <v>1</v>
      </c>
      <c r="O71" s="43"/>
      <c r="P71" s="43"/>
      <c r="Q71" s="43"/>
    </row>
    <row r="72" spans="1:30" ht="18">
      <c r="A72" s="9"/>
      <c r="B72" s="9"/>
      <c r="C72" s="40" t="s">
        <v>50</v>
      </c>
      <c r="E72" s="21"/>
      <c r="F72" s="17"/>
      <c r="G72" s="17"/>
      <c r="H72" s="175">
        <f>IF($G$1=4,1,IntraYr!C9)</f>
        <v>1.0019680262519974</v>
      </c>
      <c r="I72" s="101">
        <f>IntraYr!$F$9</f>
        <v>1.0295256528345071</v>
      </c>
      <c r="J72" s="101">
        <f>IntraYr!$F$9</f>
        <v>1.0295256528345071</v>
      </c>
      <c r="K72" s="101">
        <f>IntraYr!$F$9</f>
        <v>1.0295256528345071</v>
      </c>
      <c r="L72" s="175">
        <f>IntraYr!$F$9</f>
        <v>1.0295256528345071</v>
      </c>
      <c r="M72" s="101">
        <f>IF($G$1=4,IntraYr!C9,1)</f>
        <v>1</v>
      </c>
      <c r="O72" s="91"/>
      <c r="P72" s="91"/>
      <c r="Q72" s="91"/>
      <c r="R72" s="80"/>
      <c r="S72" s="80"/>
    </row>
    <row r="73" spans="1:30">
      <c r="A73" s="9"/>
      <c r="B73" s="9"/>
      <c r="D73" s="1"/>
      <c r="O73" s="80"/>
      <c r="P73" s="80"/>
      <c r="Q73" s="80"/>
      <c r="R73" s="80"/>
      <c r="S73" s="80"/>
    </row>
    <row r="74" spans="1:30" ht="23.25">
      <c r="C74" s="84" t="s">
        <v>4</v>
      </c>
      <c r="D74" s="85" t="s">
        <v>19</v>
      </c>
      <c r="E74" s="2"/>
      <c r="F74" s="85" t="s">
        <v>18</v>
      </c>
      <c r="G74" s="2"/>
      <c r="H74" s="2"/>
      <c r="I74" s="2"/>
      <c r="J74" s="2"/>
      <c r="K74" s="2"/>
      <c r="L74" s="2"/>
      <c r="M74" s="2"/>
      <c r="N74" s="2"/>
      <c r="O74" s="228"/>
      <c r="P74" s="228"/>
      <c r="Q74" s="228"/>
      <c r="R74" s="228"/>
      <c r="S74" s="228"/>
    </row>
    <row r="75" spans="1:30">
      <c r="E75" s="10" t="str">
        <f>E$21</f>
        <v>2009/10</v>
      </c>
      <c r="F75" s="10" t="str">
        <f t="shared" ref="F75:M75" si="10">F$21</f>
        <v>2010/11</v>
      </c>
      <c r="G75" s="10" t="str">
        <f t="shared" si="10"/>
        <v>2011/12</v>
      </c>
      <c r="H75" s="10" t="str">
        <f t="shared" si="10"/>
        <v>2012/13</v>
      </c>
      <c r="I75" s="10" t="str">
        <f t="shared" si="10"/>
        <v>2013/14</v>
      </c>
      <c r="J75" s="10" t="str">
        <f t="shared" si="10"/>
        <v>2014/15</v>
      </c>
      <c r="K75" s="10" t="str">
        <f t="shared" si="10"/>
        <v>2015/16</v>
      </c>
      <c r="L75" s="10" t="str">
        <f t="shared" si="10"/>
        <v>2016/17</v>
      </c>
      <c r="M75" s="10" t="str">
        <f t="shared" si="10"/>
        <v>2017/18</v>
      </c>
      <c r="N75" s="10"/>
      <c r="O75" s="213"/>
      <c r="P75" s="169"/>
      <c r="Q75" s="80"/>
      <c r="R75" s="80"/>
      <c r="S75" s="80"/>
    </row>
    <row r="76" spans="1:30"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37"/>
      <c r="P76" s="80"/>
      <c r="Q76" s="229"/>
      <c r="R76" s="229"/>
      <c r="S76" s="229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 ht="21">
      <c r="C77" s="3" t="s">
        <v>205</v>
      </c>
      <c r="D77" s="3"/>
      <c r="E77" s="3"/>
      <c r="F77" s="3"/>
      <c r="G77" s="3"/>
      <c r="H77" s="77"/>
      <c r="I77" s="77"/>
      <c r="J77" s="77"/>
      <c r="K77" s="77"/>
      <c r="L77" s="77"/>
      <c r="M77" s="77"/>
      <c r="N77" s="77"/>
      <c r="O77" s="37"/>
      <c r="P77" s="80"/>
      <c r="Q77" s="229"/>
      <c r="R77" s="229"/>
      <c r="S77" s="229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>
      <c r="C78" s="80" t="s">
        <v>437</v>
      </c>
      <c r="E78" s="77"/>
      <c r="F78" s="77"/>
      <c r="G78" s="77"/>
      <c r="H78" s="77"/>
      <c r="I78" s="77">
        <f t="shared" ref="I78:M78" si="11">IF($G$1=4,I57,I58)</f>
        <v>1.3574660633484115E-2</v>
      </c>
      <c r="J78" s="77">
        <f t="shared" si="11"/>
        <v>1.9119615478218499E-2</v>
      </c>
      <c r="K78" s="77">
        <f t="shared" si="11"/>
        <v>2.1680202356610057E-2</v>
      </c>
      <c r="L78" s="77">
        <f t="shared" si="11"/>
        <v>2.2144831398562603E-2</v>
      </c>
      <c r="M78" s="77">
        <f t="shared" si="11"/>
        <v>2.1072415699281422E-2</v>
      </c>
      <c r="N78" s="77"/>
      <c r="O78" s="37"/>
      <c r="P78" s="80"/>
      <c r="Q78" s="229"/>
      <c r="R78" s="229"/>
      <c r="S78" s="229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6" customHeight="1">
      <c r="C79" s="8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37"/>
      <c r="P79" s="80"/>
      <c r="Q79" s="229"/>
      <c r="R79" s="229"/>
      <c r="S79" s="229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ht="3" customHeight="1">
      <c r="A80" s="120"/>
      <c r="B80" s="120"/>
      <c r="C80" s="120"/>
      <c r="D80" s="1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37"/>
      <c r="P80" s="80"/>
      <c r="Q80" s="229"/>
      <c r="R80" s="229"/>
      <c r="S80" s="229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3:30" ht="21">
      <c r="C81" s="80"/>
      <c r="E81" s="123" t="str">
        <f>"All information below this line down to Row " &amp; ROW(E289) &amp; " is in " &amp; E38 &amp; " year-ends."</f>
        <v>All information below this line down to Row 289 is in June  year-ends.</v>
      </c>
      <c r="F81" s="77"/>
      <c r="G81" s="77"/>
      <c r="H81" s="77"/>
      <c r="I81" s="77"/>
      <c r="J81" s="77"/>
      <c r="K81" s="77"/>
      <c r="L81" s="77"/>
      <c r="M81" s="77"/>
      <c r="N81" s="77"/>
      <c r="O81" s="37"/>
      <c r="P81" s="80"/>
      <c r="Q81" s="229"/>
      <c r="R81" s="229"/>
      <c r="S81" s="229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3:30" ht="6" customHeight="1">
      <c r="C82" s="8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37"/>
      <c r="P82" s="80"/>
      <c r="Q82" s="229"/>
      <c r="R82" s="229"/>
      <c r="S82" s="229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3:30" ht="45">
      <c r="C83" s="129" t="s">
        <v>241</v>
      </c>
      <c r="D83" s="40"/>
      <c r="E83" s="127" t="str">
        <f t="shared" ref="E83:M83" si="12">E9</f>
        <v>01/07/09 to 30/06/10</v>
      </c>
      <c r="F83" s="127" t="str">
        <f t="shared" si="12"/>
        <v>01/07/10 to 30/06/11</v>
      </c>
      <c r="G83" s="127" t="str">
        <f t="shared" si="12"/>
        <v>01/07/11 to 30/06/12</v>
      </c>
      <c r="H83" s="127" t="str">
        <f t="shared" si="12"/>
        <v>01/07/12 to 30/06/13</v>
      </c>
      <c r="I83" s="127" t="str">
        <f t="shared" si="12"/>
        <v>01/07/13 to 30/06/14</v>
      </c>
      <c r="J83" s="127" t="str">
        <f t="shared" si="12"/>
        <v>01/07/14 to 30/06/15</v>
      </c>
      <c r="K83" s="127" t="str">
        <f t="shared" si="12"/>
        <v>01/07/15 to 30/06/16</v>
      </c>
      <c r="L83" s="127" t="str">
        <f t="shared" si="12"/>
        <v>01/07/16 to 30/06/17</v>
      </c>
      <c r="M83" s="127" t="str">
        <f t="shared" si="12"/>
        <v>01/07/17 to 30/06/18</v>
      </c>
      <c r="N83" s="77"/>
      <c r="O83" s="37"/>
      <c r="P83" s="80"/>
      <c r="Q83" s="229"/>
      <c r="R83" s="229"/>
      <c r="S83" s="229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3:30">
      <c r="C84" s="74" t="s">
        <v>89</v>
      </c>
      <c r="E84" s="35">
        <f t="shared" ref="E84:M84" si="13">IF($G$1=4,E56,E55)</f>
        <v>1.6651248843663202E-2</v>
      </c>
      <c r="F84" s="35">
        <f t="shared" si="13"/>
        <v>3.2132598262234913E-2</v>
      </c>
      <c r="G84" s="35">
        <f t="shared" si="13"/>
        <v>9.5073465859982775E-3</v>
      </c>
      <c r="H84" s="35">
        <f t="shared" si="13"/>
        <v>2.1404109589041154E-2</v>
      </c>
      <c r="I84" s="35">
        <f t="shared" si="13"/>
        <v>2.0117351215423351E-2</v>
      </c>
      <c r="J84" s="35">
        <f t="shared" si="13"/>
        <v>2.2144831398562603E-2</v>
      </c>
      <c r="K84" s="35">
        <f t="shared" si="13"/>
        <v>2.1072415699281422E-2</v>
      </c>
      <c r="L84" s="35">
        <f t="shared" si="13"/>
        <v>2.0000000000000018E-2</v>
      </c>
      <c r="M84" s="35">
        <f t="shared" si="13"/>
        <v>2.0000000000000018E-2</v>
      </c>
      <c r="N84" s="21"/>
      <c r="O84" s="37"/>
      <c r="P84" s="80"/>
      <c r="Q84" s="80"/>
      <c r="R84" s="80"/>
      <c r="S84" s="80"/>
    </row>
    <row r="85" spans="3:30">
      <c r="C85" s="74" t="s">
        <v>119</v>
      </c>
      <c r="E85" s="35"/>
      <c r="F85" s="35"/>
      <c r="G85" s="35">
        <f>IF($G$1=4,G56,G55)</f>
        <v>9.5073465859982775E-3</v>
      </c>
      <c r="H85" s="35">
        <f t="shared" ref="H85:M85" si="14">IF($G$1=4,H56,H55)</f>
        <v>2.1404109589041154E-2</v>
      </c>
      <c r="I85" s="35">
        <f t="shared" si="14"/>
        <v>2.0117351215423351E-2</v>
      </c>
      <c r="J85" s="35">
        <f t="shared" si="14"/>
        <v>2.2144831398562603E-2</v>
      </c>
      <c r="K85" s="35">
        <f t="shared" si="14"/>
        <v>2.1072415699281422E-2</v>
      </c>
      <c r="L85" s="35">
        <f t="shared" si="14"/>
        <v>2.0000000000000018E-2</v>
      </c>
      <c r="M85" s="35">
        <f t="shared" si="14"/>
        <v>2.0000000000000018E-2</v>
      </c>
      <c r="N85" s="21"/>
      <c r="O85" s="37"/>
      <c r="P85" s="80"/>
      <c r="Q85" s="80"/>
      <c r="R85" s="80"/>
      <c r="S85" s="80"/>
    </row>
    <row r="86" spans="3:30">
      <c r="C86" s="80" t="s">
        <v>85</v>
      </c>
      <c r="D86" s="80"/>
      <c r="E86" s="80"/>
      <c r="F86" s="174">
        <f>F32</f>
        <v>13.25</v>
      </c>
      <c r="G86" s="37">
        <f t="shared" ref="G86:M86" si="15">F86*(1+G85)</f>
        <v>13.375972342264477</v>
      </c>
      <c r="H86" s="37">
        <f t="shared" si="15"/>
        <v>13.662273120138289</v>
      </c>
      <c r="I86" s="37">
        <f t="shared" si="15"/>
        <v>13.937121866897149</v>
      </c>
      <c r="J86" s="37">
        <f t="shared" si="15"/>
        <v>14.245757080820807</v>
      </c>
      <c r="K86" s="37">
        <f t="shared" si="15"/>
        <v>14.545949595978845</v>
      </c>
      <c r="L86" s="37">
        <f t="shared" si="15"/>
        <v>14.836868587898422</v>
      </c>
      <c r="M86" s="37">
        <f t="shared" si="15"/>
        <v>15.133605959656391</v>
      </c>
      <c r="N86" s="80"/>
      <c r="O86" s="80"/>
      <c r="P86" s="80"/>
      <c r="Q86" s="80"/>
      <c r="R86" s="80"/>
      <c r="S86" s="80"/>
    </row>
    <row r="87" spans="3:30">
      <c r="N87" s="45"/>
      <c r="O87" s="80"/>
      <c r="P87" s="80"/>
      <c r="Q87" s="80"/>
      <c r="R87" s="80"/>
      <c r="S87" s="80"/>
    </row>
    <row r="88" spans="3:30" ht="23.25">
      <c r="C88" s="84" t="s">
        <v>71</v>
      </c>
      <c r="D88" s="85"/>
      <c r="E88" s="2"/>
      <c r="F88" s="85"/>
      <c r="G88" s="2"/>
      <c r="H88" s="2"/>
      <c r="I88" s="2"/>
      <c r="J88" s="2"/>
      <c r="K88" s="2"/>
      <c r="L88" s="2"/>
      <c r="M88" s="2"/>
      <c r="N88" s="2"/>
      <c r="O88" s="228"/>
      <c r="P88" s="228"/>
      <c r="Q88" s="228"/>
      <c r="R88" s="228"/>
      <c r="S88" s="228"/>
    </row>
    <row r="89" spans="3:30">
      <c r="N89" s="45"/>
      <c r="O89" s="80"/>
      <c r="P89" s="80"/>
      <c r="Q89" s="80"/>
      <c r="R89" s="80"/>
      <c r="S89" s="80"/>
    </row>
    <row r="90" spans="3:30" ht="15.75">
      <c r="C90" s="16" t="s">
        <v>20</v>
      </c>
      <c r="E90" s="13">
        <f>Inputs!D13</f>
        <v>0.3</v>
      </c>
      <c r="F90" s="13">
        <f>Inputs!E13</f>
        <v>0.3</v>
      </c>
      <c r="G90" s="13">
        <f>Inputs!F13</f>
        <v>0.28000000000000003</v>
      </c>
      <c r="H90" s="13">
        <f>Inputs!G13</f>
        <v>0.28000000000000003</v>
      </c>
      <c r="I90" s="13">
        <f>Inputs!H13</f>
        <v>0.28000000000000003</v>
      </c>
      <c r="J90" s="13">
        <f>Inputs!I13</f>
        <v>0.28000000000000003</v>
      </c>
      <c r="K90" s="13">
        <f>Inputs!J13</f>
        <v>0.28000000000000003</v>
      </c>
      <c r="L90" s="13">
        <f>Inputs!K13</f>
        <v>0.28000000000000003</v>
      </c>
      <c r="M90" s="13">
        <f>Inputs!L13</f>
        <v>0.28000000000000003</v>
      </c>
      <c r="N90" s="45"/>
      <c r="O90" s="80"/>
      <c r="P90" s="80"/>
      <c r="Q90" s="80"/>
      <c r="R90" s="80"/>
      <c r="S90" s="80"/>
    </row>
    <row r="91" spans="3:30">
      <c r="C91" s="74" t="s">
        <v>21</v>
      </c>
      <c r="E91" s="173">
        <f>F91+1</f>
        <v>26.204789826725793</v>
      </c>
      <c r="F91" s="177">
        <f>F26/F27</f>
        <v>25.204789826725793</v>
      </c>
      <c r="G91" s="18">
        <f t="shared" ref="G91:M91" si="16">F91-1</f>
        <v>24.204789826725793</v>
      </c>
      <c r="H91" s="18">
        <f t="shared" si="16"/>
        <v>23.204789826725793</v>
      </c>
      <c r="I91" s="18">
        <f t="shared" si="16"/>
        <v>22.204789826725793</v>
      </c>
      <c r="J91" s="18">
        <f t="shared" si="16"/>
        <v>21.204789826725793</v>
      </c>
      <c r="K91" s="18">
        <f t="shared" si="16"/>
        <v>20.204789826725793</v>
      </c>
      <c r="L91" s="18">
        <f t="shared" si="16"/>
        <v>19.204789826725793</v>
      </c>
      <c r="M91" s="18">
        <f t="shared" si="16"/>
        <v>18.204789826725793</v>
      </c>
      <c r="N91" s="45"/>
    </row>
    <row r="92" spans="3:30">
      <c r="C92" s="74" t="s">
        <v>114</v>
      </c>
      <c r="E92" s="80"/>
      <c r="F92" s="80"/>
      <c r="G92" s="35">
        <f>IF($G$1=4,G56,G55)</f>
        <v>9.5073465859982775E-3</v>
      </c>
      <c r="H92" s="35">
        <f t="shared" ref="H92:M92" si="17">IF($G$1=4,H56,H55)</f>
        <v>2.1404109589041154E-2</v>
      </c>
      <c r="I92" s="35">
        <f t="shared" si="17"/>
        <v>2.0117351215423351E-2</v>
      </c>
      <c r="J92" s="35">
        <f t="shared" si="17"/>
        <v>2.2144831398562603E-2</v>
      </c>
      <c r="K92" s="35">
        <f t="shared" si="17"/>
        <v>2.1072415699281422E-2</v>
      </c>
      <c r="L92" s="35">
        <f t="shared" si="17"/>
        <v>2.0000000000000018E-2</v>
      </c>
      <c r="M92" s="35">
        <f t="shared" si="17"/>
        <v>2.0000000000000018E-2</v>
      </c>
      <c r="N92" s="45"/>
    </row>
    <row r="93" spans="3:30">
      <c r="C93" s="74" t="s">
        <v>23</v>
      </c>
      <c r="E93" s="88">
        <f>E34</f>
        <v>0</v>
      </c>
      <c r="F93" s="179">
        <f>F28*0</f>
        <v>0</v>
      </c>
      <c r="G93" s="29">
        <f t="shared" ref="G93:M93" si="18">F93*(1+G92)</f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45"/>
    </row>
    <row r="94" spans="3:30">
      <c r="E94" s="63"/>
      <c r="F94" s="63"/>
      <c r="G94" s="29"/>
      <c r="H94" s="29"/>
      <c r="I94" s="29"/>
      <c r="J94" s="29"/>
      <c r="K94" s="29"/>
      <c r="L94" s="29"/>
      <c r="M94" s="29"/>
      <c r="N94" s="45"/>
    </row>
    <row r="95" spans="3:30" ht="21">
      <c r="C95" s="3" t="s">
        <v>224</v>
      </c>
      <c r="D95" s="75"/>
      <c r="N95" s="45"/>
    </row>
    <row r="96" spans="3:30" ht="15.75">
      <c r="C96" s="5" t="s">
        <v>196</v>
      </c>
      <c r="D96" s="78"/>
      <c r="E96" s="10" t="str">
        <f>E$21</f>
        <v>2009/10</v>
      </c>
      <c r="F96" s="10" t="str">
        <f t="shared" ref="F96:M96" si="19">F$21</f>
        <v>2010/11</v>
      </c>
      <c r="G96" s="10" t="str">
        <f t="shared" si="19"/>
        <v>2011/12</v>
      </c>
      <c r="H96" s="10" t="str">
        <f t="shared" si="19"/>
        <v>2012/13</v>
      </c>
      <c r="I96" s="10" t="str">
        <f t="shared" si="19"/>
        <v>2013/14</v>
      </c>
      <c r="J96" s="10" t="str">
        <f t="shared" si="19"/>
        <v>2014/15</v>
      </c>
      <c r="K96" s="10" t="str">
        <f t="shared" si="19"/>
        <v>2015/16</v>
      </c>
      <c r="L96" s="10" t="str">
        <f t="shared" si="19"/>
        <v>2016/17</v>
      </c>
      <c r="M96" s="10" t="str">
        <f t="shared" si="19"/>
        <v>2017/18</v>
      </c>
      <c r="N96" s="45"/>
      <c r="Q96" s="74" t="s">
        <v>169</v>
      </c>
    </row>
    <row r="97" spans="1:17">
      <c r="C97" s="74" t="s">
        <v>75</v>
      </c>
      <c r="E97" s="88">
        <f>E33</f>
        <v>22386</v>
      </c>
      <c r="F97" s="179">
        <f>F26</f>
        <v>22482.672525439408</v>
      </c>
      <c r="G97" s="29">
        <f t="shared" ref="G97:M97" si="20">F101</f>
        <v>22312.376782876618</v>
      </c>
      <c r="H97" s="29">
        <f t="shared" si="20"/>
        <v>21602.479562132514</v>
      </c>
      <c r="I97" s="29">
        <f t="shared" si="20"/>
        <v>21133.44986174527</v>
      </c>
      <c r="J97" s="29">
        <f t="shared" si="20"/>
        <v>20606.421893033566</v>
      </c>
      <c r="K97" s="29">
        <f t="shared" si="20"/>
        <v>20090.509832817363</v>
      </c>
      <c r="L97" s="29">
        <f t="shared" si="20"/>
        <v>19519.098136319732</v>
      </c>
      <c r="M97" s="29">
        <f t="shared" si="20"/>
        <v>18892.72357548905</v>
      </c>
      <c r="N97" s="45"/>
    </row>
    <row r="98" spans="1:17">
      <c r="C98" s="74" t="s">
        <v>23</v>
      </c>
      <c r="D98" s="78"/>
      <c r="E98" s="29">
        <f>E93</f>
        <v>0</v>
      </c>
      <c r="F98" s="29">
        <f t="shared" ref="F98:M98" si="21">F93</f>
        <v>0</v>
      </c>
      <c r="G98" s="29">
        <f t="shared" si="21"/>
        <v>0</v>
      </c>
      <c r="H98" s="29">
        <f t="shared" si="21"/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29">
        <f t="shared" si="21"/>
        <v>0</v>
      </c>
      <c r="N98" s="45"/>
    </row>
    <row r="99" spans="1:17">
      <c r="C99" s="74" t="s">
        <v>24</v>
      </c>
      <c r="E99" s="29">
        <f>(E97*0.999-E98)*E84</f>
        <v>372.38210175763021</v>
      </c>
      <c r="F99" s="29">
        <f t="shared" ref="F99:M99" si="22">(F97*0.999-F98)*F84</f>
        <v>721.70425743720966</v>
      </c>
      <c r="G99" s="29">
        <f t="shared" si="22"/>
        <v>211.91936773295706</v>
      </c>
      <c r="H99" s="29">
        <f t="shared" si="22"/>
        <v>461.91945810296312</v>
      </c>
      <c r="I99" s="29">
        <f t="shared" si="22"/>
        <v>424.72388422900735</v>
      </c>
      <c r="J99" s="29">
        <f t="shared" si="22"/>
        <v>455.8694128103287</v>
      </c>
      <c r="K99" s="29">
        <f t="shared" si="22"/>
        <v>422.93221923282073</v>
      </c>
      <c r="L99" s="29">
        <f t="shared" si="22"/>
        <v>389.99158076366859</v>
      </c>
      <c r="M99" s="29">
        <f t="shared" si="22"/>
        <v>377.47661703827157</v>
      </c>
      <c r="N99" s="45"/>
    </row>
    <row r="100" spans="1:17">
      <c r="C100" s="74" t="s">
        <v>25</v>
      </c>
      <c r="E100" s="88"/>
      <c r="F100" s="29">
        <f t="shared" ref="F100:M100" si="23">F97/F91</f>
        <v>892</v>
      </c>
      <c r="G100" s="29">
        <f t="shared" si="23"/>
        <v>921.8165884770599</v>
      </c>
      <c r="H100" s="29">
        <f t="shared" si="23"/>
        <v>930.94915849020788</v>
      </c>
      <c r="I100" s="29">
        <f t="shared" si="23"/>
        <v>951.75185294070866</v>
      </c>
      <c r="J100" s="29">
        <f t="shared" si="23"/>
        <v>971.78147302652985</v>
      </c>
      <c r="K100" s="29">
        <f t="shared" si="23"/>
        <v>994.34391573045377</v>
      </c>
      <c r="L100" s="29">
        <f t="shared" si="23"/>
        <v>1016.3661415943506</v>
      </c>
      <c r="M100" s="29">
        <f t="shared" si="23"/>
        <v>1037.7886125196198</v>
      </c>
      <c r="N100" s="45"/>
    </row>
    <row r="101" spans="1:17">
      <c r="C101" s="74" t="s">
        <v>26</v>
      </c>
      <c r="E101" s="78"/>
      <c r="F101" s="78">
        <f>F97-F98+F99-F100</f>
        <v>22312.376782876618</v>
      </c>
      <c r="G101" s="78">
        <f t="shared" ref="G101:M101" si="24">G97-G98+G99-G100</f>
        <v>21602.479562132514</v>
      </c>
      <c r="H101" s="78">
        <f t="shared" si="24"/>
        <v>21133.44986174527</v>
      </c>
      <c r="I101" s="29">
        <f t="shared" si="24"/>
        <v>20606.421893033566</v>
      </c>
      <c r="J101" s="29">
        <f t="shared" si="24"/>
        <v>20090.509832817363</v>
      </c>
      <c r="K101" s="29">
        <f t="shared" si="24"/>
        <v>19519.098136319732</v>
      </c>
      <c r="L101" s="29">
        <f t="shared" si="24"/>
        <v>18892.72357548905</v>
      </c>
      <c r="M101" s="29">
        <f t="shared" si="24"/>
        <v>18232.411580007702</v>
      </c>
      <c r="N101" s="45"/>
    </row>
    <row r="102" spans="1:17">
      <c r="N102" s="45"/>
    </row>
    <row r="103" spans="1:17" ht="15.75">
      <c r="C103" s="5" t="s">
        <v>197</v>
      </c>
      <c r="E103" s="10" t="str">
        <f>E$21</f>
        <v>2009/10</v>
      </c>
      <c r="F103" s="10" t="str">
        <f t="shared" ref="F103:M103" si="25">F$21</f>
        <v>2010/11</v>
      </c>
      <c r="G103" s="10" t="str">
        <f t="shared" si="25"/>
        <v>2011/12</v>
      </c>
      <c r="H103" s="10" t="str">
        <f t="shared" si="25"/>
        <v>2012/13</v>
      </c>
      <c r="I103" s="10" t="str">
        <f t="shared" si="25"/>
        <v>2013/14</v>
      </c>
      <c r="J103" s="10" t="str">
        <f t="shared" si="25"/>
        <v>2014/15</v>
      </c>
      <c r="K103" s="10" t="str">
        <f t="shared" si="25"/>
        <v>2015/16</v>
      </c>
      <c r="L103" s="10" t="str">
        <f t="shared" si="25"/>
        <v>2016/17</v>
      </c>
      <c r="M103" s="10" t="str">
        <f t="shared" si="25"/>
        <v>2017/18</v>
      </c>
      <c r="N103" s="45"/>
      <c r="Q103" s="74" t="s">
        <v>169</v>
      </c>
    </row>
    <row r="104" spans="1:17">
      <c r="C104" s="20" t="s">
        <v>41</v>
      </c>
      <c r="E104" s="180">
        <v>1</v>
      </c>
      <c r="F104" s="20">
        <f>E104+1</f>
        <v>2</v>
      </c>
      <c r="G104" s="20">
        <f t="shared" ref="G104:M104" si="26">F104+1</f>
        <v>3</v>
      </c>
      <c r="H104" s="20">
        <f t="shared" si="26"/>
        <v>4</v>
      </c>
      <c r="I104" s="20">
        <f t="shared" si="26"/>
        <v>5</v>
      </c>
      <c r="J104" s="20">
        <f t="shared" si="26"/>
        <v>6</v>
      </c>
      <c r="K104" s="20">
        <f t="shared" si="26"/>
        <v>7</v>
      </c>
      <c r="L104" s="20">
        <f t="shared" si="26"/>
        <v>8</v>
      </c>
      <c r="M104" s="20">
        <f t="shared" si="26"/>
        <v>9</v>
      </c>
      <c r="N104" s="45"/>
    </row>
    <row r="105" spans="1:17">
      <c r="C105" s="74" t="s">
        <v>22</v>
      </c>
      <c r="D105" s="78"/>
      <c r="E105" s="181">
        <v>0</v>
      </c>
      <c r="F105" s="78">
        <f>F$48</f>
        <v>715</v>
      </c>
      <c r="G105" s="78">
        <f t="shared" ref="G105:M105" si="27">G$48</f>
        <v>654.65479747974143</v>
      </c>
      <c r="H105" s="78">
        <f t="shared" si="27"/>
        <v>693.01469355560312</v>
      </c>
      <c r="I105" s="78">
        <f t="shared" si="27"/>
        <v>723.2955785004109</v>
      </c>
      <c r="J105" s="78">
        <f t="shared" si="27"/>
        <v>737.13160554854358</v>
      </c>
      <c r="K105" s="78">
        <f t="shared" si="27"/>
        <v>834.89712803678583</v>
      </c>
      <c r="L105" s="78">
        <f t="shared" si="27"/>
        <v>851.57033947766172</v>
      </c>
      <c r="M105" s="78">
        <f t="shared" si="27"/>
        <v>868.30316791604878</v>
      </c>
      <c r="N105" s="45"/>
    </row>
    <row r="106" spans="1:17">
      <c r="A106" s="74">
        <v>1</v>
      </c>
      <c r="C106" s="74" t="s">
        <v>350</v>
      </c>
      <c r="E106" s="181">
        <v>0</v>
      </c>
      <c r="F106" s="78">
        <f>E142</f>
        <v>0</v>
      </c>
      <c r="G106" s="78">
        <f t="shared" ref="G106:M114" si="28">F142</f>
        <v>0</v>
      </c>
      <c r="H106" s="78">
        <f t="shared" si="28"/>
        <v>0</v>
      </c>
      <c r="I106" s="78">
        <f t="shared" si="28"/>
        <v>0</v>
      </c>
      <c r="J106" s="78">
        <f t="shared" si="28"/>
        <v>0</v>
      </c>
      <c r="K106" s="78">
        <f t="shared" si="28"/>
        <v>0</v>
      </c>
      <c r="L106" s="78">
        <f t="shared" si="28"/>
        <v>0</v>
      </c>
      <c r="M106" s="78">
        <f t="shared" si="28"/>
        <v>0</v>
      </c>
      <c r="N106" s="45"/>
    </row>
    <row r="107" spans="1:17">
      <c r="A107" s="74">
        <v>2</v>
      </c>
      <c r="C107" s="74" t="s">
        <v>351</v>
      </c>
      <c r="E107" s="181">
        <v>0</v>
      </c>
      <c r="F107" s="78">
        <f t="shared" ref="F107:J110" si="29">E143</f>
        <v>0</v>
      </c>
      <c r="G107" s="78">
        <f t="shared" si="29"/>
        <v>715</v>
      </c>
      <c r="H107" s="78">
        <f t="shared" si="29"/>
        <v>705.90886392009986</v>
      </c>
      <c r="I107" s="78">
        <f t="shared" si="29"/>
        <v>704.97483133240985</v>
      </c>
      <c r="J107" s="78">
        <f t="shared" si="29"/>
        <v>702.76229409299947</v>
      </c>
      <c r="K107" s="78">
        <f t="shared" si="28"/>
        <v>701.59241103531315</v>
      </c>
      <c r="L107" s="78">
        <f t="shared" si="28"/>
        <v>699.26464794685887</v>
      </c>
      <c r="M107" s="78">
        <f t="shared" si="28"/>
        <v>695.76832470712463</v>
      </c>
      <c r="N107" s="45"/>
    </row>
    <row r="108" spans="1:17">
      <c r="A108" s="74">
        <v>3</v>
      </c>
      <c r="C108" s="74" t="s">
        <v>352</v>
      </c>
      <c r="E108" s="181">
        <v>0</v>
      </c>
      <c r="F108" s="78">
        <f t="shared" si="29"/>
        <v>0</v>
      </c>
      <c r="G108" s="78">
        <f t="shared" si="29"/>
        <v>0</v>
      </c>
      <c r="H108" s="78">
        <f t="shared" si="29"/>
        <v>654.65479747974143</v>
      </c>
      <c r="I108" s="78">
        <f t="shared" si="29"/>
        <v>654.11921611955074</v>
      </c>
      <c r="J108" s="78">
        <f t="shared" si="29"/>
        <v>652.41201630608623</v>
      </c>
      <c r="K108" s="78">
        <f t="shared" si="28"/>
        <v>651.68719793734624</v>
      </c>
      <c r="L108" s="78">
        <f t="shared" si="28"/>
        <v>649.90345962253082</v>
      </c>
      <c r="M108" s="78">
        <f t="shared" si="28"/>
        <v>647.05022492174896</v>
      </c>
      <c r="N108" s="45"/>
    </row>
    <row r="109" spans="1:17">
      <c r="A109" s="74">
        <v>4</v>
      </c>
      <c r="C109" s="74" t="s">
        <v>353</v>
      </c>
      <c r="E109" s="181">
        <v>0</v>
      </c>
      <c r="F109" s="78">
        <f t="shared" si="29"/>
        <v>0</v>
      </c>
      <c r="G109" s="78">
        <f t="shared" si="29"/>
        <v>0</v>
      </c>
      <c r="H109" s="78">
        <f t="shared" si="29"/>
        <v>0</v>
      </c>
      <c r="I109" s="78">
        <f t="shared" si="29"/>
        <v>693.01469355560312</v>
      </c>
      <c r="J109" s="78">
        <f t="shared" si="29"/>
        <v>691.55598701985241</v>
      </c>
      <c r="K109" s="78">
        <f t="shared" si="28"/>
        <v>691.15319623189509</v>
      </c>
      <c r="L109" s="78">
        <f t="shared" si="28"/>
        <v>689.64413354985277</v>
      </c>
      <c r="M109" s="78">
        <f t="shared" si="28"/>
        <v>687.0169178029962</v>
      </c>
      <c r="N109" s="45"/>
    </row>
    <row r="110" spans="1:17">
      <c r="A110" s="74">
        <v>5</v>
      </c>
      <c r="C110" s="74" t="s">
        <v>354</v>
      </c>
      <c r="E110" s="181">
        <v>0</v>
      </c>
      <c r="F110" s="78">
        <f t="shared" si="29"/>
        <v>0</v>
      </c>
      <c r="G110" s="78">
        <f t="shared" si="29"/>
        <v>0</v>
      </c>
      <c r="H110" s="78">
        <f t="shared" si="29"/>
        <v>0</v>
      </c>
      <c r="I110" s="78">
        <f t="shared" si="29"/>
        <v>0</v>
      </c>
      <c r="J110" s="78">
        <f t="shared" si="29"/>
        <v>723.2955785004109</v>
      </c>
      <c r="K110" s="78">
        <f t="shared" si="28"/>
        <v>723.23960205984145</v>
      </c>
      <c r="L110" s="78">
        <f t="shared" si="28"/>
        <v>722.04274392145112</v>
      </c>
      <c r="M110" s="78">
        <f t="shared" si="28"/>
        <v>719.69190708077667</v>
      </c>
      <c r="N110" s="45"/>
    </row>
    <row r="111" spans="1:17">
      <c r="A111" s="74">
        <v>6</v>
      </c>
      <c r="C111" s="74" t="s">
        <v>355</v>
      </c>
      <c r="E111" s="181">
        <v>0</v>
      </c>
      <c r="F111" s="78">
        <f>E147</f>
        <v>0</v>
      </c>
      <c r="G111" s="78">
        <f>F147</f>
        <v>0</v>
      </c>
      <c r="H111" s="78">
        <f>G147</f>
        <v>0</v>
      </c>
      <c r="I111" s="78">
        <f>H147</f>
        <v>0</v>
      </c>
      <c r="J111" s="78">
        <f>I147</f>
        <v>0</v>
      </c>
      <c r="K111" s="78">
        <f t="shared" si="28"/>
        <v>737.13160554854358</v>
      </c>
      <c r="L111" s="78">
        <f t="shared" si="28"/>
        <v>736.28404682021801</v>
      </c>
      <c r="M111" s="78">
        <f t="shared" si="28"/>
        <v>734.27599941979929</v>
      </c>
      <c r="N111" s="45"/>
    </row>
    <row r="112" spans="1:17">
      <c r="A112" s="74">
        <v>7</v>
      </c>
      <c r="C112" s="74" t="s">
        <v>356</v>
      </c>
      <c r="E112" s="181">
        <v>0</v>
      </c>
      <c r="F112" s="78">
        <f t="shared" ref="F112:J114" si="30">E148</f>
        <v>0</v>
      </c>
      <c r="G112" s="78">
        <f t="shared" si="30"/>
        <v>0</v>
      </c>
      <c r="H112" s="78">
        <f t="shared" si="30"/>
        <v>0</v>
      </c>
      <c r="I112" s="78">
        <f t="shared" si="30"/>
        <v>0</v>
      </c>
      <c r="J112" s="78">
        <f t="shared" si="30"/>
        <v>0</v>
      </c>
      <c r="K112" s="78">
        <f t="shared" si="28"/>
        <v>0</v>
      </c>
      <c r="L112" s="78">
        <f t="shared" si="28"/>
        <v>834.89712803678583</v>
      </c>
      <c r="M112" s="78">
        <f t="shared" si="28"/>
        <v>833.04180108559308</v>
      </c>
      <c r="N112" s="45"/>
    </row>
    <row r="113" spans="1:14">
      <c r="A113" s="74">
        <v>8</v>
      </c>
      <c r="C113" s="74" t="s">
        <v>357</v>
      </c>
      <c r="E113" s="181">
        <v>0</v>
      </c>
      <c r="F113" s="78">
        <f t="shared" si="30"/>
        <v>0</v>
      </c>
      <c r="G113" s="78">
        <f t="shared" si="30"/>
        <v>0</v>
      </c>
      <c r="H113" s="78">
        <f t="shared" si="30"/>
        <v>0</v>
      </c>
      <c r="I113" s="78">
        <f t="shared" si="30"/>
        <v>0</v>
      </c>
      <c r="J113" s="78">
        <f t="shared" si="30"/>
        <v>0</v>
      </c>
      <c r="K113" s="78">
        <f t="shared" si="28"/>
        <v>0</v>
      </c>
      <c r="L113" s="78">
        <f t="shared" si="28"/>
        <v>0</v>
      </c>
      <c r="M113" s="78">
        <f t="shared" si="28"/>
        <v>851.57033947766172</v>
      </c>
      <c r="N113" s="45"/>
    </row>
    <row r="114" spans="1:14">
      <c r="A114" s="74">
        <v>9</v>
      </c>
      <c r="C114" s="74" t="s">
        <v>358</v>
      </c>
      <c r="E114" s="181">
        <v>0</v>
      </c>
      <c r="F114" s="78">
        <f t="shared" si="30"/>
        <v>0</v>
      </c>
      <c r="G114" s="78">
        <f t="shared" si="30"/>
        <v>0</v>
      </c>
      <c r="H114" s="78">
        <f t="shared" si="30"/>
        <v>0</v>
      </c>
      <c r="I114" s="78">
        <f t="shared" si="30"/>
        <v>0</v>
      </c>
      <c r="J114" s="78">
        <f t="shared" si="30"/>
        <v>0</v>
      </c>
      <c r="K114" s="78">
        <f t="shared" si="28"/>
        <v>0</v>
      </c>
      <c r="L114" s="78">
        <f t="shared" si="28"/>
        <v>0</v>
      </c>
      <c r="M114" s="78">
        <f t="shared" si="28"/>
        <v>0</v>
      </c>
      <c r="N114" s="45"/>
    </row>
    <row r="115" spans="1:14">
      <c r="A115" s="74">
        <v>1</v>
      </c>
      <c r="C115" s="74" t="s">
        <v>359</v>
      </c>
      <c r="E115" s="181">
        <f>Inputs!$C$7+$A115</f>
        <v>46</v>
      </c>
      <c r="F115" s="78">
        <f>E115-1</f>
        <v>45</v>
      </c>
      <c r="G115" s="78">
        <f t="shared" ref="G115:M123" si="31">F115-1</f>
        <v>44</v>
      </c>
      <c r="H115" s="78">
        <f t="shared" si="31"/>
        <v>43</v>
      </c>
      <c r="I115" s="78">
        <f t="shared" si="31"/>
        <v>42</v>
      </c>
      <c r="J115" s="78">
        <f t="shared" si="31"/>
        <v>41</v>
      </c>
      <c r="K115" s="78">
        <f t="shared" si="31"/>
        <v>40</v>
      </c>
      <c r="L115" s="78">
        <f t="shared" si="31"/>
        <v>39</v>
      </c>
      <c r="M115" s="78">
        <f t="shared" si="31"/>
        <v>38</v>
      </c>
      <c r="N115" s="45"/>
    </row>
    <row r="116" spans="1:14">
      <c r="A116" s="74">
        <v>2</v>
      </c>
      <c r="C116" s="74" t="s">
        <v>360</v>
      </c>
      <c r="E116" s="181">
        <f>Inputs!$C$7+$A116</f>
        <v>47</v>
      </c>
      <c r="F116" s="78">
        <f t="shared" ref="F116:J123" si="32">E116-1</f>
        <v>46</v>
      </c>
      <c r="G116" s="78">
        <f t="shared" si="32"/>
        <v>45</v>
      </c>
      <c r="H116" s="78">
        <f t="shared" si="32"/>
        <v>44</v>
      </c>
      <c r="I116" s="78">
        <f t="shared" si="32"/>
        <v>43</v>
      </c>
      <c r="J116" s="78">
        <f t="shared" si="32"/>
        <v>42</v>
      </c>
      <c r="K116" s="78">
        <f t="shared" si="31"/>
        <v>41</v>
      </c>
      <c r="L116" s="78">
        <f t="shared" si="31"/>
        <v>40</v>
      </c>
      <c r="M116" s="78">
        <f t="shared" si="31"/>
        <v>39</v>
      </c>
      <c r="N116" s="45"/>
    </row>
    <row r="117" spans="1:14">
      <c r="A117" s="74">
        <v>3</v>
      </c>
      <c r="C117" s="74" t="s">
        <v>361</v>
      </c>
      <c r="E117" s="181">
        <f>Inputs!$C$7+$A117</f>
        <v>48</v>
      </c>
      <c r="F117" s="78">
        <f t="shared" si="32"/>
        <v>47</v>
      </c>
      <c r="G117" s="78">
        <f t="shared" si="32"/>
        <v>46</v>
      </c>
      <c r="H117" s="78">
        <f t="shared" si="32"/>
        <v>45</v>
      </c>
      <c r="I117" s="78">
        <f t="shared" si="32"/>
        <v>44</v>
      </c>
      <c r="J117" s="78">
        <f t="shared" si="32"/>
        <v>43</v>
      </c>
      <c r="K117" s="78">
        <f t="shared" si="31"/>
        <v>42</v>
      </c>
      <c r="L117" s="78">
        <f t="shared" si="31"/>
        <v>41</v>
      </c>
      <c r="M117" s="78">
        <f t="shared" si="31"/>
        <v>40</v>
      </c>
      <c r="N117" s="45"/>
    </row>
    <row r="118" spans="1:14">
      <c r="A118" s="74">
        <v>4</v>
      </c>
      <c r="C118" s="74" t="s">
        <v>362</v>
      </c>
      <c r="E118" s="181">
        <f>Inputs!$C$7+$A118</f>
        <v>49</v>
      </c>
      <c r="F118" s="78">
        <f t="shared" si="32"/>
        <v>48</v>
      </c>
      <c r="G118" s="78">
        <f t="shared" si="32"/>
        <v>47</v>
      </c>
      <c r="H118" s="78">
        <f t="shared" si="32"/>
        <v>46</v>
      </c>
      <c r="I118" s="78">
        <f t="shared" si="32"/>
        <v>45</v>
      </c>
      <c r="J118" s="78">
        <f t="shared" si="32"/>
        <v>44</v>
      </c>
      <c r="K118" s="78">
        <f t="shared" si="31"/>
        <v>43</v>
      </c>
      <c r="L118" s="78">
        <f t="shared" si="31"/>
        <v>42</v>
      </c>
      <c r="M118" s="78">
        <f t="shared" si="31"/>
        <v>41</v>
      </c>
      <c r="N118" s="45"/>
    </row>
    <row r="119" spans="1:14">
      <c r="A119" s="74">
        <v>5</v>
      </c>
      <c r="C119" s="74" t="s">
        <v>363</v>
      </c>
      <c r="E119" s="181">
        <f>Inputs!$C$7+$A119</f>
        <v>50</v>
      </c>
      <c r="F119" s="78">
        <f t="shared" si="32"/>
        <v>49</v>
      </c>
      <c r="G119" s="78">
        <f t="shared" si="32"/>
        <v>48</v>
      </c>
      <c r="H119" s="78">
        <f t="shared" si="32"/>
        <v>47</v>
      </c>
      <c r="I119" s="78">
        <f t="shared" si="32"/>
        <v>46</v>
      </c>
      <c r="J119" s="78">
        <f t="shared" si="32"/>
        <v>45</v>
      </c>
      <c r="K119" s="78">
        <f t="shared" si="31"/>
        <v>44</v>
      </c>
      <c r="L119" s="78">
        <f t="shared" si="31"/>
        <v>43</v>
      </c>
      <c r="M119" s="78">
        <f t="shared" si="31"/>
        <v>42</v>
      </c>
      <c r="N119" s="45"/>
    </row>
    <row r="120" spans="1:14">
      <c r="A120" s="74">
        <v>6</v>
      </c>
      <c r="C120" s="74" t="s">
        <v>364</v>
      </c>
      <c r="E120" s="181">
        <f>Inputs!$C$7+$A120</f>
        <v>51</v>
      </c>
      <c r="F120" s="78">
        <f t="shared" si="32"/>
        <v>50</v>
      </c>
      <c r="G120" s="78">
        <f t="shared" si="32"/>
        <v>49</v>
      </c>
      <c r="H120" s="78">
        <f t="shared" si="32"/>
        <v>48</v>
      </c>
      <c r="I120" s="78">
        <f t="shared" si="32"/>
        <v>47</v>
      </c>
      <c r="J120" s="78">
        <f t="shared" si="32"/>
        <v>46</v>
      </c>
      <c r="K120" s="78">
        <f t="shared" si="31"/>
        <v>45</v>
      </c>
      <c r="L120" s="78">
        <f t="shared" si="31"/>
        <v>44</v>
      </c>
      <c r="M120" s="78">
        <f t="shared" si="31"/>
        <v>43</v>
      </c>
      <c r="N120" s="45"/>
    </row>
    <row r="121" spans="1:14">
      <c r="A121" s="74">
        <v>7</v>
      </c>
      <c r="C121" s="74" t="s">
        <v>365</v>
      </c>
      <c r="E121" s="181">
        <f>Inputs!$C$7+$A121</f>
        <v>52</v>
      </c>
      <c r="F121" s="78">
        <f t="shared" si="32"/>
        <v>51</v>
      </c>
      <c r="G121" s="78">
        <f t="shared" si="32"/>
        <v>50</v>
      </c>
      <c r="H121" s="78">
        <f t="shared" si="32"/>
        <v>49</v>
      </c>
      <c r="I121" s="78">
        <f t="shared" si="32"/>
        <v>48</v>
      </c>
      <c r="J121" s="78">
        <f t="shared" si="32"/>
        <v>47</v>
      </c>
      <c r="K121" s="78">
        <f t="shared" si="31"/>
        <v>46</v>
      </c>
      <c r="L121" s="78">
        <f t="shared" si="31"/>
        <v>45</v>
      </c>
      <c r="M121" s="78">
        <f t="shared" si="31"/>
        <v>44</v>
      </c>
      <c r="N121" s="45"/>
    </row>
    <row r="122" spans="1:14">
      <c r="A122" s="74">
        <v>8</v>
      </c>
      <c r="C122" s="74" t="s">
        <v>366</v>
      </c>
      <c r="E122" s="181">
        <f>Inputs!$C$7+$A122</f>
        <v>53</v>
      </c>
      <c r="F122" s="78">
        <f t="shared" si="32"/>
        <v>52</v>
      </c>
      <c r="G122" s="78">
        <f t="shared" si="32"/>
        <v>51</v>
      </c>
      <c r="H122" s="78">
        <f t="shared" si="32"/>
        <v>50</v>
      </c>
      <c r="I122" s="78">
        <f t="shared" si="32"/>
        <v>49</v>
      </c>
      <c r="J122" s="78">
        <f t="shared" si="32"/>
        <v>48</v>
      </c>
      <c r="K122" s="78">
        <f t="shared" si="31"/>
        <v>47</v>
      </c>
      <c r="L122" s="78">
        <f t="shared" si="31"/>
        <v>46</v>
      </c>
      <c r="M122" s="78">
        <f t="shared" si="31"/>
        <v>45</v>
      </c>
      <c r="N122" s="45"/>
    </row>
    <row r="123" spans="1:14">
      <c r="A123" s="74">
        <v>9</v>
      </c>
      <c r="C123" s="74" t="s">
        <v>367</v>
      </c>
      <c r="E123" s="181">
        <f>Inputs!$C$7+$A123</f>
        <v>54</v>
      </c>
      <c r="F123" s="78">
        <f t="shared" si="32"/>
        <v>53</v>
      </c>
      <c r="G123" s="78">
        <f t="shared" si="32"/>
        <v>52</v>
      </c>
      <c r="H123" s="78">
        <f t="shared" si="32"/>
        <v>51</v>
      </c>
      <c r="I123" s="78">
        <f t="shared" si="32"/>
        <v>50</v>
      </c>
      <c r="J123" s="78">
        <f t="shared" si="32"/>
        <v>49</v>
      </c>
      <c r="K123" s="78">
        <f t="shared" si="31"/>
        <v>48</v>
      </c>
      <c r="L123" s="78">
        <f t="shared" si="31"/>
        <v>47</v>
      </c>
      <c r="M123" s="78">
        <f t="shared" si="31"/>
        <v>46</v>
      </c>
      <c r="N123" s="45"/>
    </row>
    <row r="124" spans="1:14">
      <c r="A124" s="74">
        <v>1</v>
      </c>
      <c r="C124" s="74" t="s">
        <v>368</v>
      </c>
      <c r="E124" s="78">
        <f>E106*E$84</f>
        <v>0</v>
      </c>
      <c r="F124" s="78">
        <f t="shared" ref="F124:M132" si="33">F106*F$84</f>
        <v>0</v>
      </c>
      <c r="G124" s="78">
        <f t="shared" si="33"/>
        <v>0</v>
      </c>
      <c r="H124" s="78">
        <f t="shared" si="33"/>
        <v>0</v>
      </c>
      <c r="I124" s="78">
        <f t="shared" si="33"/>
        <v>0</v>
      </c>
      <c r="J124" s="78">
        <f t="shared" si="33"/>
        <v>0</v>
      </c>
      <c r="K124" s="78">
        <f t="shared" si="33"/>
        <v>0</v>
      </c>
      <c r="L124" s="78">
        <f t="shared" si="33"/>
        <v>0</v>
      </c>
      <c r="M124" s="78">
        <f t="shared" si="33"/>
        <v>0</v>
      </c>
      <c r="N124" s="45"/>
    </row>
    <row r="125" spans="1:14">
      <c r="A125" s="74">
        <v>2</v>
      </c>
      <c r="C125" s="74" t="s">
        <v>369</v>
      </c>
      <c r="E125" s="78">
        <f t="shared" ref="E125:J132" si="34">E107*E$84</f>
        <v>0</v>
      </c>
      <c r="F125" s="78">
        <f t="shared" si="34"/>
        <v>0</v>
      </c>
      <c r="G125" s="78">
        <f t="shared" si="34"/>
        <v>6.7977528089887684</v>
      </c>
      <c r="H125" s="78">
        <f t="shared" si="34"/>
        <v>15.109350683221356</v>
      </c>
      <c r="I125" s="78">
        <f t="shared" si="34"/>
        <v>14.182226279947928</v>
      </c>
      <c r="J125" s="78">
        <f t="shared" si="34"/>
        <v>15.562552515956542</v>
      </c>
      <c r="K125" s="78">
        <f t="shared" si="33"/>
        <v>14.784246936797237</v>
      </c>
      <c r="L125" s="78">
        <f t="shared" si="33"/>
        <v>13.98529295893719</v>
      </c>
      <c r="M125" s="78">
        <f t="shared" si="33"/>
        <v>13.915366494142505</v>
      </c>
      <c r="N125" s="45"/>
    </row>
    <row r="126" spans="1:14">
      <c r="A126" s="74">
        <v>3</v>
      </c>
      <c r="C126" s="74" t="s">
        <v>370</v>
      </c>
      <c r="E126" s="78">
        <f t="shared" si="34"/>
        <v>0</v>
      </c>
      <c r="F126" s="78">
        <f t="shared" si="34"/>
        <v>0</v>
      </c>
      <c r="G126" s="78">
        <f t="shared" si="34"/>
        <v>0</v>
      </c>
      <c r="H126" s="78">
        <f t="shared" si="34"/>
        <v>14.012303028247928</v>
      </c>
      <c r="I126" s="78">
        <f t="shared" si="34"/>
        <v>13.159146007434414</v>
      </c>
      <c r="J126" s="78">
        <f t="shared" si="34"/>
        <v>14.447554103494555</v>
      </c>
      <c r="K126" s="78">
        <f t="shared" si="33"/>
        <v>13.732623540835654</v>
      </c>
      <c r="L126" s="78">
        <f t="shared" si="33"/>
        <v>12.998069192450627</v>
      </c>
      <c r="M126" s="78">
        <f t="shared" si="33"/>
        <v>12.941004498434991</v>
      </c>
      <c r="N126" s="45"/>
    </row>
    <row r="127" spans="1:14">
      <c r="A127" s="74">
        <v>4</v>
      </c>
      <c r="C127" s="74" t="s">
        <v>371</v>
      </c>
      <c r="E127" s="78">
        <f t="shared" si="34"/>
        <v>0</v>
      </c>
      <c r="F127" s="78">
        <f t="shared" si="34"/>
        <v>0</v>
      </c>
      <c r="G127" s="78">
        <f t="shared" si="34"/>
        <v>0</v>
      </c>
      <c r="H127" s="78">
        <f t="shared" si="34"/>
        <v>0</v>
      </c>
      <c r="I127" s="78">
        <f t="shared" si="34"/>
        <v>13.941619987707053</v>
      </c>
      <c r="J127" s="78">
        <f t="shared" si="34"/>
        <v>15.314390735221179</v>
      </c>
      <c r="K127" s="78">
        <f t="shared" si="33"/>
        <v>14.564267462885519</v>
      </c>
      <c r="L127" s="78">
        <f t="shared" si="33"/>
        <v>13.792882670997068</v>
      </c>
      <c r="M127" s="78">
        <f t="shared" si="33"/>
        <v>13.740338356059937</v>
      </c>
      <c r="N127" s="45"/>
    </row>
    <row r="128" spans="1:14">
      <c r="A128" s="74">
        <v>5</v>
      </c>
      <c r="C128" s="74" t="s">
        <v>372</v>
      </c>
      <c r="E128" s="78">
        <f t="shared" si="34"/>
        <v>0</v>
      </c>
      <c r="F128" s="78">
        <f t="shared" si="34"/>
        <v>0</v>
      </c>
      <c r="G128" s="78">
        <f t="shared" si="34"/>
        <v>0</v>
      </c>
      <c r="H128" s="78">
        <f t="shared" si="34"/>
        <v>0</v>
      </c>
      <c r="I128" s="78">
        <f t="shared" si="34"/>
        <v>0</v>
      </c>
      <c r="J128" s="78">
        <f t="shared" si="34"/>
        <v>16.017258637217402</v>
      </c>
      <c r="K128" s="78">
        <f t="shared" si="33"/>
        <v>15.240405544787851</v>
      </c>
      <c r="L128" s="78">
        <f t="shared" si="33"/>
        <v>14.440854878429036</v>
      </c>
      <c r="M128" s="78">
        <f t="shared" si="33"/>
        <v>14.393838141615547</v>
      </c>
      <c r="N128" s="45"/>
    </row>
    <row r="129" spans="1:14">
      <c r="A129" s="74">
        <v>6</v>
      </c>
      <c r="C129" s="74" t="s">
        <v>373</v>
      </c>
      <c r="E129" s="78">
        <f t="shared" si="34"/>
        <v>0</v>
      </c>
      <c r="F129" s="78">
        <f t="shared" si="34"/>
        <v>0</v>
      </c>
      <c r="G129" s="78">
        <f t="shared" si="34"/>
        <v>0</v>
      </c>
      <c r="H129" s="78">
        <f t="shared" si="34"/>
        <v>0</v>
      </c>
      <c r="I129" s="78">
        <f t="shared" si="34"/>
        <v>0</v>
      </c>
      <c r="J129" s="78">
        <f t="shared" si="34"/>
        <v>0</v>
      </c>
      <c r="K129" s="78">
        <f t="shared" si="33"/>
        <v>15.53314361719765</v>
      </c>
      <c r="L129" s="78">
        <f t="shared" si="33"/>
        <v>14.725680936404373</v>
      </c>
      <c r="M129" s="78">
        <f t="shared" si="33"/>
        <v>14.685519988395999</v>
      </c>
      <c r="N129" s="45"/>
    </row>
    <row r="130" spans="1:14">
      <c r="A130" s="74">
        <v>7</v>
      </c>
      <c r="C130" s="74" t="s">
        <v>374</v>
      </c>
      <c r="E130" s="78">
        <f t="shared" si="34"/>
        <v>0</v>
      </c>
      <c r="F130" s="78">
        <f t="shared" si="34"/>
        <v>0</v>
      </c>
      <c r="G130" s="78">
        <f t="shared" si="34"/>
        <v>0</v>
      </c>
      <c r="H130" s="78">
        <f t="shared" si="34"/>
        <v>0</v>
      </c>
      <c r="I130" s="78">
        <f t="shared" si="34"/>
        <v>0</v>
      </c>
      <c r="J130" s="78">
        <f t="shared" si="34"/>
        <v>0</v>
      </c>
      <c r="K130" s="78">
        <f t="shared" si="33"/>
        <v>0</v>
      </c>
      <c r="L130" s="78">
        <f t="shared" si="33"/>
        <v>16.697942560735733</v>
      </c>
      <c r="M130" s="78">
        <f t="shared" si="33"/>
        <v>16.660836021711876</v>
      </c>
      <c r="N130" s="45"/>
    </row>
    <row r="131" spans="1:14">
      <c r="A131" s="74">
        <v>8</v>
      </c>
      <c r="C131" s="74" t="s">
        <v>375</v>
      </c>
      <c r="E131" s="78">
        <f t="shared" si="34"/>
        <v>0</v>
      </c>
      <c r="F131" s="78">
        <f t="shared" si="34"/>
        <v>0</v>
      </c>
      <c r="G131" s="78">
        <f t="shared" si="34"/>
        <v>0</v>
      </c>
      <c r="H131" s="78">
        <f t="shared" si="34"/>
        <v>0</v>
      </c>
      <c r="I131" s="78">
        <f t="shared" si="34"/>
        <v>0</v>
      </c>
      <c r="J131" s="78">
        <f t="shared" si="34"/>
        <v>0</v>
      </c>
      <c r="K131" s="78">
        <f t="shared" si="33"/>
        <v>0</v>
      </c>
      <c r="L131" s="78">
        <f t="shared" si="33"/>
        <v>0</v>
      </c>
      <c r="M131" s="78">
        <f t="shared" si="33"/>
        <v>17.031406789553248</v>
      </c>
      <c r="N131" s="45"/>
    </row>
    <row r="132" spans="1:14">
      <c r="A132" s="74">
        <v>9</v>
      </c>
      <c r="C132" s="74" t="s">
        <v>376</v>
      </c>
      <c r="E132" s="78">
        <f t="shared" si="34"/>
        <v>0</v>
      </c>
      <c r="F132" s="78">
        <f t="shared" si="34"/>
        <v>0</v>
      </c>
      <c r="G132" s="78">
        <f t="shared" si="34"/>
        <v>0</v>
      </c>
      <c r="H132" s="78">
        <f t="shared" si="34"/>
        <v>0</v>
      </c>
      <c r="I132" s="78">
        <f t="shared" si="34"/>
        <v>0</v>
      </c>
      <c r="J132" s="78">
        <f t="shared" si="34"/>
        <v>0</v>
      </c>
      <c r="K132" s="78">
        <f t="shared" si="33"/>
        <v>0</v>
      </c>
      <c r="L132" s="78">
        <f t="shared" si="33"/>
        <v>0</v>
      </c>
      <c r="M132" s="78">
        <f t="shared" si="33"/>
        <v>0</v>
      </c>
      <c r="N132" s="45"/>
    </row>
    <row r="133" spans="1:14">
      <c r="A133" s="74">
        <v>1</v>
      </c>
      <c r="C133" s="74" t="s">
        <v>377</v>
      </c>
      <c r="E133" s="29">
        <f t="shared" ref="E133:M141" si="35">E106/E115</f>
        <v>0</v>
      </c>
      <c r="F133" s="29">
        <f t="shared" si="35"/>
        <v>0</v>
      </c>
      <c r="G133" s="29">
        <f t="shared" si="35"/>
        <v>0</v>
      </c>
      <c r="H133" s="29">
        <f t="shared" si="35"/>
        <v>0</v>
      </c>
      <c r="I133" s="29">
        <f t="shared" si="35"/>
        <v>0</v>
      </c>
      <c r="J133" s="29">
        <f t="shared" si="35"/>
        <v>0</v>
      </c>
      <c r="K133" s="29">
        <f t="shared" si="35"/>
        <v>0</v>
      </c>
      <c r="L133" s="29">
        <f t="shared" si="35"/>
        <v>0</v>
      </c>
      <c r="M133" s="29">
        <f t="shared" si="35"/>
        <v>0</v>
      </c>
      <c r="N133" s="45"/>
    </row>
    <row r="134" spans="1:14">
      <c r="A134" s="74">
        <v>2</v>
      </c>
      <c r="C134" s="74" t="s">
        <v>378</v>
      </c>
      <c r="E134" s="29">
        <f t="shared" si="35"/>
        <v>0</v>
      </c>
      <c r="F134" s="29">
        <f t="shared" si="35"/>
        <v>0</v>
      </c>
      <c r="G134" s="29">
        <f t="shared" si="35"/>
        <v>15.888888888888889</v>
      </c>
      <c r="H134" s="29">
        <f t="shared" si="35"/>
        <v>16.04338327091136</v>
      </c>
      <c r="I134" s="29">
        <f t="shared" si="35"/>
        <v>16.394763519358367</v>
      </c>
      <c r="J134" s="29">
        <f t="shared" si="35"/>
        <v>16.732435573642846</v>
      </c>
      <c r="K134" s="29">
        <f t="shared" si="35"/>
        <v>17.112010025251539</v>
      </c>
      <c r="L134" s="29">
        <f t="shared" si="35"/>
        <v>17.481616198671471</v>
      </c>
      <c r="M134" s="29">
        <f t="shared" si="35"/>
        <v>17.840213454028838</v>
      </c>
      <c r="N134" s="45"/>
    </row>
    <row r="135" spans="1:14">
      <c r="A135" s="74">
        <v>3</v>
      </c>
      <c r="C135" s="74" t="s">
        <v>379</v>
      </c>
      <c r="E135" s="29">
        <f t="shared" si="35"/>
        <v>0</v>
      </c>
      <c r="F135" s="29">
        <f t="shared" si="35"/>
        <v>0</v>
      </c>
      <c r="G135" s="29">
        <f t="shared" si="35"/>
        <v>0</v>
      </c>
      <c r="H135" s="29">
        <f t="shared" si="35"/>
        <v>14.547884388438698</v>
      </c>
      <c r="I135" s="29">
        <f t="shared" si="35"/>
        <v>14.86634582089888</v>
      </c>
      <c r="J135" s="29">
        <f t="shared" si="35"/>
        <v>15.172372472234564</v>
      </c>
      <c r="K135" s="29">
        <f t="shared" si="35"/>
        <v>15.516361855651102</v>
      </c>
      <c r="L135" s="29">
        <f t="shared" si="35"/>
        <v>15.851303893232458</v>
      </c>
      <c r="M135" s="29">
        <f t="shared" si="35"/>
        <v>16.176255623043723</v>
      </c>
      <c r="N135" s="45"/>
    </row>
    <row r="136" spans="1:14">
      <c r="A136" s="74">
        <v>4</v>
      </c>
      <c r="C136" s="74" t="s">
        <v>380</v>
      </c>
      <c r="E136" s="29">
        <f t="shared" si="35"/>
        <v>0</v>
      </c>
      <c r="F136" s="29">
        <f t="shared" si="35"/>
        <v>0</v>
      </c>
      <c r="G136" s="29">
        <f t="shared" si="35"/>
        <v>0</v>
      </c>
      <c r="H136" s="29">
        <f t="shared" si="35"/>
        <v>0</v>
      </c>
      <c r="I136" s="29">
        <f t="shared" si="35"/>
        <v>15.400326523457847</v>
      </c>
      <c r="J136" s="29">
        <f t="shared" si="35"/>
        <v>15.717181523178464</v>
      </c>
      <c r="K136" s="29">
        <f t="shared" si="35"/>
        <v>16.073330144927795</v>
      </c>
      <c r="L136" s="29">
        <f t="shared" si="35"/>
        <v>16.420098417853637</v>
      </c>
      <c r="M136" s="29">
        <f t="shared" si="35"/>
        <v>16.75651019031698</v>
      </c>
      <c r="N136" s="45"/>
    </row>
    <row r="137" spans="1:14">
      <c r="A137" s="74">
        <v>5</v>
      </c>
      <c r="C137" s="74" t="s">
        <v>381</v>
      </c>
      <c r="E137" s="29">
        <f t="shared" si="35"/>
        <v>0</v>
      </c>
      <c r="F137" s="29">
        <f t="shared" si="35"/>
        <v>0</v>
      </c>
      <c r="G137" s="29">
        <f t="shared" si="35"/>
        <v>0</v>
      </c>
      <c r="H137" s="29">
        <f t="shared" si="35"/>
        <v>0</v>
      </c>
      <c r="I137" s="29">
        <f t="shared" si="35"/>
        <v>0</v>
      </c>
      <c r="J137" s="29">
        <f t="shared" si="35"/>
        <v>16.073235077786908</v>
      </c>
      <c r="K137" s="29">
        <f t="shared" si="35"/>
        <v>16.437263683178216</v>
      </c>
      <c r="L137" s="29">
        <f t="shared" si="35"/>
        <v>16.791691719103515</v>
      </c>
      <c r="M137" s="29">
        <f t="shared" si="35"/>
        <v>17.13552159716135</v>
      </c>
      <c r="N137" s="45"/>
    </row>
    <row r="138" spans="1:14">
      <c r="A138" s="74">
        <v>6</v>
      </c>
      <c r="C138" s="74" t="s">
        <v>382</v>
      </c>
      <c r="E138" s="29">
        <f t="shared" si="35"/>
        <v>0</v>
      </c>
      <c r="F138" s="29">
        <f t="shared" si="35"/>
        <v>0</v>
      </c>
      <c r="G138" s="29">
        <f t="shared" si="35"/>
        <v>0</v>
      </c>
      <c r="H138" s="29">
        <f t="shared" si="35"/>
        <v>0</v>
      </c>
      <c r="I138" s="29">
        <f t="shared" si="35"/>
        <v>0</v>
      </c>
      <c r="J138" s="29">
        <f t="shared" si="35"/>
        <v>0</v>
      </c>
      <c r="K138" s="29">
        <f t="shared" si="35"/>
        <v>16.38070234552319</v>
      </c>
      <c r="L138" s="29">
        <f t="shared" si="35"/>
        <v>16.733728336823138</v>
      </c>
      <c r="M138" s="29">
        <f t="shared" si="35"/>
        <v>17.076186033018587</v>
      </c>
      <c r="N138" s="45"/>
    </row>
    <row r="139" spans="1:14">
      <c r="A139" s="74">
        <v>7</v>
      </c>
      <c r="C139" s="74" t="s">
        <v>383</v>
      </c>
      <c r="E139" s="29">
        <f t="shared" si="35"/>
        <v>0</v>
      </c>
      <c r="F139" s="29">
        <f t="shared" si="35"/>
        <v>0</v>
      </c>
      <c r="G139" s="29">
        <f t="shared" si="35"/>
        <v>0</v>
      </c>
      <c r="H139" s="29">
        <f t="shared" si="35"/>
        <v>0</v>
      </c>
      <c r="I139" s="29">
        <f t="shared" si="35"/>
        <v>0</v>
      </c>
      <c r="J139" s="29">
        <f t="shared" si="35"/>
        <v>0</v>
      </c>
      <c r="K139" s="29">
        <f t="shared" si="35"/>
        <v>0</v>
      </c>
      <c r="L139" s="29">
        <f t="shared" si="35"/>
        <v>18.553269511928573</v>
      </c>
      <c r="M139" s="29">
        <f t="shared" si="35"/>
        <v>18.932768206490753</v>
      </c>
      <c r="N139" s="45"/>
    </row>
    <row r="140" spans="1:14">
      <c r="A140" s="74">
        <v>8</v>
      </c>
      <c r="C140" s="74" t="s">
        <v>384</v>
      </c>
      <c r="E140" s="29">
        <f t="shared" si="35"/>
        <v>0</v>
      </c>
      <c r="F140" s="29">
        <f t="shared" si="35"/>
        <v>0</v>
      </c>
      <c r="G140" s="29">
        <f t="shared" si="35"/>
        <v>0</v>
      </c>
      <c r="H140" s="29">
        <f t="shared" si="35"/>
        <v>0</v>
      </c>
      <c r="I140" s="29">
        <f t="shared" si="35"/>
        <v>0</v>
      </c>
      <c r="J140" s="29">
        <f t="shared" si="35"/>
        <v>0</v>
      </c>
      <c r="K140" s="29">
        <f t="shared" si="35"/>
        <v>0</v>
      </c>
      <c r="L140" s="29">
        <f t="shared" si="35"/>
        <v>0</v>
      </c>
      <c r="M140" s="29">
        <f t="shared" si="35"/>
        <v>18.923785321725816</v>
      </c>
      <c r="N140" s="45"/>
    </row>
    <row r="141" spans="1:14">
      <c r="A141" s="74">
        <v>9</v>
      </c>
      <c r="C141" s="74" t="s">
        <v>385</v>
      </c>
      <c r="E141" s="29">
        <f t="shared" si="35"/>
        <v>0</v>
      </c>
      <c r="F141" s="29">
        <f t="shared" si="35"/>
        <v>0</v>
      </c>
      <c r="G141" s="29">
        <f t="shared" si="35"/>
        <v>0</v>
      </c>
      <c r="H141" s="29">
        <f t="shared" si="35"/>
        <v>0</v>
      </c>
      <c r="I141" s="29">
        <f t="shared" si="35"/>
        <v>0</v>
      </c>
      <c r="J141" s="29">
        <f t="shared" si="35"/>
        <v>0</v>
      </c>
      <c r="K141" s="29">
        <f t="shared" si="35"/>
        <v>0</v>
      </c>
      <c r="L141" s="29">
        <f t="shared" si="35"/>
        <v>0</v>
      </c>
      <c r="M141" s="29">
        <f t="shared" si="35"/>
        <v>0</v>
      </c>
      <c r="N141" s="45"/>
    </row>
    <row r="142" spans="1:14">
      <c r="A142" s="74">
        <v>1</v>
      </c>
      <c r="C142" s="74" t="s">
        <v>386</v>
      </c>
      <c r="E142" s="78">
        <f t="shared" ref="E142:M150" si="36">E106+E124-E133+IF($A142=E$104,E$105,0)</f>
        <v>0</v>
      </c>
      <c r="F142" s="78">
        <f t="shared" si="36"/>
        <v>0</v>
      </c>
      <c r="G142" s="78">
        <f t="shared" si="36"/>
        <v>0</v>
      </c>
      <c r="H142" s="78">
        <f t="shared" si="36"/>
        <v>0</v>
      </c>
      <c r="I142" s="78">
        <f t="shared" si="36"/>
        <v>0</v>
      </c>
      <c r="J142" s="29">
        <f t="shared" si="36"/>
        <v>0</v>
      </c>
      <c r="K142" s="29">
        <f t="shared" si="36"/>
        <v>0</v>
      </c>
      <c r="L142" s="29">
        <f t="shared" si="36"/>
        <v>0</v>
      </c>
      <c r="M142" s="29">
        <f t="shared" si="36"/>
        <v>0</v>
      </c>
      <c r="N142" s="45"/>
    </row>
    <row r="143" spans="1:14">
      <c r="A143" s="74">
        <v>2</v>
      </c>
      <c r="C143" s="74" t="s">
        <v>387</v>
      </c>
      <c r="E143" s="78">
        <f t="shared" si="36"/>
        <v>0</v>
      </c>
      <c r="F143" s="78">
        <f t="shared" si="36"/>
        <v>715</v>
      </c>
      <c r="G143" s="78">
        <f t="shared" si="36"/>
        <v>705.90886392009986</v>
      </c>
      <c r="H143" s="78">
        <f t="shared" si="36"/>
        <v>704.97483133240985</v>
      </c>
      <c r="I143" s="78">
        <f t="shared" si="36"/>
        <v>702.76229409299947</v>
      </c>
      <c r="J143" s="29">
        <f t="shared" si="36"/>
        <v>701.59241103531315</v>
      </c>
      <c r="K143" s="29">
        <f t="shared" si="36"/>
        <v>699.26464794685887</v>
      </c>
      <c r="L143" s="29">
        <f t="shared" si="36"/>
        <v>695.76832470712463</v>
      </c>
      <c r="M143" s="29">
        <f t="shared" si="36"/>
        <v>691.84347774723835</v>
      </c>
      <c r="N143" s="45"/>
    </row>
    <row r="144" spans="1:14">
      <c r="A144" s="74">
        <v>3</v>
      </c>
      <c r="C144" s="74" t="s">
        <v>388</v>
      </c>
      <c r="E144" s="78">
        <f t="shared" si="36"/>
        <v>0</v>
      </c>
      <c r="F144" s="78">
        <f t="shared" si="36"/>
        <v>0</v>
      </c>
      <c r="G144" s="78">
        <f t="shared" si="36"/>
        <v>654.65479747974143</v>
      </c>
      <c r="H144" s="78">
        <f t="shared" si="36"/>
        <v>654.11921611955074</v>
      </c>
      <c r="I144" s="78">
        <f t="shared" si="36"/>
        <v>652.41201630608623</v>
      </c>
      <c r="J144" s="29">
        <f t="shared" si="36"/>
        <v>651.68719793734624</v>
      </c>
      <c r="K144" s="29">
        <f t="shared" si="36"/>
        <v>649.90345962253082</v>
      </c>
      <c r="L144" s="29">
        <f t="shared" si="36"/>
        <v>647.05022492174896</v>
      </c>
      <c r="M144" s="29">
        <f t="shared" si="36"/>
        <v>643.81497379714017</v>
      </c>
      <c r="N144" s="45"/>
    </row>
    <row r="145" spans="1:14">
      <c r="A145" s="74">
        <v>4</v>
      </c>
      <c r="C145" s="74" t="s">
        <v>389</v>
      </c>
      <c r="E145" s="78">
        <f t="shared" si="36"/>
        <v>0</v>
      </c>
      <c r="F145" s="78">
        <f t="shared" si="36"/>
        <v>0</v>
      </c>
      <c r="G145" s="78">
        <f t="shared" si="36"/>
        <v>0</v>
      </c>
      <c r="H145" s="78">
        <f t="shared" si="36"/>
        <v>693.01469355560312</v>
      </c>
      <c r="I145" s="78">
        <f t="shared" si="36"/>
        <v>691.55598701985241</v>
      </c>
      <c r="J145" s="29">
        <f t="shared" si="36"/>
        <v>691.15319623189509</v>
      </c>
      <c r="K145" s="29">
        <f t="shared" si="36"/>
        <v>689.64413354985277</v>
      </c>
      <c r="L145" s="29">
        <f t="shared" si="36"/>
        <v>687.0169178029962</v>
      </c>
      <c r="M145" s="29">
        <f t="shared" si="36"/>
        <v>684.00074596873924</v>
      </c>
      <c r="N145" s="45"/>
    </row>
    <row r="146" spans="1:14">
      <c r="A146" s="74">
        <v>5</v>
      </c>
      <c r="C146" s="74" t="s">
        <v>390</v>
      </c>
      <c r="E146" s="78">
        <f t="shared" si="36"/>
        <v>0</v>
      </c>
      <c r="F146" s="78">
        <f t="shared" si="36"/>
        <v>0</v>
      </c>
      <c r="G146" s="78">
        <f t="shared" si="36"/>
        <v>0</v>
      </c>
      <c r="H146" s="78">
        <f t="shared" si="36"/>
        <v>0</v>
      </c>
      <c r="I146" s="78">
        <f t="shared" si="36"/>
        <v>723.2955785004109</v>
      </c>
      <c r="J146" s="29">
        <f t="shared" si="36"/>
        <v>723.23960205984145</v>
      </c>
      <c r="K146" s="29">
        <f t="shared" si="36"/>
        <v>722.04274392145112</v>
      </c>
      <c r="L146" s="29">
        <f t="shared" si="36"/>
        <v>719.69190708077667</v>
      </c>
      <c r="M146" s="29">
        <f t="shared" si="36"/>
        <v>716.95022362523093</v>
      </c>
      <c r="N146" s="45"/>
    </row>
    <row r="147" spans="1:14">
      <c r="A147" s="74">
        <v>6</v>
      </c>
      <c r="C147" s="74" t="s">
        <v>391</v>
      </c>
      <c r="E147" s="78">
        <f t="shared" si="36"/>
        <v>0</v>
      </c>
      <c r="F147" s="78">
        <f t="shared" si="36"/>
        <v>0</v>
      </c>
      <c r="G147" s="78">
        <f t="shared" si="36"/>
        <v>0</v>
      </c>
      <c r="H147" s="78">
        <f t="shared" si="36"/>
        <v>0</v>
      </c>
      <c r="I147" s="78">
        <f t="shared" si="36"/>
        <v>0</v>
      </c>
      <c r="J147" s="29">
        <f t="shared" si="36"/>
        <v>737.13160554854358</v>
      </c>
      <c r="K147" s="29">
        <f t="shared" si="36"/>
        <v>736.28404682021801</v>
      </c>
      <c r="L147" s="29">
        <f t="shared" si="36"/>
        <v>734.27599941979929</v>
      </c>
      <c r="M147" s="29">
        <f t="shared" si="36"/>
        <v>731.88533337517674</v>
      </c>
      <c r="N147" s="45"/>
    </row>
    <row r="148" spans="1:14">
      <c r="A148" s="74">
        <v>7</v>
      </c>
      <c r="C148" s="74" t="s">
        <v>392</v>
      </c>
      <c r="E148" s="78">
        <f t="shared" si="36"/>
        <v>0</v>
      </c>
      <c r="F148" s="78">
        <f t="shared" si="36"/>
        <v>0</v>
      </c>
      <c r="G148" s="78">
        <f t="shared" si="36"/>
        <v>0</v>
      </c>
      <c r="H148" s="78">
        <f t="shared" si="36"/>
        <v>0</v>
      </c>
      <c r="I148" s="78">
        <f t="shared" si="36"/>
        <v>0</v>
      </c>
      <c r="J148" s="29">
        <f t="shared" si="36"/>
        <v>0</v>
      </c>
      <c r="K148" s="29">
        <f t="shared" si="36"/>
        <v>834.89712803678583</v>
      </c>
      <c r="L148" s="29">
        <f t="shared" si="36"/>
        <v>833.04180108559308</v>
      </c>
      <c r="M148" s="29">
        <f t="shared" si="36"/>
        <v>830.76986890081423</v>
      </c>
      <c r="N148" s="45"/>
    </row>
    <row r="149" spans="1:14">
      <c r="A149" s="74">
        <v>8</v>
      </c>
      <c r="C149" s="74" t="s">
        <v>393</v>
      </c>
      <c r="E149" s="78">
        <f t="shared" si="36"/>
        <v>0</v>
      </c>
      <c r="F149" s="78">
        <f t="shared" si="36"/>
        <v>0</v>
      </c>
      <c r="G149" s="78">
        <f t="shared" si="36"/>
        <v>0</v>
      </c>
      <c r="H149" s="78">
        <f t="shared" si="36"/>
        <v>0</v>
      </c>
      <c r="I149" s="78">
        <f t="shared" si="36"/>
        <v>0</v>
      </c>
      <c r="J149" s="29">
        <f t="shared" si="36"/>
        <v>0</v>
      </c>
      <c r="K149" s="29">
        <f t="shared" si="36"/>
        <v>0</v>
      </c>
      <c r="L149" s="29">
        <f t="shared" si="36"/>
        <v>851.57033947766172</v>
      </c>
      <c r="M149" s="29">
        <f t="shared" si="36"/>
        <v>849.67796094548908</v>
      </c>
      <c r="N149" s="45"/>
    </row>
    <row r="150" spans="1:14">
      <c r="A150" s="74">
        <v>9</v>
      </c>
      <c r="C150" s="74" t="s">
        <v>394</v>
      </c>
      <c r="E150" s="78">
        <f t="shared" si="36"/>
        <v>0</v>
      </c>
      <c r="F150" s="78">
        <f t="shared" si="36"/>
        <v>0</v>
      </c>
      <c r="G150" s="78">
        <f t="shared" si="36"/>
        <v>0</v>
      </c>
      <c r="H150" s="78">
        <f t="shared" si="36"/>
        <v>0</v>
      </c>
      <c r="I150" s="78">
        <f t="shared" si="36"/>
        <v>0</v>
      </c>
      <c r="J150" s="29">
        <f t="shared" si="36"/>
        <v>0</v>
      </c>
      <c r="K150" s="29">
        <f t="shared" si="36"/>
        <v>0</v>
      </c>
      <c r="L150" s="29">
        <f t="shared" si="36"/>
        <v>0</v>
      </c>
      <c r="M150" s="29">
        <f t="shared" si="36"/>
        <v>868.30316791604878</v>
      </c>
      <c r="N150" s="45"/>
    </row>
    <row r="151" spans="1:14">
      <c r="C151" s="74" t="s">
        <v>104</v>
      </c>
      <c r="E151" s="78">
        <f>SUM(E106:E114)</f>
        <v>0</v>
      </c>
      <c r="F151" s="78">
        <f t="shared" ref="F151:M151" si="37">SUM(F106:F114)</f>
        <v>0</v>
      </c>
      <c r="G151" s="78">
        <f t="shared" si="37"/>
        <v>715</v>
      </c>
      <c r="H151" s="78">
        <f t="shared" si="37"/>
        <v>1360.5636613998413</v>
      </c>
      <c r="I151" s="78">
        <f t="shared" si="37"/>
        <v>2052.1087410075638</v>
      </c>
      <c r="J151" s="78">
        <f t="shared" si="37"/>
        <v>2770.0258759193489</v>
      </c>
      <c r="K151" s="78">
        <f t="shared" si="37"/>
        <v>3504.8040128129392</v>
      </c>
      <c r="L151" s="78">
        <f t="shared" si="37"/>
        <v>4332.036159897697</v>
      </c>
      <c r="M151" s="78">
        <f t="shared" si="37"/>
        <v>5168.4155144957003</v>
      </c>
      <c r="N151" s="45"/>
    </row>
    <row r="152" spans="1:14">
      <c r="C152" s="74" t="s">
        <v>105</v>
      </c>
      <c r="E152" s="78">
        <f>SUM(E124:E132)</f>
        <v>0</v>
      </c>
      <c r="F152" s="78">
        <f t="shared" ref="F152:M152" si="38">SUM(F124:F132)</f>
        <v>0</v>
      </c>
      <c r="G152" s="78">
        <f t="shared" si="38"/>
        <v>6.7977528089887684</v>
      </c>
      <c r="H152" s="78">
        <f t="shared" si="38"/>
        <v>29.121653711469285</v>
      </c>
      <c r="I152" s="78">
        <f t="shared" si="38"/>
        <v>41.282992275089399</v>
      </c>
      <c r="J152" s="78">
        <f t="shared" si="38"/>
        <v>61.341755991889677</v>
      </c>
      <c r="K152" s="78">
        <f t="shared" si="38"/>
        <v>73.854687102503917</v>
      </c>
      <c r="L152" s="78">
        <f t="shared" si="38"/>
        <v>86.640723197954031</v>
      </c>
      <c r="M152" s="78">
        <f t="shared" si="38"/>
        <v>103.36831028991409</v>
      </c>
      <c r="N152" s="45"/>
    </row>
    <row r="153" spans="1:14">
      <c r="C153" s="74" t="s">
        <v>49</v>
      </c>
      <c r="E153" s="78">
        <f>SUM(E133:E141)</f>
        <v>0</v>
      </c>
      <c r="F153" s="78">
        <f t="shared" ref="F153:M153" si="39">SUM(F133:F141)</f>
        <v>0</v>
      </c>
      <c r="G153" s="78">
        <f t="shared" si="39"/>
        <v>15.888888888888889</v>
      </c>
      <c r="H153" s="78">
        <f t="shared" si="39"/>
        <v>30.591267659350059</v>
      </c>
      <c r="I153" s="78">
        <f t="shared" si="39"/>
        <v>46.661435863715099</v>
      </c>
      <c r="J153" s="78">
        <f t="shared" si="39"/>
        <v>63.695224646842775</v>
      </c>
      <c r="K153" s="78">
        <f t="shared" si="39"/>
        <v>81.519668054531849</v>
      </c>
      <c r="L153" s="78">
        <f t="shared" si="39"/>
        <v>101.83170807761279</v>
      </c>
      <c r="M153" s="78">
        <f t="shared" si="39"/>
        <v>122.84124042578604</v>
      </c>
      <c r="N153" s="45"/>
    </row>
    <row r="154" spans="1:14">
      <c r="C154" s="74" t="s">
        <v>106</v>
      </c>
      <c r="E154" s="78"/>
      <c r="F154" s="78">
        <f t="shared" ref="F154:M154" si="40">SUM(F142:F150)</f>
        <v>715</v>
      </c>
      <c r="G154" s="78">
        <f t="shared" si="40"/>
        <v>1360.5636613998413</v>
      </c>
      <c r="H154" s="78">
        <f t="shared" si="40"/>
        <v>2052.1087410075638</v>
      </c>
      <c r="I154" s="78">
        <f t="shared" si="40"/>
        <v>2770.0258759193489</v>
      </c>
      <c r="J154" s="78">
        <f t="shared" si="40"/>
        <v>3504.8040128129392</v>
      </c>
      <c r="K154" s="78">
        <f t="shared" si="40"/>
        <v>4332.036159897697</v>
      </c>
      <c r="L154" s="78">
        <f t="shared" si="40"/>
        <v>5168.4155144957003</v>
      </c>
      <c r="M154" s="78">
        <f t="shared" si="40"/>
        <v>6017.2457522758768</v>
      </c>
      <c r="N154" s="45"/>
    </row>
    <row r="155" spans="1:14">
      <c r="E155" s="78"/>
      <c r="F155" s="78"/>
      <c r="G155" s="78"/>
      <c r="H155" s="78"/>
      <c r="I155" s="78"/>
      <c r="J155" s="78"/>
      <c r="K155" s="78"/>
      <c r="L155" s="78"/>
      <c r="M155" s="78"/>
      <c r="N155" s="45"/>
    </row>
    <row r="156" spans="1:14" ht="15.75">
      <c r="C156" s="5" t="s">
        <v>198</v>
      </c>
      <c r="E156" s="10" t="str">
        <f>E$21</f>
        <v>2009/10</v>
      </c>
      <c r="F156" s="10" t="str">
        <f t="shared" ref="F156:M156" si="41">F$21</f>
        <v>2010/11</v>
      </c>
      <c r="G156" s="10" t="str">
        <f t="shared" si="41"/>
        <v>2011/12</v>
      </c>
      <c r="H156" s="10" t="str">
        <f t="shared" si="41"/>
        <v>2012/13</v>
      </c>
      <c r="I156" s="10" t="str">
        <f t="shared" si="41"/>
        <v>2013/14</v>
      </c>
      <c r="J156" s="10" t="str">
        <f t="shared" si="41"/>
        <v>2014/15</v>
      </c>
      <c r="K156" s="10" t="str">
        <f t="shared" si="41"/>
        <v>2015/16</v>
      </c>
      <c r="L156" s="10" t="str">
        <f t="shared" si="41"/>
        <v>2016/17</v>
      </c>
      <c r="M156" s="10" t="str">
        <f t="shared" si="41"/>
        <v>2017/18</v>
      </c>
      <c r="N156" s="45"/>
    </row>
    <row r="157" spans="1:14">
      <c r="C157" s="20" t="s">
        <v>41</v>
      </c>
      <c r="E157" s="20">
        <v>1</v>
      </c>
      <c r="F157" s="20">
        <v>2</v>
      </c>
      <c r="G157" s="20">
        <v>3</v>
      </c>
      <c r="H157" s="20">
        <v>4</v>
      </c>
      <c r="I157" s="20">
        <v>5</v>
      </c>
      <c r="J157" s="20">
        <v>6</v>
      </c>
      <c r="K157" s="20">
        <v>7</v>
      </c>
      <c r="L157" s="20">
        <v>8</v>
      </c>
      <c r="M157" s="20">
        <v>9</v>
      </c>
      <c r="N157" s="45"/>
    </row>
    <row r="158" spans="1:14">
      <c r="C158" s="74" t="s">
        <v>22</v>
      </c>
      <c r="D158" s="78"/>
      <c r="E158" s="181">
        <v>0</v>
      </c>
      <c r="F158" s="78">
        <f t="shared" ref="F158:M158" si="42">F$48</f>
        <v>715</v>
      </c>
      <c r="G158" s="78">
        <f t="shared" si="42"/>
        <v>654.65479747974143</v>
      </c>
      <c r="H158" s="78">
        <f t="shared" si="42"/>
        <v>693.01469355560312</v>
      </c>
      <c r="I158" s="78">
        <f t="shared" si="42"/>
        <v>723.2955785004109</v>
      </c>
      <c r="J158" s="78">
        <f t="shared" si="42"/>
        <v>737.13160554854358</v>
      </c>
      <c r="K158" s="78">
        <f t="shared" si="42"/>
        <v>834.89712803678583</v>
      </c>
      <c r="L158" s="78">
        <f t="shared" si="42"/>
        <v>851.57033947766172</v>
      </c>
      <c r="M158" s="78">
        <f t="shared" si="42"/>
        <v>868.30316791604878</v>
      </c>
      <c r="N158" s="45"/>
    </row>
    <row r="159" spans="1:14">
      <c r="A159" s="74">
        <v>1</v>
      </c>
      <c r="C159" s="74" t="s">
        <v>395</v>
      </c>
      <c r="E159" s="181">
        <v>0</v>
      </c>
      <c r="F159" s="78">
        <f>E186</f>
        <v>0</v>
      </c>
      <c r="G159" s="78">
        <f t="shared" ref="G159:M167" si="43">F186</f>
        <v>0</v>
      </c>
      <c r="H159" s="78">
        <f t="shared" si="43"/>
        <v>0</v>
      </c>
      <c r="I159" s="78">
        <f t="shared" si="43"/>
        <v>0</v>
      </c>
      <c r="J159" s="78">
        <f t="shared" si="43"/>
        <v>0</v>
      </c>
      <c r="K159" s="78">
        <f t="shared" si="43"/>
        <v>0</v>
      </c>
      <c r="L159" s="78">
        <f t="shared" si="43"/>
        <v>0</v>
      </c>
      <c r="M159" s="78">
        <f t="shared" si="43"/>
        <v>0</v>
      </c>
      <c r="N159" s="45"/>
    </row>
    <row r="160" spans="1:14">
      <c r="A160" s="74">
        <v>2</v>
      </c>
      <c r="C160" s="74" t="s">
        <v>396</v>
      </c>
      <c r="E160" s="181">
        <v>0</v>
      </c>
      <c r="F160" s="78">
        <f t="shared" ref="F160:J163" si="44">E187</f>
        <v>0</v>
      </c>
      <c r="G160" s="78">
        <f t="shared" si="44"/>
        <v>715</v>
      </c>
      <c r="H160" s="78">
        <f t="shared" si="44"/>
        <v>699.11111111111109</v>
      </c>
      <c r="I160" s="78">
        <f t="shared" si="44"/>
        <v>683.22222222222217</v>
      </c>
      <c r="J160" s="78">
        <f t="shared" si="44"/>
        <v>667.33333333333326</v>
      </c>
      <c r="K160" s="78">
        <f t="shared" si="43"/>
        <v>651.44444444444434</v>
      </c>
      <c r="L160" s="78">
        <f t="shared" si="43"/>
        <v>635.55555555555543</v>
      </c>
      <c r="M160" s="78">
        <f t="shared" si="43"/>
        <v>619.66666666666652</v>
      </c>
      <c r="N160" s="45"/>
    </row>
    <row r="161" spans="1:14">
      <c r="A161" s="74">
        <v>3</v>
      </c>
      <c r="C161" s="74" t="s">
        <v>397</v>
      </c>
      <c r="E161" s="181">
        <v>0</v>
      </c>
      <c r="F161" s="78">
        <f t="shared" si="44"/>
        <v>0</v>
      </c>
      <c r="G161" s="78">
        <f t="shared" si="44"/>
        <v>0</v>
      </c>
      <c r="H161" s="78">
        <f t="shared" si="44"/>
        <v>654.65479747974143</v>
      </c>
      <c r="I161" s="78">
        <f t="shared" si="44"/>
        <v>640.10691309130277</v>
      </c>
      <c r="J161" s="78">
        <f t="shared" si="44"/>
        <v>625.55902870286411</v>
      </c>
      <c r="K161" s="78">
        <f t="shared" si="43"/>
        <v>611.01114431442545</v>
      </c>
      <c r="L161" s="78">
        <f t="shared" si="43"/>
        <v>596.46325992598679</v>
      </c>
      <c r="M161" s="78">
        <f t="shared" si="43"/>
        <v>581.91537553754813</v>
      </c>
      <c r="N161" s="45"/>
    </row>
    <row r="162" spans="1:14">
      <c r="A162" s="74">
        <v>4</v>
      </c>
      <c r="C162" s="74" t="s">
        <v>398</v>
      </c>
      <c r="E162" s="181">
        <v>0</v>
      </c>
      <c r="F162" s="78">
        <f t="shared" si="44"/>
        <v>0</v>
      </c>
      <c r="G162" s="78">
        <f t="shared" si="44"/>
        <v>0</v>
      </c>
      <c r="H162" s="78">
        <f t="shared" si="44"/>
        <v>0</v>
      </c>
      <c r="I162" s="78">
        <f t="shared" si="44"/>
        <v>693.01469355560312</v>
      </c>
      <c r="J162" s="78">
        <f t="shared" si="44"/>
        <v>677.61436703214531</v>
      </c>
      <c r="K162" s="78">
        <f t="shared" si="43"/>
        <v>662.2140405086875</v>
      </c>
      <c r="L162" s="78">
        <f t="shared" si="43"/>
        <v>646.8137139852297</v>
      </c>
      <c r="M162" s="78">
        <f t="shared" si="43"/>
        <v>631.41338746177189</v>
      </c>
      <c r="N162" s="45"/>
    </row>
    <row r="163" spans="1:14">
      <c r="A163" s="74">
        <v>5</v>
      </c>
      <c r="C163" s="74" t="s">
        <v>399</v>
      </c>
      <c r="E163" s="181">
        <v>0</v>
      </c>
      <c r="F163" s="78">
        <f t="shared" si="44"/>
        <v>0</v>
      </c>
      <c r="G163" s="78">
        <f t="shared" si="44"/>
        <v>0</v>
      </c>
      <c r="H163" s="78">
        <f t="shared" si="44"/>
        <v>0</v>
      </c>
      <c r="I163" s="78">
        <f t="shared" si="44"/>
        <v>0</v>
      </c>
      <c r="J163" s="78">
        <f t="shared" si="44"/>
        <v>723.2955785004109</v>
      </c>
      <c r="K163" s="78">
        <f t="shared" si="43"/>
        <v>707.22234342262402</v>
      </c>
      <c r="L163" s="78">
        <f t="shared" si="43"/>
        <v>691.14910834483715</v>
      </c>
      <c r="M163" s="78">
        <f t="shared" si="43"/>
        <v>675.07587326705027</v>
      </c>
      <c r="N163" s="45"/>
    </row>
    <row r="164" spans="1:14">
      <c r="A164" s="74">
        <v>6</v>
      </c>
      <c r="C164" s="74" t="s">
        <v>400</v>
      </c>
      <c r="E164" s="181">
        <v>0</v>
      </c>
      <c r="F164" s="78">
        <f>E191</f>
        <v>0</v>
      </c>
      <c r="G164" s="78">
        <f>F191</f>
        <v>0</v>
      </c>
      <c r="H164" s="78">
        <f>G191</f>
        <v>0</v>
      </c>
      <c r="I164" s="78">
        <f>H191</f>
        <v>0</v>
      </c>
      <c r="J164" s="78">
        <f>I191</f>
        <v>0</v>
      </c>
      <c r="K164" s="78">
        <f t="shared" si="43"/>
        <v>737.13160554854358</v>
      </c>
      <c r="L164" s="78">
        <f t="shared" si="43"/>
        <v>720.75090320302036</v>
      </c>
      <c r="M164" s="78">
        <f t="shared" si="43"/>
        <v>704.37020085749714</v>
      </c>
      <c r="N164" s="45"/>
    </row>
    <row r="165" spans="1:14">
      <c r="A165" s="74">
        <v>7</v>
      </c>
      <c r="C165" s="74" t="s">
        <v>401</v>
      </c>
      <c r="E165" s="181">
        <v>0</v>
      </c>
      <c r="F165" s="78">
        <f t="shared" ref="F165:J167" si="45">E192</f>
        <v>0</v>
      </c>
      <c r="G165" s="78">
        <f t="shared" si="45"/>
        <v>0</v>
      </c>
      <c r="H165" s="78">
        <f t="shared" si="45"/>
        <v>0</v>
      </c>
      <c r="I165" s="78">
        <f t="shared" si="45"/>
        <v>0</v>
      </c>
      <c r="J165" s="78">
        <f t="shared" si="45"/>
        <v>0</v>
      </c>
      <c r="K165" s="78">
        <f t="shared" si="43"/>
        <v>0</v>
      </c>
      <c r="L165" s="78">
        <f t="shared" si="43"/>
        <v>834.89712803678583</v>
      </c>
      <c r="M165" s="78">
        <f t="shared" si="43"/>
        <v>816.3438585248573</v>
      </c>
      <c r="N165" s="45"/>
    </row>
    <row r="166" spans="1:14">
      <c r="A166" s="74">
        <v>8</v>
      </c>
      <c r="C166" s="74" t="s">
        <v>402</v>
      </c>
      <c r="E166" s="181">
        <v>0</v>
      </c>
      <c r="F166" s="78">
        <f t="shared" si="45"/>
        <v>0</v>
      </c>
      <c r="G166" s="78">
        <f t="shared" si="45"/>
        <v>0</v>
      </c>
      <c r="H166" s="78">
        <f t="shared" si="45"/>
        <v>0</v>
      </c>
      <c r="I166" s="78">
        <f t="shared" si="45"/>
        <v>0</v>
      </c>
      <c r="J166" s="78">
        <f t="shared" si="45"/>
        <v>0</v>
      </c>
      <c r="K166" s="78">
        <f t="shared" si="43"/>
        <v>0</v>
      </c>
      <c r="L166" s="78">
        <f t="shared" si="43"/>
        <v>0</v>
      </c>
      <c r="M166" s="78">
        <f t="shared" si="43"/>
        <v>851.57033947766172</v>
      </c>
      <c r="N166" s="45"/>
    </row>
    <row r="167" spans="1:14">
      <c r="A167" s="74">
        <v>9</v>
      </c>
      <c r="C167" s="74" t="s">
        <v>403</v>
      </c>
      <c r="E167" s="181">
        <v>0</v>
      </c>
      <c r="F167" s="78">
        <f t="shared" si="45"/>
        <v>0</v>
      </c>
      <c r="G167" s="78">
        <f t="shared" si="45"/>
        <v>0</v>
      </c>
      <c r="H167" s="78">
        <f t="shared" si="45"/>
        <v>0</v>
      </c>
      <c r="I167" s="78">
        <f t="shared" si="45"/>
        <v>0</v>
      </c>
      <c r="J167" s="78">
        <f t="shared" si="45"/>
        <v>0</v>
      </c>
      <c r="K167" s="78">
        <f t="shared" si="43"/>
        <v>0</v>
      </c>
      <c r="L167" s="78">
        <f t="shared" si="43"/>
        <v>0</v>
      </c>
      <c r="M167" s="78">
        <f t="shared" si="43"/>
        <v>0</v>
      </c>
      <c r="N167" s="45"/>
    </row>
    <row r="168" spans="1:14">
      <c r="A168" s="74">
        <v>1</v>
      </c>
      <c r="C168" s="74" t="s">
        <v>359</v>
      </c>
      <c r="E168" s="181">
        <f>Inputs!$C$7+$A168</f>
        <v>46</v>
      </c>
      <c r="F168" s="78">
        <f>E168-1</f>
        <v>45</v>
      </c>
      <c r="G168" s="78">
        <f t="shared" ref="G168:M176" si="46">F168-1</f>
        <v>44</v>
      </c>
      <c r="H168" s="78">
        <f t="shared" si="46"/>
        <v>43</v>
      </c>
      <c r="I168" s="78">
        <f t="shared" si="46"/>
        <v>42</v>
      </c>
      <c r="J168" s="78">
        <f t="shared" si="46"/>
        <v>41</v>
      </c>
      <c r="K168" s="78">
        <f t="shared" si="46"/>
        <v>40</v>
      </c>
      <c r="L168" s="78">
        <f t="shared" si="46"/>
        <v>39</v>
      </c>
      <c r="M168" s="78">
        <f t="shared" si="46"/>
        <v>38</v>
      </c>
      <c r="N168" s="45"/>
    </row>
    <row r="169" spans="1:14">
      <c r="A169" s="74">
        <v>2</v>
      </c>
      <c r="C169" s="74" t="s">
        <v>360</v>
      </c>
      <c r="E169" s="181">
        <f>Inputs!$C$7+$A169</f>
        <v>47</v>
      </c>
      <c r="F169" s="78">
        <f t="shared" ref="F169:J176" si="47">E169-1</f>
        <v>46</v>
      </c>
      <c r="G169" s="78">
        <f t="shared" si="47"/>
        <v>45</v>
      </c>
      <c r="H169" s="78">
        <f t="shared" si="47"/>
        <v>44</v>
      </c>
      <c r="I169" s="78">
        <f t="shared" si="47"/>
        <v>43</v>
      </c>
      <c r="J169" s="78">
        <f t="shared" si="47"/>
        <v>42</v>
      </c>
      <c r="K169" s="78">
        <f t="shared" si="46"/>
        <v>41</v>
      </c>
      <c r="L169" s="78">
        <f t="shared" si="46"/>
        <v>40</v>
      </c>
      <c r="M169" s="78">
        <f t="shared" si="46"/>
        <v>39</v>
      </c>
      <c r="N169" s="45"/>
    </row>
    <row r="170" spans="1:14">
      <c r="A170" s="74">
        <v>3</v>
      </c>
      <c r="C170" s="74" t="s">
        <v>361</v>
      </c>
      <c r="E170" s="181">
        <f>Inputs!$C$7+$A170</f>
        <v>48</v>
      </c>
      <c r="F170" s="78">
        <f t="shared" si="47"/>
        <v>47</v>
      </c>
      <c r="G170" s="78">
        <f t="shared" si="47"/>
        <v>46</v>
      </c>
      <c r="H170" s="78">
        <f t="shared" si="47"/>
        <v>45</v>
      </c>
      <c r="I170" s="78">
        <f t="shared" si="47"/>
        <v>44</v>
      </c>
      <c r="J170" s="78">
        <f t="shared" si="47"/>
        <v>43</v>
      </c>
      <c r="K170" s="78">
        <f t="shared" si="46"/>
        <v>42</v>
      </c>
      <c r="L170" s="78">
        <f t="shared" si="46"/>
        <v>41</v>
      </c>
      <c r="M170" s="78">
        <f t="shared" si="46"/>
        <v>40</v>
      </c>
      <c r="N170" s="45"/>
    </row>
    <row r="171" spans="1:14">
      <c r="A171" s="74">
        <v>4</v>
      </c>
      <c r="C171" s="74" t="s">
        <v>362</v>
      </c>
      <c r="E171" s="181">
        <f>Inputs!$C$7+$A171</f>
        <v>49</v>
      </c>
      <c r="F171" s="78">
        <f t="shared" si="47"/>
        <v>48</v>
      </c>
      <c r="G171" s="78">
        <f t="shared" si="47"/>
        <v>47</v>
      </c>
      <c r="H171" s="78">
        <f t="shared" si="47"/>
        <v>46</v>
      </c>
      <c r="I171" s="78">
        <f t="shared" si="47"/>
        <v>45</v>
      </c>
      <c r="J171" s="78">
        <f t="shared" si="47"/>
        <v>44</v>
      </c>
      <c r="K171" s="78">
        <f t="shared" si="46"/>
        <v>43</v>
      </c>
      <c r="L171" s="78">
        <f t="shared" si="46"/>
        <v>42</v>
      </c>
      <c r="M171" s="78">
        <f t="shared" si="46"/>
        <v>41</v>
      </c>
      <c r="N171" s="45"/>
    </row>
    <row r="172" spans="1:14">
      <c r="A172" s="74">
        <v>5</v>
      </c>
      <c r="C172" s="74" t="s">
        <v>363</v>
      </c>
      <c r="E172" s="181">
        <f>Inputs!$C$7+$A172</f>
        <v>50</v>
      </c>
      <c r="F172" s="78">
        <f t="shared" si="47"/>
        <v>49</v>
      </c>
      <c r="G172" s="78">
        <f t="shared" si="47"/>
        <v>48</v>
      </c>
      <c r="H172" s="78">
        <f t="shared" si="47"/>
        <v>47</v>
      </c>
      <c r="I172" s="78">
        <f t="shared" si="47"/>
        <v>46</v>
      </c>
      <c r="J172" s="78">
        <f t="shared" si="47"/>
        <v>45</v>
      </c>
      <c r="K172" s="78">
        <f t="shared" si="46"/>
        <v>44</v>
      </c>
      <c r="L172" s="78">
        <f t="shared" si="46"/>
        <v>43</v>
      </c>
      <c r="M172" s="78">
        <f t="shared" si="46"/>
        <v>42</v>
      </c>
      <c r="N172" s="45"/>
    </row>
    <row r="173" spans="1:14">
      <c r="A173" s="74">
        <v>6</v>
      </c>
      <c r="C173" s="74" t="s">
        <v>364</v>
      </c>
      <c r="E173" s="181">
        <f>Inputs!$C$7+$A173</f>
        <v>51</v>
      </c>
      <c r="F173" s="78">
        <f t="shared" si="47"/>
        <v>50</v>
      </c>
      <c r="G173" s="78">
        <f t="shared" si="47"/>
        <v>49</v>
      </c>
      <c r="H173" s="78">
        <f t="shared" si="47"/>
        <v>48</v>
      </c>
      <c r="I173" s="78">
        <f t="shared" si="47"/>
        <v>47</v>
      </c>
      <c r="J173" s="78">
        <f t="shared" si="47"/>
        <v>46</v>
      </c>
      <c r="K173" s="78">
        <f t="shared" si="46"/>
        <v>45</v>
      </c>
      <c r="L173" s="78">
        <f t="shared" si="46"/>
        <v>44</v>
      </c>
      <c r="M173" s="78">
        <f t="shared" si="46"/>
        <v>43</v>
      </c>
      <c r="N173" s="45"/>
    </row>
    <row r="174" spans="1:14">
      <c r="A174" s="74">
        <v>7</v>
      </c>
      <c r="C174" s="74" t="s">
        <v>365</v>
      </c>
      <c r="E174" s="181">
        <f>Inputs!$C$7+$A174</f>
        <v>52</v>
      </c>
      <c r="F174" s="78">
        <f t="shared" si="47"/>
        <v>51</v>
      </c>
      <c r="G174" s="78">
        <f t="shared" si="47"/>
        <v>50</v>
      </c>
      <c r="H174" s="78">
        <f t="shared" si="47"/>
        <v>49</v>
      </c>
      <c r="I174" s="78">
        <f t="shared" si="47"/>
        <v>48</v>
      </c>
      <c r="J174" s="78">
        <f t="shared" si="47"/>
        <v>47</v>
      </c>
      <c r="K174" s="78">
        <f t="shared" si="46"/>
        <v>46</v>
      </c>
      <c r="L174" s="78">
        <f t="shared" si="46"/>
        <v>45</v>
      </c>
      <c r="M174" s="78">
        <f t="shared" si="46"/>
        <v>44</v>
      </c>
      <c r="N174" s="45"/>
    </row>
    <row r="175" spans="1:14">
      <c r="A175" s="74">
        <v>8</v>
      </c>
      <c r="C175" s="74" t="s">
        <v>366</v>
      </c>
      <c r="E175" s="181">
        <f>Inputs!$C$7+$A175</f>
        <v>53</v>
      </c>
      <c r="F175" s="78">
        <f t="shared" si="47"/>
        <v>52</v>
      </c>
      <c r="G175" s="78">
        <f t="shared" si="47"/>
        <v>51</v>
      </c>
      <c r="H175" s="78">
        <f t="shared" si="47"/>
        <v>50</v>
      </c>
      <c r="I175" s="78">
        <f t="shared" si="47"/>
        <v>49</v>
      </c>
      <c r="J175" s="78">
        <f t="shared" si="47"/>
        <v>48</v>
      </c>
      <c r="K175" s="78">
        <f t="shared" si="46"/>
        <v>47</v>
      </c>
      <c r="L175" s="78">
        <f t="shared" si="46"/>
        <v>46</v>
      </c>
      <c r="M175" s="78">
        <f t="shared" si="46"/>
        <v>45</v>
      </c>
      <c r="N175" s="45"/>
    </row>
    <row r="176" spans="1:14">
      <c r="A176" s="74">
        <v>9</v>
      </c>
      <c r="C176" s="74" t="s">
        <v>367</v>
      </c>
      <c r="E176" s="181">
        <f>Inputs!$C$7+$A176</f>
        <v>54</v>
      </c>
      <c r="F176" s="78">
        <f t="shared" si="47"/>
        <v>53</v>
      </c>
      <c r="G176" s="78">
        <f t="shared" si="47"/>
        <v>52</v>
      </c>
      <c r="H176" s="78">
        <f t="shared" si="47"/>
        <v>51</v>
      </c>
      <c r="I176" s="78">
        <f t="shared" si="47"/>
        <v>50</v>
      </c>
      <c r="J176" s="78">
        <f t="shared" si="47"/>
        <v>49</v>
      </c>
      <c r="K176" s="78">
        <f t="shared" si="46"/>
        <v>48</v>
      </c>
      <c r="L176" s="78">
        <f t="shared" si="46"/>
        <v>47</v>
      </c>
      <c r="M176" s="78">
        <f t="shared" si="46"/>
        <v>46</v>
      </c>
      <c r="N176" s="45"/>
    </row>
    <row r="177" spans="1:14">
      <c r="A177" s="74">
        <v>1</v>
      </c>
      <c r="C177" s="74" t="s">
        <v>404</v>
      </c>
      <c r="E177" s="78">
        <f t="shared" ref="E177:M185" si="48">E159/E168</f>
        <v>0</v>
      </c>
      <c r="F177" s="78">
        <f t="shared" si="48"/>
        <v>0</v>
      </c>
      <c r="G177" s="78">
        <f t="shared" si="48"/>
        <v>0</v>
      </c>
      <c r="H177" s="78">
        <f t="shared" si="48"/>
        <v>0</v>
      </c>
      <c r="I177" s="78">
        <f t="shared" si="48"/>
        <v>0</v>
      </c>
      <c r="J177" s="78">
        <f t="shared" si="48"/>
        <v>0</v>
      </c>
      <c r="K177" s="78">
        <f t="shared" si="48"/>
        <v>0</v>
      </c>
      <c r="L177" s="78">
        <f t="shared" si="48"/>
        <v>0</v>
      </c>
      <c r="M177" s="78">
        <f t="shared" si="48"/>
        <v>0</v>
      </c>
      <c r="N177" s="45"/>
    </row>
    <row r="178" spans="1:14">
      <c r="A178" s="74">
        <v>2</v>
      </c>
      <c r="C178" s="74" t="s">
        <v>405</v>
      </c>
      <c r="E178" s="78">
        <f t="shared" si="48"/>
        <v>0</v>
      </c>
      <c r="F178" s="78">
        <f t="shared" si="48"/>
        <v>0</v>
      </c>
      <c r="G178" s="78">
        <f t="shared" si="48"/>
        <v>15.888888888888889</v>
      </c>
      <c r="H178" s="78">
        <f t="shared" si="48"/>
        <v>15.888888888888888</v>
      </c>
      <c r="I178" s="78">
        <f t="shared" si="48"/>
        <v>15.888888888888888</v>
      </c>
      <c r="J178" s="78">
        <f t="shared" si="48"/>
        <v>15.888888888888888</v>
      </c>
      <c r="K178" s="78">
        <f t="shared" si="48"/>
        <v>15.888888888888886</v>
      </c>
      <c r="L178" s="78">
        <f t="shared" si="48"/>
        <v>15.888888888888886</v>
      </c>
      <c r="M178" s="78">
        <f t="shared" si="48"/>
        <v>15.888888888888886</v>
      </c>
      <c r="N178" s="45"/>
    </row>
    <row r="179" spans="1:14">
      <c r="A179" s="74">
        <v>3</v>
      </c>
      <c r="C179" s="74" t="s">
        <v>406</v>
      </c>
      <c r="E179" s="78">
        <f t="shared" si="48"/>
        <v>0</v>
      </c>
      <c r="F179" s="78">
        <f t="shared" si="48"/>
        <v>0</v>
      </c>
      <c r="G179" s="78">
        <f t="shared" si="48"/>
        <v>0</v>
      </c>
      <c r="H179" s="78">
        <f t="shared" si="48"/>
        <v>14.547884388438698</v>
      </c>
      <c r="I179" s="78">
        <f t="shared" si="48"/>
        <v>14.5478843884387</v>
      </c>
      <c r="J179" s="78">
        <f t="shared" si="48"/>
        <v>14.5478843884387</v>
      </c>
      <c r="K179" s="78">
        <f t="shared" si="48"/>
        <v>14.547884388438701</v>
      </c>
      <c r="L179" s="78">
        <f t="shared" si="48"/>
        <v>14.547884388438701</v>
      </c>
      <c r="M179" s="78">
        <f t="shared" si="48"/>
        <v>14.547884388438703</v>
      </c>
      <c r="N179" s="45"/>
    </row>
    <row r="180" spans="1:14">
      <c r="A180" s="74">
        <v>4</v>
      </c>
      <c r="C180" s="74" t="s">
        <v>407</v>
      </c>
      <c r="E180" s="78">
        <f t="shared" si="48"/>
        <v>0</v>
      </c>
      <c r="F180" s="78">
        <f t="shared" si="48"/>
        <v>0</v>
      </c>
      <c r="G180" s="78">
        <f t="shared" si="48"/>
        <v>0</v>
      </c>
      <c r="H180" s="78">
        <f t="shared" si="48"/>
        <v>0</v>
      </c>
      <c r="I180" s="78">
        <f t="shared" si="48"/>
        <v>15.400326523457847</v>
      </c>
      <c r="J180" s="78">
        <f t="shared" si="48"/>
        <v>15.400326523457847</v>
      </c>
      <c r="K180" s="78">
        <f t="shared" si="48"/>
        <v>15.400326523457849</v>
      </c>
      <c r="L180" s="78">
        <f t="shared" si="48"/>
        <v>15.400326523457849</v>
      </c>
      <c r="M180" s="78">
        <f t="shared" si="48"/>
        <v>15.400326523457851</v>
      </c>
      <c r="N180" s="45"/>
    </row>
    <row r="181" spans="1:14">
      <c r="A181" s="74">
        <v>5</v>
      </c>
      <c r="C181" s="74" t="s">
        <v>408</v>
      </c>
      <c r="E181" s="78">
        <f t="shared" si="48"/>
        <v>0</v>
      </c>
      <c r="F181" s="78">
        <f t="shared" si="48"/>
        <v>0</v>
      </c>
      <c r="G181" s="78">
        <f t="shared" si="48"/>
        <v>0</v>
      </c>
      <c r="H181" s="78">
        <f t="shared" si="48"/>
        <v>0</v>
      </c>
      <c r="I181" s="78">
        <f t="shared" si="48"/>
        <v>0</v>
      </c>
      <c r="J181" s="78">
        <f t="shared" si="48"/>
        <v>16.073235077786908</v>
      </c>
      <c r="K181" s="78">
        <f t="shared" si="48"/>
        <v>16.073235077786908</v>
      </c>
      <c r="L181" s="78">
        <f t="shared" si="48"/>
        <v>16.073235077786912</v>
      </c>
      <c r="M181" s="78">
        <f t="shared" si="48"/>
        <v>16.073235077786912</v>
      </c>
      <c r="N181" s="45"/>
    </row>
    <row r="182" spans="1:14">
      <c r="A182" s="74">
        <v>6</v>
      </c>
      <c r="C182" s="74" t="s">
        <v>409</v>
      </c>
      <c r="E182" s="78">
        <f t="shared" si="48"/>
        <v>0</v>
      </c>
      <c r="F182" s="78">
        <f t="shared" si="48"/>
        <v>0</v>
      </c>
      <c r="G182" s="78">
        <f t="shared" si="48"/>
        <v>0</v>
      </c>
      <c r="H182" s="78">
        <f t="shared" si="48"/>
        <v>0</v>
      </c>
      <c r="I182" s="78">
        <f t="shared" si="48"/>
        <v>0</v>
      </c>
      <c r="J182" s="78">
        <f t="shared" si="48"/>
        <v>0</v>
      </c>
      <c r="K182" s="78">
        <f t="shared" si="48"/>
        <v>16.38070234552319</v>
      </c>
      <c r="L182" s="78">
        <f t="shared" si="48"/>
        <v>16.38070234552319</v>
      </c>
      <c r="M182" s="78">
        <f t="shared" si="48"/>
        <v>16.38070234552319</v>
      </c>
      <c r="N182" s="45"/>
    </row>
    <row r="183" spans="1:14">
      <c r="A183" s="74">
        <v>7</v>
      </c>
      <c r="C183" s="74" t="s">
        <v>410</v>
      </c>
      <c r="E183" s="78">
        <f t="shared" si="48"/>
        <v>0</v>
      </c>
      <c r="F183" s="78">
        <f t="shared" si="48"/>
        <v>0</v>
      </c>
      <c r="G183" s="78">
        <f t="shared" si="48"/>
        <v>0</v>
      </c>
      <c r="H183" s="78">
        <f t="shared" si="48"/>
        <v>0</v>
      </c>
      <c r="I183" s="78">
        <f t="shared" si="48"/>
        <v>0</v>
      </c>
      <c r="J183" s="78">
        <f t="shared" si="48"/>
        <v>0</v>
      </c>
      <c r="K183" s="78">
        <f t="shared" si="48"/>
        <v>0</v>
      </c>
      <c r="L183" s="78">
        <f t="shared" si="48"/>
        <v>18.553269511928573</v>
      </c>
      <c r="M183" s="78">
        <f t="shared" si="48"/>
        <v>18.553269511928576</v>
      </c>
      <c r="N183" s="45"/>
    </row>
    <row r="184" spans="1:14">
      <c r="A184" s="74">
        <v>8</v>
      </c>
      <c r="C184" s="74" t="s">
        <v>411</v>
      </c>
      <c r="E184" s="78">
        <f t="shared" si="48"/>
        <v>0</v>
      </c>
      <c r="F184" s="78">
        <f t="shared" si="48"/>
        <v>0</v>
      </c>
      <c r="G184" s="78">
        <f t="shared" si="48"/>
        <v>0</v>
      </c>
      <c r="H184" s="78">
        <f t="shared" si="48"/>
        <v>0</v>
      </c>
      <c r="I184" s="78">
        <f t="shared" si="48"/>
        <v>0</v>
      </c>
      <c r="J184" s="78">
        <f t="shared" si="48"/>
        <v>0</v>
      </c>
      <c r="K184" s="78">
        <f t="shared" si="48"/>
        <v>0</v>
      </c>
      <c r="L184" s="78">
        <f t="shared" si="48"/>
        <v>0</v>
      </c>
      <c r="M184" s="78">
        <f t="shared" si="48"/>
        <v>18.923785321725816</v>
      </c>
      <c r="N184" s="45"/>
    </row>
    <row r="185" spans="1:14">
      <c r="A185" s="74">
        <v>9</v>
      </c>
      <c r="C185" s="74" t="s">
        <v>412</v>
      </c>
      <c r="E185" s="78">
        <f t="shared" si="48"/>
        <v>0</v>
      </c>
      <c r="F185" s="78">
        <f t="shared" si="48"/>
        <v>0</v>
      </c>
      <c r="G185" s="78">
        <f t="shared" si="48"/>
        <v>0</v>
      </c>
      <c r="H185" s="78">
        <f t="shared" si="48"/>
        <v>0</v>
      </c>
      <c r="I185" s="78">
        <f t="shared" si="48"/>
        <v>0</v>
      </c>
      <c r="J185" s="78">
        <f t="shared" si="48"/>
        <v>0</v>
      </c>
      <c r="K185" s="78">
        <f t="shared" si="48"/>
        <v>0</v>
      </c>
      <c r="L185" s="78">
        <f t="shared" si="48"/>
        <v>0</v>
      </c>
      <c r="M185" s="78">
        <f t="shared" si="48"/>
        <v>0</v>
      </c>
      <c r="N185" s="45"/>
    </row>
    <row r="186" spans="1:14">
      <c r="A186" s="74">
        <v>1</v>
      </c>
      <c r="C186" s="74" t="s">
        <v>413</v>
      </c>
      <c r="E186" s="78">
        <f t="shared" ref="E186:M194" si="49">E159-E177+IF($A186=E$157,E$158,0)</f>
        <v>0</v>
      </c>
      <c r="F186" s="78">
        <f t="shared" si="49"/>
        <v>0</v>
      </c>
      <c r="G186" s="78">
        <f t="shared" si="49"/>
        <v>0</v>
      </c>
      <c r="H186" s="78">
        <f t="shared" si="49"/>
        <v>0</v>
      </c>
      <c r="I186" s="78">
        <f t="shared" si="49"/>
        <v>0</v>
      </c>
      <c r="J186" s="78">
        <f t="shared" si="49"/>
        <v>0</v>
      </c>
      <c r="K186" s="78">
        <f t="shared" si="49"/>
        <v>0</v>
      </c>
      <c r="L186" s="78">
        <f t="shared" si="49"/>
        <v>0</v>
      </c>
      <c r="M186" s="78">
        <f t="shared" si="49"/>
        <v>0</v>
      </c>
      <c r="N186" s="45"/>
    </row>
    <row r="187" spans="1:14">
      <c r="A187" s="74">
        <v>2</v>
      </c>
      <c r="C187" s="74" t="s">
        <v>414</v>
      </c>
      <c r="E187" s="78">
        <f t="shared" si="49"/>
        <v>0</v>
      </c>
      <c r="F187" s="78">
        <f t="shared" si="49"/>
        <v>715</v>
      </c>
      <c r="G187" s="78">
        <f t="shared" si="49"/>
        <v>699.11111111111109</v>
      </c>
      <c r="H187" s="78">
        <f t="shared" si="49"/>
        <v>683.22222222222217</v>
      </c>
      <c r="I187" s="78">
        <f t="shared" si="49"/>
        <v>667.33333333333326</v>
      </c>
      <c r="J187" s="78">
        <f t="shared" si="49"/>
        <v>651.44444444444434</v>
      </c>
      <c r="K187" s="78">
        <f t="shared" si="49"/>
        <v>635.55555555555543</v>
      </c>
      <c r="L187" s="78">
        <f t="shared" si="49"/>
        <v>619.66666666666652</v>
      </c>
      <c r="M187" s="78">
        <f t="shared" si="49"/>
        <v>603.7777777777776</v>
      </c>
      <c r="N187" s="45"/>
    </row>
    <row r="188" spans="1:14">
      <c r="A188" s="74">
        <v>3</v>
      </c>
      <c r="C188" s="74" t="s">
        <v>415</v>
      </c>
      <c r="E188" s="78">
        <f t="shared" si="49"/>
        <v>0</v>
      </c>
      <c r="F188" s="78">
        <f t="shared" si="49"/>
        <v>0</v>
      </c>
      <c r="G188" s="78">
        <f t="shared" si="49"/>
        <v>654.65479747974143</v>
      </c>
      <c r="H188" s="78">
        <f t="shared" si="49"/>
        <v>640.10691309130277</v>
      </c>
      <c r="I188" s="78">
        <f t="shared" si="49"/>
        <v>625.55902870286411</v>
      </c>
      <c r="J188" s="78">
        <f t="shared" si="49"/>
        <v>611.01114431442545</v>
      </c>
      <c r="K188" s="78">
        <f t="shared" si="49"/>
        <v>596.46325992598679</v>
      </c>
      <c r="L188" s="78">
        <f t="shared" si="49"/>
        <v>581.91537553754813</v>
      </c>
      <c r="M188" s="78">
        <f t="shared" si="49"/>
        <v>567.36749114910947</v>
      </c>
      <c r="N188" s="45"/>
    </row>
    <row r="189" spans="1:14">
      <c r="A189" s="74">
        <v>4</v>
      </c>
      <c r="C189" s="74" t="s">
        <v>416</v>
      </c>
      <c r="E189" s="78">
        <f t="shared" si="49"/>
        <v>0</v>
      </c>
      <c r="F189" s="78">
        <f t="shared" si="49"/>
        <v>0</v>
      </c>
      <c r="G189" s="78">
        <f t="shared" si="49"/>
        <v>0</v>
      </c>
      <c r="H189" s="78">
        <f t="shared" si="49"/>
        <v>693.01469355560312</v>
      </c>
      <c r="I189" s="78">
        <f t="shared" si="49"/>
        <v>677.61436703214531</v>
      </c>
      <c r="J189" s="78">
        <f t="shared" si="49"/>
        <v>662.2140405086875</v>
      </c>
      <c r="K189" s="78">
        <f t="shared" si="49"/>
        <v>646.8137139852297</v>
      </c>
      <c r="L189" s="78">
        <f t="shared" si="49"/>
        <v>631.41338746177189</v>
      </c>
      <c r="M189" s="78">
        <f t="shared" si="49"/>
        <v>616.01306093831408</v>
      </c>
      <c r="N189" s="45"/>
    </row>
    <row r="190" spans="1:14">
      <c r="A190" s="74">
        <v>5</v>
      </c>
      <c r="C190" s="74" t="s">
        <v>417</v>
      </c>
      <c r="E190" s="78">
        <f t="shared" si="49"/>
        <v>0</v>
      </c>
      <c r="F190" s="78">
        <f t="shared" si="49"/>
        <v>0</v>
      </c>
      <c r="G190" s="78">
        <f t="shared" si="49"/>
        <v>0</v>
      </c>
      <c r="H190" s="78">
        <f t="shared" si="49"/>
        <v>0</v>
      </c>
      <c r="I190" s="78">
        <f t="shared" si="49"/>
        <v>723.2955785004109</v>
      </c>
      <c r="J190" s="78">
        <f t="shared" si="49"/>
        <v>707.22234342262402</v>
      </c>
      <c r="K190" s="78">
        <f t="shared" si="49"/>
        <v>691.14910834483715</v>
      </c>
      <c r="L190" s="78">
        <f t="shared" si="49"/>
        <v>675.07587326705027</v>
      </c>
      <c r="M190" s="78">
        <f t="shared" si="49"/>
        <v>659.00263818926339</v>
      </c>
      <c r="N190" s="45"/>
    </row>
    <row r="191" spans="1:14">
      <c r="A191" s="74">
        <v>6</v>
      </c>
      <c r="C191" s="74" t="s">
        <v>418</v>
      </c>
      <c r="E191" s="78">
        <f t="shared" si="49"/>
        <v>0</v>
      </c>
      <c r="F191" s="78">
        <f t="shared" si="49"/>
        <v>0</v>
      </c>
      <c r="G191" s="78">
        <f t="shared" si="49"/>
        <v>0</v>
      </c>
      <c r="H191" s="78">
        <f t="shared" si="49"/>
        <v>0</v>
      </c>
      <c r="I191" s="78">
        <f t="shared" si="49"/>
        <v>0</v>
      </c>
      <c r="J191" s="78">
        <f t="shared" si="49"/>
        <v>737.13160554854358</v>
      </c>
      <c r="K191" s="78">
        <f t="shared" si="49"/>
        <v>720.75090320302036</v>
      </c>
      <c r="L191" s="78">
        <f t="shared" si="49"/>
        <v>704.37020085749714</v>
      </c>
      <c r="M191" s="78">
        <f t="shared" si="49"/>
        <v>687.98949851197392</v>
      </c>
      <c r="N191" s="45"/>
    </row>
    <row r="192" spans="1:14">
      <c r="A192" s="74">
        <v>7</v>
      </c>
      <c r="C192" s="74" t="s">
        <v>419</v>
      </c>
      <c r="E192" s="78">
        <f t="shared" si="49"/>
        <v>0</v>
      </c>
      <c r="F192" s="78">
        <f t="shared" si="49"/>
        <v>0</v>
      </c>
      <c r="G192" s="78">
        <f t="shared" si="49"/>
        <v>0</v>
      </c>
      <c r="H192" s="78">
        <f t="shared" si="49"/>
        <v>0</v>
      </c>
      <c r="I192" s="78">
        <f t="shared" si="49"/>
        <v>0</v>
      </c>
      <c r="J192" s="78">
        <f t="shared" si="49"/>
        <v>0</v>
      </c>
      <c r="K192" s="78">
        <f t="shared" si="49"/>
        <v>834.89712803678583</v>
      </c>
      <c r="L192" s="78">
        <f t="shared" si="49"/>
        <v>816.3438585248573</v>
      </c>
      <c r="M192" s="78">
        <f t="shared" si="49"/>
        <v>797.79058901292876</v>
      </c>
      <c r="N192" s="45"/>
    </row>
    <row r="193" spans="1:14">
      <c r="A193" s="74">
        <v>8</v>
      </c>
      <c r="C193" s="74" t="s">
        <v>420</v>
      </c>
      <c r="E193" s="78">
        <f t="shared" si="49"/>
        <v>0</v>
      </c>
      <c r="F193" s="78">
        <f t="shared" si="49"/>
        <v>0</v>
      </c>
      <c r="G193" s="78">
        <f t="shared" si="49"/>
        <v>0</v>
      </c>
      <c r="H193" s="78">
        <f t="shared" si="49"/>
        <v>0</v>
      </c>
      <c r="I193" s="78">
        <f t="shared" si="49"/>
        <v>0</v>
      </c>
      <c r="J193" s="78">
        <f t="shared" si="49"/>
        <v>0</v>
      </c>
      <c r="K193" s="78">
        <f t="shared" si="49"/>
        <v>0</v>
      </c>
      <c r="L193" s="78">
        <f t="shared" si="49"/>
        <v>851.57033947766172</v>
      </c>
      <c r="M193" s="78">
        <f t="shared" si="49"/>
        <v>832.64655415593586</v>
      </c>
      <c r="N193" s="45"/>
    </row>
    <row r="194" spans="1:14">
      <c r="A194" s="74">
        <v>9</v>
      </c>
      <c r="C194" s="74" t="s">
        <v>421</v>
      </c>
      <c r="E194" s="78">
        <f t="shared" si="49"/>
        <v>0</v>
      </c>
      <c r="F194" s="78">
        <f t="shared" si="49"/>
        <v>0</v>
      </c>
      <c r="G194" s="78">
        <f t="shared" si="49"/>
        <v>0</v>
      </c>
      <c r="H194" s="78">
        <f t="shared" si="49"/>
        <v>0</v>
      </c>
      <c r="I194" s="78">
        <f t="shared" si="49"/>
        <v>0</v>
      </c>
      <c r="J194" s="78">
        <f t="shared" si="49"/>
        <v>0</v>
      </c>
      <c r="K194" s="78">
        <f t="shared" si="49"/>
        <v>0</v>
      </c>
      <c r="L194" s="78">
        <f t="shared" si="49"/>
        <v>0</v>
      </c>
      <c r="M194" s="78">
        <f t="shared" si="49"/>
        <v>868.30316791604878</v>
      </c>
      <c r="N194" s="45"/>
    </row>
    <row r="195" spans="1:14">
      <c r="C195" s="74" t="s">
        <v>47</v>
      </c>
      <c r="E195" s="78">
        <f>SUM(E159:E167)</f>
        <v>0</v>
      </c>
      <c r="F195" s="78">
        <f t="shared" ref="F195:M195" si="50">SUM(F159:F167)</f>
        <v>0</v>
      </c>
      <c r="G195" s="78">
        <f t="shared" si="50"/>
        <v>715</v>
      </c>
      <c r="H195" s="78">
        <f>SUM(H159:H167)</f>
        <v>1353.7659085908526</v>
      </c>
      <c r="I195" s="78">
        <f t="shared" si="50"/>
        <v>2016.3438288691282</v>
      </c>
      <c r="J195" s="78">
        <f t="shared" si="50"/>
        <v>2693.8023075687538</v>
      </c>
      <c r="K195" s="78">
        <f t="shared" si="50"/>
        <v>3369.0235782387249</v>
      </c>
      <c r="L195" s="78">
        <f t="shared" si="50"/>
        <v>4125.6296690514155</v>
      </c>
      <c r="M195" s="78">
        <f t="shared" si="50"/>
        <v>4880.3557017930525</v>
      </c>
      <c r="N195" s="45"/>
    </row>
    <row r="196" spans="1:14">
      <c r="C196" s="74" t="s">
        <v>43</v>
      </c>
      <c r="E196" s="78">
        <f>SUM(E177:E185)</f>
        <v>0</v>
      </c>
      <c r="F196" s="78">
        <f t="shared" ref="F196:M196" si="51">SUM(F177:F185)</f>
        <v>0</v>
      </c>
      <c r="G196" s="78">
        <f t="shared" si="51"/>
        <v>15.888888888888889</v>
      </c>
      <c r="H196" s="78">
        <f t="shared" si="51"/>
        <v>30.436773277327585</v>
      </c>
      <c r="I196" s="78">
        <f t="shared" si="51"/>
        <v>45.837099800785438</v>
      </c>
      <c r="J196" s="78">
        <f t="shared" si="51"/>
        <v>61.910334878572343</v>
      </c>
      <c r="K196" s="78">
        <f t="shared" si="51"/>
        <v>78.291037224095533</v>
      </c>
      <c r="L196" s="78">
        <f t="shared" si="51"/>
        <v>96.844306736024109</v>
      </c>
      <c r="M196" s="78">
        <f t="shared" si="51"/>
        <v>115.76809205774993</v>
      </c>
      <c r="N196" s="45"/>
    </row>
    <row r="197" spans="1:14" s="40" customFormat="1">
      <c r="C197" s="40" t="s">
        <v>48</v>
      </c>
      <c r="E197" s="63">
        <f>SUM(E186:E194)</f>
        <v>0</v>
      </c>
      <c r="F197" s="63">
        <f t="shared" ref="F197:M197" si="52">SUM(F186:F194)</f>
        <v>715</v>
      </c>
      <c r="G197" s="63">
        <f t="shared" si="52"/>
        <v>1353.7659085908526</v>
      </c>
      <c r="H197" s="63">
        <f t="shared" si="52"/>
        <v>2016.3438288691282</v>
      </c>
      <c r="I197" s="63">
        <f t="shared" si="52"/>
        <v>2693.8023075687538</v>
      </c>
      <c r="J197" s="63">
        <f t="shared" si="52"/>
        <v>3369.0235782387249</v>
      </c>
      <c r="K197" s="63">
        <f t="shared" si="52"/>
        <v>4125.6296690514155</v>
      </c>
      <c r="L197" s="63">
        <f t="shared" si="52"/>
        <v>4880.3557017930525</v>
      </c>
      <c r="M197" s="63">
        <f t="shared" si="52"/>
        <v>5632.8907776513515</v>
      </c>
      <c r="N197" s="70"/>
    </row>
    <row r="198" spans="1:14" s="40" customFormat="1">
      <c r="E198" s="63"/>
      <c r="F198" s="63"/>
      <c r="G198" s="63"/>
      <c r="H198" s="63"/>
      <c r="I198" s="63"/>
      <c r="J198" s="63"/>
      <c r="K198" s="63"/>
      <c r="L198" s="63"/>
      <c r="M198" s="63"/>
      <c r="N198" s="70"/>
    </row>
    <row r="199" spans="1:14" ht="15.75">
      <c r="C199" s="5" t="s">
        <v>199</v>
      </c>
      <c r="N199" s="45"/>
    </row>
    <row r="200" spans="1:14">
      <c r="C200" s="74" t="s">
        <v>45</v>
      </c>
      <c r="E200" s="63">
        <f>E97</f>
        <v>22386</v>
      </c>
      <c r="F200" s="182">
        <f>F26-E99</f>
        <v>22110.290423681778</v>
      </c>
      <c r="G200" s="78">
        <f t="shared" ref="G200:M200" si="53">F203</f>
        <v>21233.064683031593</v>
      </c>
      <c r="H200" s="78">
        <f t="shared" si="53"/>
        <v>20355.838942381408</v>
      </c>
      <c r="I200" s="78">
        <f t="shared" si="53"/>
        <v>19478.613201731223</v>
      </c>
      <c r="J200" s="78">
        <f t="shared" si="53"/>
        <v>18601.387461081038</v>
      </c>
      <c r="K200" s="78">
        <f t="shared" si="53"/>
        <v>17724.161720430853</v>
      </c>
      <c r="L200" s="78">
        <f t="shared" si="53"/>
        <v>16846.935979780668</v>
      </c>
      <c r="M200" s="78">
        <f t="shared" si="53"/>
        <v>15969.710239130483</v>
      </c>
      <c r="N200" s="45"/>
    </row>
    <row r="201" spans="1:14">
      <c r="C201" s="74" t="s">
        <v>23</v>
      </c>
      <c r="E201" s="78">
        <f t="shared" ref="E201:M201" si="54">E93</f>
        <v>0</v>
      </c>
      <c r="F201" s="78">
        <f t="shared" si="54"/>
        <v>0</v>
      </c>
      <c r="G201" s="78">
        <f t="shared" si="54"/>
        <v>0</v>
      </c>
      <c r="H201" s="78">
        <f t="shared" si="54"/>
        <v>0</v>
      </c>
      <c r="I201" s="78">
        <f t="shared" si="54"/>
        <v>0</v>
      </c>
      <c r="J201" s="78">
        <f t="shared" si="54"/>
        <v>0</v>
      </c>
      <c r="K201" s="78">
        <f t="shared" si="54"/>
        <v>0</v>
      </c>
      <c r="L201" s="78">
        <f t="shared" si="54"/>
        <v>0</v>
      </c>
      <c r="M201" s="78">
        <f t="shared" si="54"/>
        <v>0</v>
      </c>
      <c r="N201" s="45"/>
    </row>
    <row r="202" spans="1:14">
      <c r="C202" s="80" t="s">
        <v>44</v>
      </c>
      <c r="E202" s="78">
        <f t="shared" ref="E202:M202" si="55">E200/E$91</f>
        <v>854.27130490353795</v>
      </c>
      <c r="F202" s="78">
        <f t="shared" si="55"/>
        <v>877.22574065018478</v>
      </c>
      <c r="G202" s="78">
        <f t="shared" si="55"/>
        <v>877.22574065018478</v>
      </c>
      <c r="H202" s="78">
        <f t="shared" si="55"/>
        <v>877.22574065018478</v>
      </c>
      <c r="I202" s="78">
        <f t="shared" si="55"/>
        <v>877.22574065018478</v>
      </c>
      <c r="J202" s="78">
        <f t="shared" si="55"/>
        <v>877.22574065018478</v>
      </c>
      <c r="K202" s="78">
        <f t="shared" si="55"/>
        <v>877.22574065018478</v>
      </c>
      <c r="L202" s="78">
        <f t="shared" si="55"/>
        <v>877.22574065018478</v>
      </c>
      <c r="M202" s="78">
        <f t="shared" si="55"/>
        <v>877.22574065018478</v>
      </c>
      <c r="N202" s="45"/>
    </row>
    <row r="203" spans="1:14">
      <c r="C203" s="74" t="s">
        <v>42</v>
      </c>
      <c r="E203" s="78"/>
      <c r="F203" s="78">
        <f t="shared" ref="F203:M203" si="56">F200-F201-F202</f>
        <v>21233.064683031593</v>
      </c>
      <c r="G203" s="78">
        <f t="shared" si="56"/>
        <v>20355.838942381408</v>
      </c>
      <c r="H203" s="78">
        <f t="shared" si="56"/>
        <v>19478.613201731223</v>
      </c>
      <c r="I203" s="78">
        <f t="shared" si="56"/>
        <v>18601.387461081038</v>
      </c>
      <c r="J203" s="78">
        <f t="shared" si="56"/>
        <v>17724.161720430853</v>
      </c>
      <c r="K203" s="78">
        <f t="shared" si="56"/>
        <v>16846.935979780668</v>
      </c>
      <c r="L203" s="78">
        <f t="shared" si="56"/>
        <v>15969.710239130483</v>
      </c>
      <c r="M203" s="78">
        <f t="shared" si="56"/>
        <v>15092.484498480298</v>
      </c>
      <c r="N203" s="45"/>
    </row>
    <row r="204" spans="1:14">
      <c r="E204" s="78"/>
      <c r="F204" s="78"/>
      <c r="G204" s="78"/>
      <c r="H204" s="78"/>
      <c r="I204" s="78"/>
      <c r="J204" s="78"/>
      <c r="K204" s="78"/>
      <c r="L204" s="78"/>
      <c r="M204" s="78"/>
      <c r="N204" s="45"/>
    </row>
    <row r="205" spans="1:14" ht="15.75">
      <c r="C205" s="5" t="s">
        <v>46</v>
      </c>
      <c r="E205" s="109"/>
      <c r="F205" s="109"/>
      <c r="G205" s="109"/>
      <c r="H205" s="109"/>
      <c r="I205" s="109"/>
      <c r="J205" s="109"/>
      <c r="K205" s="109"/>
      <c r="L205" s="109"/>
      <c r="M205" s="109"/>
      <c r="N205" s="45"/>
    </row>
    <row r="206" spans="1:14">
      <c r="C206" s="74" t="s">
        <v>111</v>
      </c>
      <c r="E206" s="63">
        <f>E97</f>
        <v>22386</v>
      </c>
      <c r="F206" s="181">
        <f>F97</f>
        <v>22482.672525439408</v>
      </c>
      <c r="G206" s="78">
        <f t="shared" ref="G206:M206" si="57">G97+G151</f>
        <v>23027.376782876618</v>
      </c>
      <c r="H206" s="78">
        <f t="shared" si="57"/>
        <v>22963.043223532353</v>
      </c>
      <c r="I206" s="78">
        <f t="shared" si="57"/>
        <v>23185.558602752833</v>
      </c>
      <c r="J206" s="78">
        <f t="shared" si="57"/>
        <v>23376.447768952916</v>
      </c>
      <c r="K206" s="78">
        <f t="shared" si="57"/>
        <v>23595.313845630302</v>
      </c>
      <c r="L206" s="78">
        <f t="shared" si="57"/>
        <v>23851.134296217428</v>
      </c>
      <c r="M206" s="78">
        <f t="shared" si="57"/>
        <v>24061.13908998475</v>
      </c>
      <c r="N206" s="45"/>
    </row>
    <row r="207" spans="1:14">
      <c r="C207" s="74" t="s">
        <v>110</v>
      </c>
      <c r="E207" s="78">
        <f t="shared" ref="E207:M209" si="58">E99+E152</f>
        <v>372.38210175763021</v>
      </c>
      <c r="F207" s="78">
        <f t="shared" si="58"/>
        <v>721.70425743720966</v>
      </c>
      <c r="G207" s="78">
        <f t="shared" si="58"/>
        <v>218.71712054194583</v>
      </c>
      <c r="H207" s="78">
        <f t="shared" si="58"/>
        <v>491.04111181443238</v>
      </c>
      <c r="I207" s="78">
        <f t="shared" si="58"/>
        <v>466.00687650409674</v>
      </c>
      <c r="J207" s="78">
        <f t="shared" si="58"/>
        <v>517.21116880221837</v>
      </c>
      <c r="K207" s="78">
        <f t="shared" si="58"/>
        <v>496.78690633532466</v>
      </c>
      <c r="L207" s="78">
        <f t="shared" si="58"/>
        <v>476.6323039616226</v>
      </c>
      <c r="M207" s="78">
        <f t="shared" si="58"/>
        <v>480.84492732818569</v>
      </c>
      <c r="N207" s="45"/>
    </row>
    <row r="208" spans="1:14">
      <c r="C208" s="74" t="s">
        <v>109</v>
      </c>
      <c r="E208" s="78"/>
      <c r="F208" s="78">
        <f t="shared" si="58"/>
        <v>892</v>
      </c>
      <c r="G208" s="78">
        <f t="shared" si="58"/>
        <v>937.70547736594881</v>
      </c>
      <c r="H208" s="78">
        <f t="shared" si="58"/>
        <v>961.5404261495579</v>
      </c>
      <c r="I208" s="78">
        <f t="shared" si="58"/>
        <v>998.4132888044237</v>
      </c>
      <c r="J208" s="78">
        <f t="shared" si="58"/>
        <v>1035.4766976733727</v>
      </c>
      <c r="K208" s="78">
        <f t="shared" si="58"/>
        <v>1075.8635837849856</v>
      </c>
      <c r="L208" s="78">
        <f t="shared" si="58"/>
        <v>1118.1978496719632</v>
      </c>
      <c r="M208" s="78">
        <f t="shared" si="58"/>
        <v>1160.6298529454059</v>
      </c>
      <c r="N208" s="45"/>
    </row>
    <row r="209" spans="3:15">
      <c r="C209" s="74" t="s">
        <v>112</v>
      </c>
      <c r="E209" s="78"/>
      <c r="F209" s="78">
        <f t="shared" si="58"/>
        <v>23027.376782876618</v>
      </c>
      <c r="G209" s="78">
        <f t="shared" si="58"/>
        <v>22963.043223532353</v>
      </c>
      <c r="H209" s="78">
        <f t="shared" si="58"/>
        <v>23185.558602752833</v>
      </c>
      <c r="I209" s="78">
        <f t="shared" si="58"/>
        <v>23376.447768952916</v>
      </c>
      <c r="J209" s="29">
        <f t="shared" si="58"/>
        <v>23595.313845630302</v>
      </c>
      <c r="K209" s="29">
        <f t="shared" si="58"/>
        <v>23851.134296217428</v>
      </c>
      <c r="L209" s="29">
        <f t="shared" si="58"/>
        <v>24061.13908998475</v>
      </c>
      <c r="M209" s="29">
        <f t="shared" si="58"/>
        <v>24249.657332283579</v>
      </c>
      <c r="N209" s="45"/>
    </row>
    <row r="210" spans="3:15">
      <c r="C210" s="74" t="s">
        <v>28</v>
      </c>
      <c r="E210" s="78">
        <f t="shared" ref="E210:M210" si="59">E196+E202</f>
        <v>854.27130490353795</v>
      </c>
      <c r="F210" s="78">
        <f t="shared" si="59"/>
        <v>877.22574065018478</v>
      </c>
      <c r="G210" s="78">
        <f t="shared" si="59"/>
        <v>893.11462953907369</v>
      </c>
      <c r="H210" s="78">
        <f t="shared" si="59"/>
        <v>907.66251392751235</v>
      </c>
      <c r="I210" s="78">
        <f t="shared" si="59"/>
        <v>923.06284045097027</v>
      </c>
      <c r="J210" s="78">
        <f t="shared" si="59"/>
        <v>939.13607552875715</v>
      </c>
      <c r="K210" s="78">
        <f t="shared" si="59"/>
        <v>955.51677787428025</v>
      </c>
      <c r="L210" s="78">
        <f t="shared" si="59"/>
        <v>974.0700473862089</v>
      </c>
      <c r="M210" s="78">
        <f t="shared" si="59"/>
        <v>992.99383270793464</v>
      </c>
      <c r="N210" s="45"/>
    </row>
    <row r="211" spans="3:15">
      <c r="C211" s="74" t="s">
        <v>134</v>
      </c>
      <c r="E211" s="82"/>
      <c r="F211" s="82">
        <f>F206+F158+F207-F208-F93-F209</f>
        <v>0</v>
      </c>
      <c r="G211" s="82">
        <f>G206+G158+G207-G208-G93-G209</f>
        <v>0</v>
      </c>
      <c r="H211" s="82">
        <f>H206+H158+H207-H208-H93-H209</f>
        <v>0</v>
      </c>
      <c r="I211" s="82">
        <f>I206+I158+I207-I208-I93-I209</f>
        <v>0</v>
      </c>
      <c r="J211" s="82">
        <f>J206+J158+J207-J208-J93-J209</f>
        <v>0</v>
      </c>
      <c r="K211" s="82">
        <f t="shared" ref="K211:M211" si="60">K206+K158+K207-K208-K93-K209</f>
        <v>0</v>
      </c>
      <c r="L211" s="82">
        <f t="shared" si="60"/>
        <v>0</v>
      </c>
      <c r="M211" s="82">
        <f t="shared" si="60"/>
        <v>0</v>
      </c>
      <c r="N211" s="45"/>
    </row>
    <row r="212" spans="3:15">
      <c r="F212" s="78"/>
      <c r="G212" s="78"/>
      <c r="N212" s="45"/>
    </row>
    <row r="213" spans="3:15" ht="15.75">
      <c r="C213" s="5" t="s">
        <v>56</v>
      </c>
      <c r="N213" s="45"/>
    </row>
    <row r="214" spans="3:15" ht="15.75">
      <c r="C214" s="16" t="s">
        <v>115</v>
      </c>
      <c r="E214" s="63"/>
      <c r="F214" s="116">
        <f>F206/$F$206</f>
        <v>1</v>
      </c>
      <c r="G214" s="116">
        <f t="shared" ref="G214:M214" si="61">G206/$F$206</f>
        <v>1.0242277361297181</v>
      </c>
      <c r="H214" s="116">
        <f t="shared" si="61"/>
        <v>1.0213662631766487</v>
      </c>
      <c r="I214" s="116">
        <f t="shared" si="61"/>
        <v>1.031263457514586</v>
      </c>
      <c r="J214" s="116">
        <f t="shared" si="61"/>
        <v>1.0397539590768041</v>
      </c>
      <c r="K214" s="116">
        <f t="shared" si="61"/>
        <v>1.0494888371892588</v>
      </c>
      <c r="L214" s="116">
        <f t="shared" si="61"/>
        <v>1.0608673977361718</v>
      </c>
      <c r="M214" s="116">
        <f t="shared" si="61"/>
        <v>1.070208137522765</v>
      </c>
      <c r="N214" s="45"/>
    </row>
    <row r="215" spans="3:15">
      <c r="C215" s="74" t="s">
        <v>56</v>
      </c>
      <c r="F215" s="181">
        <f>IF(F40&gt;0,F40,0)</f>
        <v>0</v>
      </c>
      <c r="G215" s="78">
        <f t="shared" ref="G215:M215" si="62">$F215*G214</f>
        <v>0</v>
      </c>
      <c r="H215" s="78">
        <f t="shared" si="62"/>
        <v>0</v>
      </c>
      <c r="I215" s="78">
        <f t="shared" si="62"/>
        <v>0</v>
      </c>
      <c r="J215" s="78">
        <f t="shared" si="62"/>
        <v>0</v>
      </c>
      <c r="K215" s="78">
        <f t="shared" si="62"/>
        <v>0</v>
      </c>
      <c r="L215" s="78">
        <f t="shared" si="62"/>
        <v>0</v>
      </c>
      <c r="M215" s="78">
        <f t="shared" si="62"/>
        <v>0</v>
      </c>
      <c r="N215" s="45"/>
    </row>
    <row r="216" spans="3:15">
      <c r="N216" s="45"/>
    </row>
    <row r="217" spans="3:15" ht="15.75">
      <c r="C217" s="5" t="s">
        <v>29</v>
      </c>
      <c r="N217" s="45"/>
    </row>
    <row r="218" spans="3:15">
      <c r="C218" s="74" t="s">
        <v>166</v>
      </c>
      <c r="D218" s="35">
        <f>F30/F31</f>
        <v>0.13604148660328436</v>
      </c>
      <c r="N218" s="45"/>
    </row>
    <row r="219" spans="3:15">
      <c r="C219" s="74" t="s">
        <v>122</v>
      </c>
      <c r="D219" s="78"/>
      <c r="E219" s="88">
        <f>E35</f>
        <v>5785</v>
      </c>
      <c r="F219" s="179">
        <f>F31</f>
        <v>5785</v>
      </c>
      <c r="G219" s="78">
        <f t="shared" ref="G219:M219" si="63">F223</f>
        <v>5713</v>
      </c>
      <c r="H219" s="78">
        <f t="shared" si="63"/>
        <v>5590.4497845151782</v>
      </c>
      <c r="I219" s="78">
        <f t="shared" si="63"/>
        <v>5522.9313786043258</v>
      </c>
      <c r="J219" s="78">
        <f t="shared" si="63"/>
        <v>5494.8791619514768</v>
      </c>
      <c r="K219" s="78">
        <f t="shared" si="63"/>
        <v>5484.4792376027326</v>
      </c>
      <c r="L219" s="78">
        <f t="shared" si="63"/>
        <v>5573.2596569111956</v>
      </c>
      <c r="M219" s="78">
        <f t="shared" si="63"/>
        <v>5666.6354674365475</v>
      </c>
      <c r="N219" s="45"/>
    </row>
    <row r="220" spans="3:15">
      <c r="C220" s="74" t="s">
        <v>17</v>
      </c>
      <c r="E220" s="181">
        <f>E36</f>
        <v>788</v>
      </c>
      <c r="F220" s="78">
        <f t="shared" ref="F220:M220" si="64">F219*$D218</f>
        <v>787</v>
      </c>
      <c r="G220" s="78">
        <f t="shared" si="64"/>
        <v>777.20501296456348</v>
      </c>
      <c r="H220" s="78">
        <f t="shared" si="64"/>
        <v>760.5330994664555</v>
      </c>
      <c r="I220" s="78">
        <f t="shared" si="64"/>
        <v>751.3477951532592</v>
      </c>
      <c r="J220" s="78">
        <f t="shared" si="64"/>
        <v>747.53152989728824</v>
      </c>
      <c r="K220" s="78">
        <f t="shared" si="64"/>
        <v>746.11670872832337</v>
      </c>
      <c r="L220" s="78">
        <f t="shared" si="64"/>
        <v>758.19452895230961</v>
      </c>
      <c r="M220" s="78">
        <f t="shared" si="64"/>
        <v>770.89751302896502</v>
      </c>
      <c r="N220" s="45"/>
    </row>
    <row r="221" spans="3:15">
      <c r="C221" s="74" t="s">
        <v>65</v>
      </c>
      <c r="E221" s="97"/>
      <c r="F221" s="78">
        <f t="shared" ref="F221:M221" si="65">F48</f>
        <v>715</v>
      </c>
      <c r="G221" s="78">
        <f t="shared" si="65"/>
        <v>654.65479747974143</v>
      </c>
      <c r="H221" s="78">
        <f t="shared" si="65"/>
        <v>693.01469355560312</v>
      </c>
      <c r="I221" s="78">
        <f t="shared" si="65"/>
        <v>723.2955785004109</v>
      </c>
      <c r="J221" s="78">
        <f t="shared" si="65"/>
        <v>737.13160554854358</v>
      </c>
      <c r="K221" s="78">
        <f t="shared" si="65"/>
        <v>834.89712803678583</v>
      </c>
      <c r="L221" s="78">
        <f t="shared" si="65"/>
        <v>851.57033947766172</v>
      </c>
      <c r="M221" s="78">
        <f t="shared" si="65"/>
        <v>868.30316791604878</v>
      </c>
      <c r="N221" s="45"/>
      <c r="O221" s="15"/>
    </row>
    <row r="222" spans="3:15">
      <c r="C222" s="74" t="s">
        <v>23</v>
      </c>
      <c r="E222" s="97"/>
      <c r="F222" s="78">
        <f t="shared" ref="F222:M222" si="66">F93</f>
        <v>0</v>
      </c>
      <c r="G222" s="78">
        <f t="shared" si="66"/>
        <v>0</v>
      </c>
      <c r="H222" s="78">
        <f t="shared" si="66"/>
        <v>0</v>
      </c>
      <c r="I222" s="78">
        <f t="shared" si="66"/>
        <v>0</v>
      </c>
      <c r="J222" s="78">
        <f t="shared" si="66"/>
        <v>0</v>
      </c>
      <c r="K222" s="78">
        <f t="shared" si="66"/>
        <v>0</v>
      </c>
      <c r="L222" s="78">
        <f t="shared" si="66"/>
        <v>0</v>
      </c>
      <c r="M222" s="78">
        <f t="shared" si="66"/>
        <v>0</v>
      </c>
      <c r="N222" s="45"/>
      <c r="O222" s="15"/>
    </row>
    <row r="223" spans="3:15">
      <c r="C223" s="74" t="s">
        <v>87</v>
      </c>
      <c r="E223" s="97"/>
      <c r="F223" s="78">
        <f t="shared" ref="F223:M223" si="67">F219-F220+F221-F222</f>
        <v>5713</v>
      </c>
      <c r="G223" s="78">
        <f t="shared" si="67"/>
        <v>5590.4497845151782</v>
      </c>
      <c r="H223" s="78">
        <f t="shared" si="67"/>
        <v>5522.9313786043258</v>
      </c>
      <c r="I223" s="78">
        <f t="shared" si="67"/>
        <v>5494.8791619514768</v>
      </c>
      <c r="J223" s="78">
        <f t="shared" si="67"/>
        <v>5484.4792376027326</v>
      </c>
      <c r="K223" s="78">
        <f t="shared" si="67"/>
        <v>5573.2596569111956</v>
      </c>
      <c r="L223" s="78">
        <f t="shared" si="67"/>
        <v>5666.6354674365475</v>
      </c>
      <c r="M223" s="78">
        <f t="shared" si="67"/>
        <v>5764.0411223236315</v>
      </c>
      <c r="N223" s="45"/>
      <c r="O223" s="15"/>
    </row>
    <row r="224" spans="3:15">
      <c r="E224" s="97"/>
      <c r="F224" s="78"/>
      <c r="G224" s="78"/>
      <c r="H224" s="78"/>
      <c r="I224" s="78"/>
      <c r="J224" s="78"/>
      <c r="K224" s="78"/>
      <c r="L224" s="78"/>
      <c r="M224" s="78"/>
      <c r="N224" s="45"/>
      <c r="O224" s="15"/>
    </row>
    <row r="225" spans="1:15" ht="21">
      <c r="C225" s="3" t="s">
        <v>226</v>
      </c>
      <c r="D225" s="3"/>
      <c r="E225" s="3"/>
      <c r="F225" s="3"/>
      <c r="G225" s="3"/>
      <c r="N225" s="45"/>
      <c r="O225" s="15"/>
    </row>
    <row r="226" spans="1:15" ht="15.75">
      <c r="C226" s="5" t="s">
        <v>88</v>
      </c>
      <c r="N226" s="45"/>
      <c r="O226" s="15"/>
    </row>
    <row r="227" spans="1:15">
      <c r="A227" s="80"/>
      <c r="B227" s="80"/>
      <c r="C227" s="74" t="s">
        <v>238</v>
      </c>
      <c r="E227" s="78">
        <f t="shared" ref="E227:M227" si="68">E210-E220</f>
        <v>66.271304903537953</v>
      </c>
      <c r="F227" s="78">
        <f t="shared" si="68"/>
        <v>90.225740650184775</v>
      </c>
      <c r="G227" s="78">
        <f t="shared" si="68"/>
        <v>115.90961657451021</v>
      </c>
      <c r="H227" s="78">
        <f t="shared" si="68"/>
        <v>147.12941446105685</v>
      </c>
      <c r="I227" s="78">
        <f t="shared" si="68"/>
        <v>171.71504529771107</v>
      </c>
      <c r="J227" s="78">
        <f t="shared" si="68"/>
        <v>191.60454563146891</v>
      </c>
      <c r="K227" s="78">
        <f t="shared" si="68"/>
        <v>209.40006914595688</v>
      </c>
      <c r="L227" s="78">
        <f t="shared" si="68"/>
        <v>215.87551843389929</v>
      </c>
      <c r="M227" s="78">
        <f t="shared" si="68"/>
        <v>222.09631967896962</v>
      </c>
      <c r="N227" s="45"/>
      <c r="O227" s="15"/>
    </row>
    <row r="228" spans="1:15">
      <c r="A228" s="80"/>
      <c r="B228" s="80"/>
      <c r="C228" s="74" t="s">
        <v>239</v>
      </c>
      <c r="E228" s="97"/>
      <c r="F228" s="97"/>
      <c r="G228" s="78">
        <f t="shared" ref="G228:M228" si="69">G208-G220</f>
        <v>160.50046440138533</v>
      </c>
      <c r="H228" s="78">
        <f t="shared" si="69"/>
        <v>201.00732668310241</v>
      </c>
      <c r="I228" s="78">
        <f t="shared" si="69"/>
        <v>247.0654936511645</v>
      </c>
      <c r="J228" s="78">
        <f t="shared" si="69"/>
        <v>287.94516777608442</v>
      </c>
      <c r="K228" s="78">
        <f t="shared" si="69"/>
        <v>329.74687505666225</v>
      </c>
      <c r="L228" s="78">
        <f t="shared" si="69"/>
        <v>360.00332071965363</v>
      </c>
      <c r="M228" s="78">
        <f t="shared" si="69"/>
        <v>389.73233991644088</v>
      </c>
      <c r="N228" s="45"/>
      <c r="O228" s="15"/>
    </row>
    <row r="229" spans="1:15">
      <c r="N229" s="45"/>
      <c r="O229" s="15"/>
    </row>
    <row r="230" spans="1:15" ht="15.75">
      <c r="A230" s="110"/>
      <c r="C230" s="5" t="s">
        <v>215</v>
      </c>
      <c r="N230" s="45"/>
      <c r="O230" s="15"/>
    </row>
    <row r="231" spans="1:15">
      <c r="A231" s="110"/>
      <c r="C231" s="74" t="s">
        <v>107</v>
      </c>
      <c r="E231" s="186">
        <v>0</v>
      </c>
      <c r="F231" s="22">
        <f>E234</f>
        <v>-164.57416408449416</v>
      </c>
      <c r="G231" s="22">
        <f t="shared" ref="G231:M231" si="70">F234</f>
        <v>-321.96199744499427</v>
      </c>
      <c r="H231" s="22">
        <f t="shared" si="70"/>
        <v>-461.66582332264994</v>
      </c>
      <c r="I231" s="22">
        <f t="shared" si="70"/>
        <v>-592.62810579207257</v>
      </c>
      <c r="J231" s="22">
        <f t="shared" si="70"/>
        <v>-716.706411627232</v>
      </c>
      <c r="K231" s="22">
        <f t="shared" si="70"/>
        <v>-835.21565736893922</v>
      </c>
      <c r="L231" s="22">
        <f t="shared" si="70"/>
        <v>-948.74215652658984</v>
      </c>
      <c r="M231" s="22">
        <f t="shared" si="70"/>
        <v>-1060.4555298836165</v>
      </c>
      <c r="N231" s="45"/>
      <c r="O231" s="15"/>
    </row>
    <row r="232" spans="1:15">
      <c r="A232" s="110"/>
      <c r="C232" s="74" t="s">
        <v>86</v>
      </c>
      <c r="E232" s="78">
        <f t="shared" ref="E232:M232" si="71">E227</f>
        <v>66.271304903537953</v>
      </c>
      <c r="F232" s="78">
        <f t="shared" si="71"/>
        <v>90.225740650184775</v>
      </c>
      <c r="G232" s="78">
        <f t="shared" si="71"/>
        <v>115.90961657451021</v>
      </c>
      <c r="H232" s="78">
        <f t="shared" si="71"/>
        <v>147.12941446105685</v>
      </c>
      <c r="I232" s="78">
        <f t="shared" si="71"/>
        <v>171.71504529771107</v>
      </c>
      <c r="J232" s="78">
        <f t="shared" si="71"/>
        <v>191.60454563146891</v>
      </c>
      <c r="K232" s="78">
        <f t="shared" si="71"/>
        <v>209.40006914595688</v>
      </c>
      <c r="L232" s="78">
        <f t="shared" si="71"/>
        <v>215.87551843389929</v>
      </c>
      <c r="M232" s="78">
        <f t="shared" si="71"/>
        <v>222.09631967896962</v>
      </c>
      <c r="N232" s="45"/>
      <c r="O232" s="15"/>
    </row>
    <row r="233" spans="1:15">
      <c r="A233" s="110"/>
      <c r="C233" s="74" t="s">
        <v>30</v>
      </c>
      <c r="E233" s="178">
        <f>(E33-E35)/E37</f>
        <v>614.85185185185185</v>
      </c>
      <c r="F233" s="78">
        <f>E233</f>
        <v>614.85185185185185</v>
      </c>
      <c r="G233" s="78">
        <f t="shared" ref="G233:M233" si="72">F233</f>
        <v>614.85185185185185</v>
      </c>
      <c r="H233" s="78">
        <f t="shared" si="72"/>
        <v>614.85185185185185</v>
      </c>
      <c r="I233" s="78">
        <f t="shared" si="72"/>
        <v>614.85185185185185</v>
      </c>
      <c r="J233" s="78">
        <f t="shared" si="72"/>
        <v>614.85185185185185</v>
      </c>
      <c r="K233" s="78">
        <f t="shared" si="72"/>
        <v>614.85185185185185</v>
      </c>
      <c r="L233" s="78">
        <f t="shared" si="72"/>
        <v>614.85185185185185</v>
      </c>
      <c r="M233" s="78">
        <f t="shared" si="72"/>
        <v>614.85185185185185</v>
      </c>
      <c r="N233" s="45"/>
      <c r="O233" s="15"/>
    </row>
    <row r="234" spans="1:15">
      <c r="A234" s="110"/>
      <c r="C234" s="74" t="s">
        <v>108</v>
      </c>
      <c r="E234" s="22">
        <f t="shared" ref="E234:M234" si="73">E231+(E232-E233)*E90</f>
        <v>-164.57416408449416</v>
      </c>
      <c r="F234" s="22">
        <f t="shared" si="73"/>
        <v>-321.96199744499427</v>
      </c>
      <c r="G234" s="22">
        <f t="shared" si="73"/>
        <v>-461.66582332264994</v>
      </c>
      <c r="H234" s="22">
        <f t="shared" si="73"/>
        <v>-592.62810579207257</v>
      </c>
      <c r="I234" s="22">
        <f t="shared" si="73"/>
        <v>-716.706411627232</v>
      </c>
      <c r="J234" s="22">
        <f t="shared" si="73"/>
        <v>-835.21565736893922</v>
      </c>
      <c r="K234" s="22">
        <f t="shared" si="73"/>
        <v>-948.74215652658984</v>
      </c>
      <c r="L234" s="22">
        <f t="shared" si="73"/>
        <v>-1060.4555298836165</v>
      </c>
      <c r="M234" s="22">
        <f t="shared" si="73"/>
        <v>-1170.4270788920235</v>
      </c>
      <c r="N234" s="45"/>
      <c r="O234" s="15"/>
    </row>
    <row r="235" spans="1:15">
      <c r="E235" s="22"/>
      <c r="F235" s="22"/>
      <c r="G235" s="22"/>
      <c r="H235" s="22"/>
      <c r="I235" s="22"/>
      <c r="J235" s="22"/>
      <c r="K235" s="22"/>
      <c r="L235" s="22"/>
      <c r="M235" s="22"/>
      <c r="N235" s="45"/>
      <c r="O235" s="15"/>
    </row>
    <row r="236" spans="1:15" ht="21">
      <c r="C236" s="3" t="s">
        <v>225</v>
      </c>
      <c r="D236" s="3"/>
      <c r="E236" s="3"/>
      <c r="F236" s="3"/>
      <c r="G236" s="3"/>
      <c r="H236" s="22"/>
      <c r="I236" s="22"/>
      <c r="J236" s="22"/>
      <c r="K236" s="22"/>
      <c r="L236" s="22"/>
      <c r="M236" s="22"/>
      <c r="N236" s="45"/>
      <c r="O236" s="15"/>
    </row>
    <row r="237" spans="1:15" ht="15.75">
      <c r="C237" s="5" t="s">
        <v>31</v>
      </c>
      <c r="E237" s="97"/>
      <c r="F237" s="97"/>
      <c r="G237" s="97"/>
      <c r="N237" s="45"/>
      <c r="O237" s="15"/>
    </row>
    <row r="238" spans="1:15">
      <c r="C238" s="80" t="s">
        <v>32</v>
      </c>
      <c r="D238" s="80"/>
      <c r="E238" s="207"/>
      <c r="F238" s="97"/>
      <c r="G238" s="97"/>
      <c r="H238" s="22">
        <f t="shared" ref="H238:M238" si="74">(H260*Leverage*Debt+H215)/SQRT(1+Debt)</f>
        <v>520.98884104039416</v>
      </c>
      <c r="I238" s="22">
        <f t="shared" si="74"/>
        <v>520.98884104039428</v>
      </c>
      <c r="J238" s="22">
        <f t="shared" si="74"/>
        <v>522.52948724895566</v>
      </c>
      <c r="K238" s="22">
        <f t="shared" si="74"/>
        <v>524.84369739742215</v>
      </c>
      <c r="L238" s="22">
        <f t="shared" si="74"/>
        <v>528.12496986680242</v>
      </c>
      <c r="M238" s="22">
        <f t="shared" si="74"/>
        <v>530.39155202668042</v>
      </c>
      <c r="N238" s="45"/>
      <c r="O238" s="15"/>
    </row>
    <row r="239" spans="1:15">
      <c r="C239" s="74" t="s">
        <v>33</v>
      </c>
      <c r="E239" s="97"/>
      <c r="F239" s="97"/>
      <c r="G239" s="97"/>
      <c r="H239" s="22">
        <f t="shared" ref="H239:M239" si="75">H208-H210</f>
        <v>53.877912222045552</v>
      </c>
      <c r="I239" s="22">
        <f t="shared" si="75"/>
        <v>75.35044835345343</v>
      </c>
      <c r="J239" s="22">
        <f t="shared" si="75"/>
        <v>96.340622144615509</v>
      </c>
      <c r="K239" s="22">
        <f t="shared" si="75"/>
        <v>120.34680591070537</v>
      </c>
      <c r="L239" s="22">
        <f t="shared" si="75"/>
        <v>144.12780228575434</v>
      </c>
      <c r="M239" s="22">
        <f t="shared" si="75"/>
        <v>167.63602023747126</v>
      </c>
      <c r="N239" s="45"/>
      <c r="O239" s="15"/>
    </row>
    <row r="240" spans="1:15">
      <c r="A240" s="110"/>
      <c r="C240" s="74" t="s">
        <v>34</v>
      </c>
      <c r="E240" s="97"/>
      <c r="F240" s="97"/>
      <c r="G240" s="97"/>
      <c r="H240" s="22">
        <f t="shared" ref="H240:M240" si="76">H233+H239-H238</f>
        <v>147.74092303350324</v>
      </c>
      <c r="I240" s="22">
        <f t="shared" si="76"/>
        <v>169.213459164911</v>
      </c>
      <c r="J240" s="22">
        <f t="shared" si="76"/>
        <v>188.6629867475117</v>
      </c>
      <c r="K240" s="22">
        <f t="shared" si="76"/>
        <v>210.35496036513507</v>
      </c>
      <c r="L240" s="22">
        <f t="shared" si="76"/>
        <v>230.85468427080377</v>
      </c>
      <c r="M240" s="22">
        <f t="shared" si="76"/>
        <v>252.09632006264269</v>
      </c>
      <c r="N240" s="45"/>
      <c r="O240" s="15"/>
    </row>
    <row r="241" spans="1:15">
      <c r="E241" s="97"/>
      <c r="F241" s="97"/>
      <c r="G241" s="97"/>
      <c r="H241" s="78"/>
      <c r="I241" s="78"/>
      <c r="J241" s="78"/>
      <c r="K241" s="78"/>
      <c r="L241" s="78"/>
      <c r="M241" s="78"/>
      <c r="N241" s="45"/>
      <c r="O241" s="15"/>
    </row>
    <row r="242" spans="1:15" ht="15.75">
      <c r="C242" s="5" t="s">
        <v>73</v>
      </c>
      <c r="E242" s="97"/>
      <c r="F242" s="97"/>
      <c r="G242" s="97"/>
      <c r="H242" s="78"/>
      <c r="I242" s="78"/>
      <c r="J242" s="78"/>
      <c r="K242" s="78"/>
      <c r="L242" s="78"/>
      <c r="M242" s="78"/>
      <c r="N242" s="45"/>
      <c r="O242" s="15"/>
    </row>
    <row r="243" spans="1:15">
      <c r="C243" s="74" t="s">
        <v>109</v>
      </c>
      <c r="E243" s="97"/>
      <c r="F243" s="97"/>
      <c r="G243" s="97"/>
      <c r="H243" s="78">
        <f t="shared" ref="H243:M243" si="77">H208</f>
        <v>961.5404261495579</v>
      </c>
      <c r="I243" s="78">
        <f t="shared" si="77"/>
        <v>998.4132888044237</v>
      </c>
      <c r="J243" s="78">
        <f t="shared" si="77"/>
        <v>1035.4766976733727</v>
      </c>
      <c r="K243" s="78">
        <f t="shared" si="77"/>
        <v>1075.8635837849856</v>
      </c>
      <c r="L243" s="78">
        <f t="shared" si="77"/>
        <v>1118.1978496719632</v>
      </c>
      <c r="M243" s="78">
        <f t="shared" si="77"/>
        <v>1160.6298529454059</v>
      </c>
      <c r="N243" s="45"/>
      <c r="O243" s="15"/>
    </row>
    <row r="244" spans="1:15">
      <c r="C244" s="74" t="s">
        <v>116</v>
      </c>
      <c r="E244" s="97"/>
      <c r="F244" s="97"/>
      <c r="G244" s="97"/>
      <c r="H244" s="78">
        <f t="shared" ref="H244:M244" si="78">H93</f>
        <v>0</v>
      </c>
      <c r="I244" s="78">
        <f t="shared" si="78"/>
        <v>0</v>
      </c>
      <c r="J244" s="78">
        <f t="shared" si="78"/>
        <v>0</v>
      </c>
      <c r="K244" s="78">
        <f t="shared" si="78"/>
        <v>0</v>
      </c>
      <c r="L244" s="78">
        <f t="shared" si="78"/>
        <v>0</v>
      </c>
      <c r="M244" s="78">
        <f t="shared" si="78"/>
        <v>0</v>
      </c>
      <c r="N244" s="45"/>
      <c r="O244" s="15"/>
    </row>
    <row r="245" spans="1:15" ht="15.75" thickBot="1">
      <c r="C245" s="74" t="s">
        <v>73</v>
      </c>
      <c r="E245" s="97"/>
      <c r="F245" s="97"/>
      <c r="G245" s="97"/>
      <c r="H245" s="48">
        <f t="shared" ref="H245:M245" si="79">H243+H244</f>
        <v>961.5404261495579</v>
      </c>
      <c r="I245" s="48">
        <f t="shared" si="79"/>
        <v>998.4132888044237</v>
      </c>
      <c r="J245" s="48">
        <f t="shared" si="79"/>
        <v>1035.4766976733727</v>
      </c>
      <c r="K245" s="48">
        <f t="shared" si="79"/>
        <v>1075.8635837849856</v>
      </c>
      <c r="L245" s="48">
        <f t="shared" si="79"/>
        <v>1118.1978496719632</v>
      </c>
      <c r="M245" s="48">
        <f t="shared" si="79"/>
        <v>1160.6298529454059</v>
      </c>
      <c r="N245" s="45"/>
      <c r="O245" s="15"/>
    </row>
    <row r="246" spans="1:15" ht="15.75" thickTop="1">
      <c r="E246" s="97"/>
      <c r="F246" s="97"/>
      <c r="G246" s="97"/>
      <c r="H246" s="49"/>
      <c r="I246" s="49"/>
      <c r="J246" s="49"/>
      <c r="K246" s="49"/>
      <c r="L246" s="49"/>
      <c r="M246" s="49"/>
      <c r="N246" s="45"/>
      <c r="O246" s="15"/>
    </row>
    <row r="247" spans="1:15" ht="15.75">
      <c r="C247" s="79" t="s">
        <v>85</v>
      </c>
      <c r="E247" s="97"/>
      <c r="F247" s="97"/>
      <c r="G247" s="97"/>
      <c r="H247" s="49"/>
      <c r="I247" s="49"/>
      <c r="J247" s="49"/>
      <c r="K247" s="49"/>
      <c r="L247" s="49"/>
      <c r="M247" s="49"/>
      <c r="N247" s="45"/>
      <c r="O247" s="15"/>
    </row>
    <row r="248" spans="1:15">
      <c r="C248" s="74" t="s">
        <v>85</v>
      </c>
      <c r="E248" s="97"/>
      <c r="F248" s="97"/>
      <c r="G248" s="97"/>
      <c r="H248" s="78">
        <f t="shared" ref="H248:M248" si="80">H86</f>
        <v>13.662273120138289</v>
      </c>
      <c r="I248" s="78">
        <f t="shared" si="80"/>
        <v>13.937121866897149</v>
      </c>
      <c r="J248" s="78">
        <f t="shared" si="80"/>
        <v>14.245757080820807</v>
      </c>
      <c r="K248" s="78">
        <f t="shared" si="80"/>
        <v>14.545949595978845</v>
      </c>
      <c r="L248" s="78">
        <f t="shared" si="80"/>
        <v>14.836868587898422</v>
      </c>
      <c r="M248" s="78">
        <f t="shared" si="80"/>
        <v>15.133605959656391</v>
      </c>
      <c r="N248" s="45"/>
      <c r="O248" s="15"/>
    </row>
    <row r="249" spans="1:15">
      <c r="E249" s="97"/>
      <c r="F249" s="97"/>
      <c r="G249" s="97"/>
      <c r="H249" s="49"/>
      <c r="I249" s="49"/>
      <c r="J249" s="49"/>
      <c r="K249" s="49"/>
      <c r="L249" s="49"/>
      <c r="M249" s="49"/>
      <c r="N249" s="45"/>
      <c r="O249" s="15"/>
    </row>
    <row r="250" spans="1:15" ht="15.75">
      <c r="C250" s="5" t="s">
        <v>135</v>
      </c>
      <c r="E250" s="97"/>
      <c r="F250" s="97"/>
      <c r="G250" s="97"/>
      <c r="H250" s="78">
        <f t="shared" ref="H250:M250" si="81">H47</f>
        <v>1655.2943863483949</v>
      </c>
      <c r="I250" s="78">
        <f t="shared" si="81"/>
        <v>1793.8933336255081</v>
      </c>
      <c r="J250" s="78">
        <f t="shared" si="81"/>
        <v>1770.7301563967308</v>
      </c>
      <c r="K250" s="78">
        <f t="shared" si="81"/>
        <v>1832.7995841900247</v>
      </c>
      <c r="L250" s="78">
        <f t="shared" si="81"/>
        <v>1889.2589148193192</v>
      </c>
      <c r="M250" s="78">
        <f t="shared" si="81"/>
        <v>1949.9866085546105</v>
      </c>
      <c r="N250" s="45"/>
      <c r="O250" s="15"/>
    </row>
    <row r="251" spans="1:15">
      <c r="C251" s="74" t="s">
        <v>136</v>
      </c>
      <c r="E251" s="97"/>
      <c r="F251" s="97"/>
      <c r="G251" s="97"/>
      <c r="H251" s="78">
        <f>H250*H67</f>
        <v>1655.2943863483949</v>
      </c>
      <c r="I251" s="78">
        <f>I250*I67</f>
        <v>1859.246286118281</v>
      </c>
      <c r="J251" s="78">
        <f>J250*J67</f>
        <v>1835.2392560290025</v>
      </c>
      <c r="K251" s="78">
        <f>K250*K67</f>
        <v>1899.5699221522425</v>
      </c>
      <c r="L251" s="181">
        <f>L250*L67</f>
        <v>1958.0861108361532</v>
      </c>
      <c r="M251" s="78">
        <f>M250*IF(ISNUMBER(M67),M67,0)</f>
        <v>1967.7023246329713</v>
      </c>
      <c r="N251" s="45"/>
      <c r="O251" s="15"/>
    </row>
    <row r="252" spans="1:15">
      <c r="E252" s="97"/>
      <c r="F252" s="97"/>
      <c r="G252" s="97"/>
      <c r="H252" s="78"/>
      <c r="I252" s="78"/>
      <c r="J252" s="78"/>
      <c r="K252" s="78"/>
      <c r="L252" s="78"/>
      <c r="M252" s="78"/>
      <c r="N252" s="45"/>
      <c r="O252" s="15"/>
    </row>
    <row r="253" spans="1:15" ht="15.75">
      <c r="A253" s="110"/>
      <c r="C253" s="5" t="s">
        <v>124</v>
      </c>
      <c r="E253" s="97"/>
      <c r="F253" s="97"/>
      <c r="G253" s="97"/>
      <c r="O253" s="15"/>
    </row>
    <row r="254" spans="1:15" ht="46.5" customHeight="1">
      <c r="A254" s="110"/>
      <c r="C254" s="125" t="s">
        <v>234</v>
      </c>
      <c r="E254" s="97"/>
      <c r="F254" s="97"/>
      <c r="G254" s="126"/>
      <c r="H254" s="127" t="str">
        <f t="shared" ref="H254:M254" si="82">H13</f>
        <v/>
      </c>
      <c r="I254" s="127" t="str">
        <f t="shared" si="82"/>
        <v>01/07/13 to 30/06/14</v>
      </c>
      <c r="J254" s="127" t="str">
        <f t="shared" si="82"/>
        <v>01/07/14 to 30/06/15</v>
      </c>
      <c r="K254" s="127" t="str">
        <f t="shared" si="82"/>
        <v>01/07/15 to 30/06/16</v>
      </c>
      <c r="L254" s="127" t="str">
        <f t="shared" si="82"/>
        <v>01/07/16 to 30/06/17</v>
      </c>
      <c r="M254" s="127" t="str">
        <f t="shared" si="82"/>
        <v>01/07/17 to 30/09/17</v>
      </c>
      <c r="O254" s="15"/>
    </row>
    <row r="255" spans="1:15">
      <c r="A255" s="110"/>
      <c r="C255" s="133" t="s">
        <v>250</v>
      </c>
      <c r="E255" s="97"/>
      <c r="F255" s="97"/>
      <c r="G255" s="126"/>
      <c r="H255" s="118"/>
      <c r="I255" s="118"/>
      <c r="J255" s="118"/>
      <c r="K255" s="118"/>
      <c r="L255" s="118"/>
      <c r="M255" s="118"/>
      <c r="O255" s="15"/>
    </row>
    <row r="256" spans="1:15">
      <c r="A256" s="110"/>
      <c r="C256" s="74" t="s">
        <v>193</v>
      </c>
      <c r="E256" s="97"/>
      <c r="F256" s="97"/>
      <c r="G256" s="126"/>
      <c r="H256" s="17">
        <f t="shared" ref="H256:M256" si="83">H50/12</f>
        <v>0</v>
      </c>
      <c r="I256" s="17">
        <f t="shared" si="83"/>
        <v>1</v>
      </c>
      <c r="J256" s="17">
        <f t="shared" si="83"/>
        <v>1</v>
      </c>
      <c r="K256" s="17">
        <f t="shared" si="83"/>
        <v>1</v>
      </c>
      <c r="L256" s="17">
        <f t="shared" si="83"/>
        <v>1</v>
      </c>
      <c r="M256" s="17">
        <f t="shared" si="83"/>
        <v>0.25</v>
      </c>
      <c r="O256" s="15"/>
    </row>
    <row r="257" spans="1:62" ht="18">
      <c r="C257" s="74" t="s">
        <v>263</v>
      </c>
      <c r="E257" s="97"/>
      <c r="F257" s="97"/>
      <c r="G257" s="126"/>
      <c r="H257" s="44">
        <f t="shared" ref="H257:M257" si="84">(1+WACC)^H256-1</f>
        <v>0</v>
      </c>
      <c r="I257" s="44">
        <f t="shared" si="84"/>
        <v>7.4400000000000022E-2</v>
      </c>
      <c r="J257" s="44">
        <f t="shared" si="84"/>
        <v>7.4400000000000022E-2</v>
      </c>
      <c r="K257" s="44">
        <f t="shared" si="84"/>
        <v>7.4400000000000022E-2</v>
      </c>
      <c r="L257" s="44">
        <f t="shared" si="84"/>
        <v>7.4400000000000022E-2</v>
      </c>
      <c r="M257" s="44">
        <f t="shared" si="84"/>
        <v>1.8102490709061669E-2</v>
      </c>
      <c r="O257" s="15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</row>
    <row r="258" spans="1:62">
      <c r="E258" s="97"/>
      <c r="F258" s="97"/>
      <c r="G258" s="97"/>
      <c r="H258" s="77"/>
      <c r="I258" s="77"/>
      <c r="J258" s="77"/>
      <c r="K258" s="77"/>
      <c r="L258" s="77"/>
      <c r="M258" s="77"/>
      <c r="O258" s="15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</row>
    <row r="259" spans="1:62" ht="15.75">
      <c r="C259" s="5" t="s">
        <v>149</v>
      </c>
      <c r="N259" s="45"/>
      <c r="O259" s="15"/>
    </row>
    <row r="260" spans="1:62">
      <c r="A260" s="110"/>
      <c r="C260" s="74" t="s">
        <v>72</v>
      </c>
      <c r="E260" s="97"/>
      <c r="F260" s="97"/>
      <c r="G260" s="97"/>
      <c r="H260" s="181">
        <f>H206+(1-H256)*(H209-H206)+H231+(1-H256)*(H234-H231)</f>
        <v>22592.930496960758</v>
      </c>
      <c r="I260" s="63">
        <f>I206+I231</f>
        <v>22592.930496960762</v>
      </c>
      <c r="J260" s="63">
        <f>J206+J231</f>
        <v>22659.741357325685</v>
      </c>
      <c r="K260" s="63">
        <f>K206+K231</f>
        <v>22760.098188261363</v>
      </c>
      <c r="L260" s="63">
        <f>L206+L231</f>
        <v>22902.392139690837</v>
      </c>
      <c r="M260" s="63">
        <f>M206+M231</f>
        <v>23000.683560101133</v>
      </c>
      <c r="N260" s="45"/>
      <c r="O260" s="15"/>
    </row>
    <row r="261" spans="1:62">
      <c r="C261" s="74" t="s">
        <v>65</v>
      </c>
      <c r="E261" s="97"/>
      <c r="F261" s="97"/>
      <c r="G261" s="97"/>
      <c r="H261" s="78">
        <f t="shared" ref="H261:M261" si="85">H48*H256</f>
        <v>0</v>
      </c>
      <c r="I261" s="78">
        <f t="shared" si="85"/>
        <v>723.2955785004109</v>
      </c>
      <c r="J261" s="78">
        <f t="shared" si="85"/>
        <v>737.13160554854358</v>
      </c>
      <c r="K261" s="78">
        <f t="shared" si="85"/>
        <v>834.89712803678583</v>
      </c>
      <c r="L261" s="78">
        <f t="shared" si="85"/>
        <v>851.57033947766172</v>
      </c>
      <c r="M261" s="78">
        <f t="shared" si="85"/>
        <v>217.07579197901219</v>
      </c>
      <c r="N261" s="45"/>
      <c r="O261" s="15"/>
    </row>
    <row r="262" spans="1:62">
      <c r="C262" s="74" t="s">
        <v>76</v>
      </c>
      <c r="E262" s="97"/>
      <c r="F262" s="97"/>
      <c r="G262" s="97"/>
      <c r="H262" s="47">
        <f t="shared" ref="H262:M262" si="86">H215*H256</f>
        <v>0</v>
      </c>
      <c r="I262" s="47">
        <f t="shared" si="86"/>
        <v>0</v>
      </c>
      <c r="J262" s="47">
        <f t="shared" si="86"/>
        <v>0</v>
      </c>
      <c r="K262" s="47">
        <f t="shared" si="86"/>
        <v>0</v>
      </c>
      <c r="L262" s="47">
        <f t="shared" si="86"/>
        <v>0</v>
      </c>
      <c r="M262" s="47">
        <f t="shared" si="86"/>
        <v>0</v>
      </c>
      <c r="N262" s="45"/>
      <c r="O262" s="15"/>
    </row>
    <row r="263" spans="1:62">
      <c r="C263" s="74" t="s">
        <v>27</v>
      </c>
      <c r="E263" s="97"/>
      <c r="F263" s="97"/>
      <c r="G263" s="97"/>
      <c r="H263" s="47">
        <f t="shared" ref="H263:M263" si="87">H207*H256</f>
        <v>0</v>
      </c>
      <c r="I263" s="47">
        <f t="shared" si="87"/>
        <v>466.00687650409674</v>
      </c>
      <c r="J263" s="47">
        <f t="shared" si="87"/>
        <v>517.21116880221837</v>
      </c>
      <c r="K263" s="47">
        <f t="shared" si="87"/>
        <v>496.78690633532466</v>
      </c>
      <c r="L263" s="47">
        <f t="shared" si="87"/>
        <v>476.6323039616226</v>
      </c>
      <c r="M263" s="47">
        <f t="shared" si="87"/>
        <v>120.21123183204642</v>
      </c>
      <c r="N263" s="45"/>
      <c r="O263" s="15"/>
    </row>
    <row r="264" spans="1:62" ht="15.75" thickBot="1">
      <c r="C264" s="74" t="s">
        <v>149</v>
      </c>
      <c r="E264" s="97"/>
      <c r="F264" s="97"/>
      <c r="G264" s="97"/>
      <c r="H264" s="28">
        <f t="shared" ref="H264:M264" si="88">H260*H257+H261*(H67-1)+H262-H263</f>
        <v>0</v>
      </c>
      <c r="I264" s="28">
        <f t="shared" si="88"/>
        <v>1241.2573822710388</v>
      </c>
      <c r="J264" s="28">
        <f t="shared" si="88"/>
        <v>1195.5278753889397</v>
      </c>
      <c r="K264" s="28">
        <f t="shared" si="88"/>
        <v>1226.9803613603883</v>
      </c>
      <c r="L264" s="28">
        <f t="shared" si="88"/>
        <v>1258.3290519959742</v>
      </c>
      <c r="M264" s="28">
        <f t="shared" si="88"/>
        <v>298.13057195420583</v>
      </c>
      <c r="N264" s="45"/>
      <c r="O264" s="15"/>
    </row>
    <row r="265" spans="1:62" ht="15.75" thickTop="1"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15"/>
      <c r="AY265" s="92"/>
      <c r="AZ265" s="92"/>
      <c r="BA265" s="92"/>
    </row>
    <row r="266" spans="1:62">
      <c r="A266" s="110"/>
      <c r="C266" s="40" t="s">
        <v>214</v>
      </c>
      <c r="D266" s="40"/>
      <c r="E266" s="40"/>
      <c r="F266" s="40"/>
      <c r="G266" s="40"/>
      <c r="H266" s="134">
        <f t="shared" ref="H266:M266" si="89">H256*(H234-H231)</f>
        <v>0</v>
      </c>
      <c r="I266" s="134">
        <f t="shared" si="89"/>
        <v>-124.07830583515943</v>
      </c>
      <c r="J266" s="134">
        <f t="shared" si="89"/>
        <v>-118.50924574170722</v>
      </c>
      <c r="K266" s="134">
        <f t="shared" si="89"/>
        <v>-113.52649915765062</v>
      </c>
      <c r="L266" s="134">
        <f t="shared" si="89"/>
        <v>-111.71337335702663</v>
      </c>
      <c r="M266" s="134">
        <f t="shared" si="89"/>
        <v>-27.492887252101752</v>
      </c>
      <c r="O266" s="15"/>
    </row>
    <row r="267" spans="1:62">
      <c r="A267" s="110"/>
      <c r="C267" s="74" t="s">
        <v>73</v>
      </c>
      <c r="H267" s="78">
        <f t="shared" ref="H267:L267" si="90">H256*H245</f>
        <v>0</v>
      </c>
      <c r="I267" s="78">
        <f t="shared" si="90"/>
        <v>998.4132888044237</v>
      </c>
      <c r="J267" s="78">
        <f t="shared" si="90"/>
        <v>1035.4766976733727</v>
      </c>
      <c r="K267" s="78">
        <f t="shared" si="90"/>
        <v>1075.8635837849856</v>
      </c>
      <c r="L267" s="78">
        <f t="shared" si="90"/>
        <v>1118.1978496719632</v>
      </c>
      <c r="M267" s="78">
        <f>M256*M245</f>
        <v>290.15746323635148</v>
      </c>
      <c r="O267" s="15"/>
    </row>
    <row r="268" spans="1:62">
      <c r="A268" s="110"/>
      <c r="C268" s="74" t="s">
        <v>135</v>
      </c>
      <c r="H268" s="78">
        <f t="shared" ref="H268:L268" si="91">H256*H250</f>
        <v>0</v>
      </c>
      <c r="I268" s="78">
        <f t="shared" si="91"/>
        <v>1793.8933336255081</v>
      </c>
      <c r="J268" s="78">
        <f t="shared" si="91"/>
        <v>1770.7301563967308</v>
      </c>
      <c r="K268" s="78">
        <f t="shared" si="91"/>
        <v>1832.7995841900247</v>
      </c>
      <c r="L268" s="78">
        <f t="shared" si="91"/>
        <v>1889.2589148193192</v>
      </c>
      <c r="M268" s="78">
        <f>M256*M250</f>
        <v>487.49665213865262</v>
      </c>
      <c r="O268" s="15"/>
    </row>
    <row r="269" spans="1:62">
      <c r="A269" s="110"/>
      <c r="C269" s="74" t="s">
        <v>136</v>
      </c>
      <c r="H269" s="78">
        <f t="shared" ref="H269:L269" si="92">H256*H251</f>
        <v>0</v>
      </c>
      <c r="I269" s="78">
        <f t="shared" si="92"/>
        <v>1859.246286118281</v>
      </c>
      <c r="J269" s="78">
        <f t="shared" si="92"/>
        <v>1835.2392560290025</v>
      </c>
      <c r="K269" s="78">
        <f t="shared" si="92"/>
        <v>1899.5699221522425</v>
      </c>
      <c r="L269" s="78">
        <f t="shared" si="92"/>
        <v>1958.0861108361532</v>
      </c>
      <c r="M269" s="78">
        <f>M256*M251</f>
        <v>491.92558115824284</v>
      </c>
      <c r="O269" s="15"/>
    </row>
    <row r="270" spans="1:62">
      <c r="A270" s="110"/>
      <c r="C270" s="74" t="s">
        <v>85</v>
      </c>
      <c r="H270" s="78">
        <f t="shared" ref="H270:L270" si="93">H256*H248</f>
        <v>0</v>
      </c>
      <c r="I270" s="78">
        <f t="shared" si="93"/>
        <v>13.937121866897149</v>
      </c>
      <c r="J270" s="78">
        <f t="shared" si="93"/>
        <v>14.245757080820807</v>
      </c>
      <c r="K270" s="78">
        <f t="shared" si="93"/>
        <v>14.545949595978845</v>
      </c>
      <c r="L270" s="78">
        <f t="shared" si="93"/>
        <v>14.836868587898422</v>
      </c>
      <c r="M270" s="78">
        <f>M256*M248</f>
        <v>3.7834014899140977</v>
      </c>
      <c r="O270" s="15"/>
    </row>
    <row r="271" spans="1:62">
      <c r="A271" s="110"/>
      <c r="C271" s="74" t="s">
        <v>34</v>
      </c>
      <c r="H271" s="22">
        <f t="shared" ref="H271:L271" si="94">H256*H240</f>
        <v>0</v>
      </c>
      <c r="I271" s="22">
        <f t="shared" si="94"/>
        <v>169.213459164911</v>
      </c>
      <c r="J271" s="22">
        <f t="shared" si="94"/>
        <v>188.6629867475117</v>
      </c>
      <c r="K271" s="22">
        <f t="shared" si="94"/>
        <v>210.35496036513507</v>
      </c>
      <c r="L271" s="22">
        <f t="shared" si="94"/>
        <v>230.85468427080377</v>
      </c>
      <c r="M271" s="22">
        <f>M256*M240</f>
        <v>63.024080015660672</v>
      </c>
      <c r="O271" s="15"/>
    </row>
    <row r="272" spans="1:62">
      <c r="A272" s="110"/>
      <c r="C272" s="74" t="s">
        <v>244</v>
      </c>
      <c r="H272" s="78">
        <f t="shared" ref="H272:M272" si="95">H256*H208</f>
        <v>0</v>
      </c>
      <c r="I272" s="78">
        <f t="shared" si="95"/>
        <v>998.4132888044237</v>
      </c>
      <c r="J272" s="78">
        <f t="shared" si="95"/>
        <v>1035.4766976733727</v>
      </c>
      <c r="K272" s="78">
        <f t="shared" si="95"/>
        <v>1075.8635837849856</v>
      </c>
      <c r="L272" s="78">
        <f t="shared" si="95"/>
        <v>1118.1978496719632</v>
      </c>
      <c r="M272" s="78">
        <f t="shared" si="95"/>
        <v>290.15746323635148</v>
      </c>
      <c r="O272" s="15"/>
    </row>
    <row r="273" spans="1:16">
      <c r="A273" s="110"/>
      <c r="C273" s="74" t="s">
        <v>246</v>
      </c>
      <c r="H273" s="73"/>
      <c r="I273" s="73"/>
      <c r="J273" s="73"/>
      <c r="K273" s="73"/>
      <c r="L273" s="73"/>
      <c r="M273" s="73"/>
      <c r="O273" s="15"/>
    </row>
    <row r="274" spans="1:16">
      <c r="A274" s="110"/>
      <c r="C274" s="80" t="s">
        <v>125</v>
      </c>
      <c r="H274" s="22">
        <f t="shared" ref="H274:M274" si="96">(H264+H267+H269+((H270-H268-H272+H271)*H90+H266)*H67-H266-H270*H67)/(H68-H90*H67)</f>
        <v>0</v>
      </c>
      <c r="I274" s="22">
        <f t="shared" si="96"/>
        <v>4494.3333152820551</v>
      </c>
      <c r="J274" s="22">
        <f t="shared" si="96"/>
        <v>4452.2812471190337</v>
      </c>
      <c r="K274" s="22">
        <f t="shared" si="96"/>
        <v>4604.7036383025088</v>
      </c>
      <c r="L274" s="22">
        <f t="shared" si="96"/>
        <v>4752.5779441239265</v>
      </c>
      <c r="M274" s="22">
        <f t="shared" si="96"/>
        <v>1216.6684602080115</v>
      </c>
      <c r="O274" s="15"/>
      <c r="P274" s="128"/>
    </row>
    <row r="275" spans="1:16">
      <c r="A275" s="110"/>
      <c r="C275" s="74" t="s">
        <v>133</v>
      </c>
      <c r="E275" s="97"/>
      <c r="F275" s="97"/>
      <c r="G275" s="97"/>
      <c r="H275" s="22">
        <f t="shared" ref="H275:M275" si="97">(H274+H270-H268-H272+H271)*H90</f>
        <v>0</v>
      </c>
      <c r="I275" s="22">
        <f t="shared" si="97"/>
        <v>527.84963668750095</v>
      </c>
      <c r="J275" s="138">
        <f t="shared" si="97"/>
        <v>517.71527832563368</v>
      </c>
      <c r="K275" s="138">
        <f t="shared" si="97"/>
        <v>537.86358648081136</v>
      </c>
      <c r="L275" s="22">
        <f t="shared" si="97"/>
        <v>557.42756509757703</v>
      </c>
      <c r="M275" s="22">
        <f t="shared" si="97"/>
        <v>141.63011137480302</v>
      </c>
      <c r="O275" s="15"/>
      <c r="P275" s="128"/>
    </row>
    <row r="276" spans="1:16">
      <c r="A276" s="110"/>
      <c r="C276" s="74" t="s">
        <v>118</v>
      </c>
      <c r="E276" s="97"/>
      <c r="F276" s="97"/>
      <c r="G276" s="97"/>
      <c r="H276" s="22">
        <f t="shared" ref="H276" si="98">IF(H275&lt;0,#N/A,H275)</f>
        <v>0</v>
      </c>
      <c r="I276" s="22">
        <f>IF(I275&lt;0,#N/A,I275)</f>
        <v>527.84963668750095</v>
      </c>
      <c r="J276" s="22">
        <f t="shared" ref="J276:M276" si="99">IF(J275&lt;0,#N/A,J275)</f>
        <v>517.71527832563368</v>
      </c>
      <c r="K276" s="22">
        <f t="shared" si="99"/>
        <v>537.86358648081136</v>
      </c>
      <c r="L276" s="22">
        <f t="shared" si="99"/>
        <v>557.42756509757703</v>
      </c>
      <c r="M276" s="22">
        <f t="shared" si="99"/>
        <v>141.63011137480302</v>
      </c>
      <c r="O276" s="15"/>
      <c r="P276" s="128"/>
    </row>
    <row r="277" spans="1:16">
      <c r="A277" s="110"/>
      <c r="C277" s="74" t="s">
        <v>126</v>
      </c>
      <c r="E277" s="97"/>
      <c r="F277" s="97"/>
      <c r="G277" s="97"/>
      <c r="H277" s="22">
        <f t="shared" ref="H277:M277" si="100">H264+H267+H269+(H276+H266)*H67-H266-H270*H67</f>
        <v>0</v>
      </c>
      <c r="I277" s="22">
        <f t="shared" si="100"/>
        <v>4627.0314404716319</v>
      </c>
      <c r="J277" s="22">
        <f t="shared" si="100"/>
        <v>4583.7377575430564</v>
      </c>
      <c r="K277" s="22">
        <f t="shared" si="100"/>
        <v>4740.6605193328196</v>
      </c>
      <c r="L277" s="22">
        <f t="shared" si="100"/>
        <v>4892.9009105710647</v>
      </c>
      <c r="M277" s="22">
        <f t="shared" si="100"/>
        <v>1219.0628956776782</v>
      </c>
      <c r="O277" s="15"/>
      <c r="P277" s="128"/>
    </row>
    <row r="278" spans="1:16">
      <c r="A278" s="110"/>
      <c r="C278" s="74" t="s">
        <v>127</v>
      </c>
      <c r="E278" s="97"/>
      <c r="F278" s="97"/>
      <c r="G278" s="97"/>
      <c r="H278" s="22">
        <f t="shared" ref="H278:M278" si="101">H277/H68</f>
        <v>0</v>
      </c>
      <c r="I278" s="22">
        <f t="shared" si="101"/>
        <v>4494.3333152820542</v>
      </c>
      <c r="J278" s="22">
        <f t="shared" si="101"/>
        <v>4452.2812471190337</v>
      </c>
      <c r="K278" s="22">
        <f t="shared" si="101"/>
        <v>4604.7036383025079</v>
      </c>
      <c r="L278" s="22">
        <f t="shared" si="101"/>
        <v>4752.5779441239256</v>
      </c>
      <c r="M278" s="22">
        <f t="shared" si="101"/>
        <v>1216.6684602080115</v>
      </c>
      <c r="O278" s="15"/>
      <c r="P278" s="128"/>
    </row>
    <row r="279" spans="1:16">
      <c r="A279" s="110"/>
      <c r="C279" s="74" t="s">
        <v>128</v>
      </c>
      <c r="E279" s="97"/>
      <c r="F279" s="97"/>
      <c r="G279" s="97"/>
      <c r="H279" s="69">
        <f t="shared" ref="H279:M279" si="102">H274-H278</f>
        <v>0</v>
      </c>
      <c r="I279" s="69">
        <f t="shared" si="102"/>
        <v>0</v>
      </c>
      <c r="J279" s="69">
        <f t="shared" si="102"/>
        <v>0</v>
      </c>
      <c r="K279" s="69">
        <f t="shared" si="102"/>
        <v>0</v>
      </c>
      <c r="L279" s="69">
        <f t="shared" si="102"/>
        <v>0</v>
      </c>
      <c r="M279" s="69">
        <f t="shared" si="102"/>
        <v>0</v>
      </c>
      <c r="O279" s="15"/>
      <c r="P279" s="128"/>
    </row>
    <row r="280" spans="1:16">
      <c r="E280" s="97"/>
      <c r="F280" s="97"/>
      <c r="G280" s="97"/>
      <c r="H280" s="22"/>
      <c r="I280" s="22"/>
      <c r="J280" s="22"/>
      <c r="K280" s="22"/>
      <c r="L280" s="22"/>
      <c r="M280" s="22"/>
      <c r="N280" s="97"/>
      <c r="O280" s="15"/>
      <c r="P280" s="128"/>
    </row>
    <row r="281" spans="1:16">
      <c r="E281" s="97"/>
      <c r="F281" s="97"/>
      <c r="G281" s="97"/>
      <c r="O281" s="15"/>
    </row>
    <row r="282" spans="1:16" ht="15.75">
      <c r="C282" s="113" t="s">
        <v>129</v>
      </c>
      <c r="E282" s="97"/>
      <c r="F282" s="97"/>
      <c r="G282" s="97"/>
      <c r="H282" s="83"/>
      <c r="I282" s="22"/>
      <c r="N282" s="45"/>
      <c r="O282" s="15"/>
    </row>
    <row r="283" spans="1:16">
      <c r="C283" s="74" t="s">
        <v>206</v>
      </c>
      <c r="D283" s="80"/>
      <c r="E283" s="97"/>
      <c r="F283" s="97"/>
      <c r="G283" s="97"/>
      <c r="H283" s="115">
        <f>I283-1</f>
        <v>0</v>
      </c>
      <c r="I283" s="183">
        <f>IF($G$1 = 4,1.5,1)</f>
        <v>1</v>
      </c>
      <c r="J283" s="65">
        <f>I283+J256</f>
        <v>2</v>
      </c>
      <c r="K283" s="65">
        <f>J283+K256</f>
        <v>3</v>
      </c>
      <c r="L283" s="65">
        <f>K283+L256</f>
        <v>4</v>
      </c>
      <c r="M283" s="65">
        <f>L283+M256</f>
        <v>4.25</v>
      </c>
      <c r="N283" s="45"/>
      <c r="O283" s="15"/>
    </row>
    <row r="284" spans="1:16">
      <c r="C284" s="74" t="s">
        <v>94</v>
      </c>
      <c r="D284" s="80"/>
      <c r="E284" s="97"/>
      <c r="F284" s="97"/>
      <c r="G284" s="97"/>
      <c r="H284" s="46">
        <f>H277</f>
        <v>0</v>
      </c>
      <c r="I284" s="46">
        <f t="shared" ref="I284:M284" si="103">I277</f>
        <v>4627.0314404716319</v>
      </c>
      <c r="J284" s="46">
        <f t="shared" si="103"/>
        <v>4583.7377575430564</v>
      </c>
      <c r="K284" s="46">
        <f t="shared" si="103"/>
        <v>4740.6605193328196</v>
      </c>
      <c r="L284" s="46">
        <f t="shared" si="103"/>
        <v>4892.9009105710647</v>
      </c>
      <c r="M284" s="46">
        <f t="shared" si="103"/>
        <v>1219.0628956776782</v>
      </c>
      <c r="N284" s="45"/>
      <c r="O284" s="15"/>
    </row>
    <row r="285" spans="1:16">
      <c r="C285" s="74" t="s">
        <v>95</v>
      </c>
      <c r="D285" s="80"/>
      <c r="E285" s="80"/>
      <c r="F285" s="46"/>
      <c r="G285" s="46"/>
      <c r="H285" s="46">
        <f t="shared" ref="H285:M285" si="104">H284/(1+WACC)^H$283</f>
        <v>0</v>
      </c>
      <c r="I285" s="46">
        <f t="shared" si="104"/>
        <v>4306.6189877807446</v>
      </c>
      <c r="J285" s="46">
        <f t="shared" si="104"/>
        <v>3970.889150916295</v>
      </c>
      <c r="K285" s="46">
        <f t="shared" si="104"/>
        <v>3822.4415871691654</v>
      </c>
      <c r="L285" s="46">
        <f t="shared" si="104"/>
        <v>3671.997881892999</v>
      </c>
      <c r="M285" s="46">
        <f t="shared" si="104"/>
        <v>898.60869056074228</v>
      </c>
      <c r="N285" s="45"/>
      <c r="O285" s="15"/>
    </row>
    <row r="286" spans="1:16">
      <c r="C286" s="74" t="s">
        <v>68</v>
      </c>
      <c r="D286" s="46">
        <f>SUM(H285:M285)</f>
        <v>16670.556298319945</v>
      </c>
      <c r="E286" s="80"/>
      <c r="F286" s="46"/>
      <c r="G286" s="46"/>
      <c r="H286" s="46"/>
      <c r="I286" s="46"/>
      <c r="J286" s="46"/>
      <c r="K286" s="46"/>
      <c r="L286" s="46"/>
      <c r="M286" s="46"/>
      <c r="N286" s="45"/>
      <c r="O286" s="15"/>
    </row>
    <row r="287" spans="1:16" ht="21">
      <c r="D287" s="46"/>
      <c r="E287" s="123" t="str">
        <f>"All information above this line is in " &amp; E38 &amp; " year-ends."</f>
        <v>All information above this line is in June  year-ends.</v>
      </c>
      <c r="G287" s="46"/>
      <c r="H287" s="46"/>
      <c r="I287" s="46"/>
      <c r="J287" s="46"/>
      <c r="K287" s="46"/>
      <c r="L287" s="46"/>
      <c r="M287" s="46"/>
      <c r="N287" s="45"/>
      <c r="O287" s="15"/>
    </row>
    <row r="288" spans="1:16" ht="3" customHeight="1">
      <c r="A288" s="120"/>
      <c r="B288" s="120"/>
      <c r="C288" s="120"/>
      <c r="D288" s="121"/>
      <c r="E288" s="124"/>
      <c r="F288" s="120"/>
      <c r="G288" s="121"/>
      <c r="H288" s="121"/>
      <c r="I288" s="121"/>
      <c r="J288" s="121"/>
      <c r="K288" s="121"/>
      <c r="L288" s="121"/>
      <c r="M288" s="121"/>
      <c r="N288" s="122"/>
      <c r="O288" s="15"/>
    </row>
    <row r="289" spans="1:15" ht="21">
      <c r="D289" s="46"/>
      <c r="E289" s="123" t="str">
        <f>"All information below this line is in " &amp; E39 &amp; " year-ends."</f>
        <v>All information below this line is in September  year-ends.</v>
      </c>
      <c r="G289" s="46"/>
      <c r="H289" s="46"/>
      <c r="I289" s="46"/>
      <c r="J289" s="46"/>
      <c r="K289" s="46"/>
      <c r="L289" s="46"/>
      <c r="M289" s="46"/>
      <c r="N289" s="45"/>
      <c r="O289" s="15"/>
    </row>
    <row r="290" spans="1:15" ht="48.75" customHeight="1">
      <c r="C290" s="125" t="s">
        <v>235</v>
      </c>
      <c r="D290" s="46"/>
      <c r="E290" s="123"/>
      <c r="G290" s="46"/>
      <c r="H290" s="118" t="str">
        <f t="shared" ref="H290:M290" si="105">H14</f>
        <v>01/07/13 to 30/09/13</v>
      </c>
      <c r="I290" s="118" t="str">
        <f t="shared" si="105"/>
        <v>01/10/13 to 30/09/14</v>
      </c>
      <c r="J290" s="118" t="str">
        <f t="shared" si="105"/>
        <v>01/10/14 to 30/09/15</v>
      </c>
      <c r="K290" s="118" t="str">
        <f t="shared" si="105"/>
        <v>01/10/15 to 30/09/16</v>
      </c>
      <c r="L290" s="118" t="str">
        <f t="shared" si="105"/>
        <v>01/10/16 to 30/09/17</v>
      </c>
      <c r="M290" s="118" t="str">
        <f t="shared" si="105"/>
        <v/>
      </c>
      <c r="N290" s="45"/>
    </row>
    <row r="291" spans="1:15">
      <c r="D291" s="80"/>
      <c r="F291" s="54"/>
      <c r="N291" s="45"/>
    </row>
    <row r="292" spans="1:15" ht="21">
      <c r="C292" s="3" t="s">
        <v>70</v>
      </c>
      <c r="D292" s="80"/>
      <c r="F292" s="54"/>
      <c r="N292" s="45"/>
    </row>
    <row r="293" spans="1:15">
      <c r="D293" s="80"/>
      <c r="E293" s="10" t="str">
        <f t="shared" ref="E293:M293" si="106">E$21</f>
        <v>2009/10</v>
      </c>
      <c r="F293" s="10" t="str">
        <f t="shared" si="106"/>
        <v>2010/11</v>
      </c>
      <c r="G293" s="10" t="str">
        <f t="shared" si="106"/>
        <v>2011/12</v>
      </c>
      <c r="H293" s="10" t="str">
        <f t="shared" si="106"/>
        <v>2012/13</v>
      </c>
      <c r="I293" s="10" t="str">
        <f t="shared" si="106"/>
        <v>2013/14</v>
      </c>
      <c r="J293" s="10" t="str">
        <f t="shared" si="106"/>
        <v>2014/15</v>
      </c>
      <c r="K293" s="10" t="str">
        <f t="shared" si="106"/>
        <v>2015/16</v>
      </c>
      <c r="L293" s="10" t="str">
        <f t="shared" si="106"/>
        <v>2016/17</v>
      </c>
      <c r="M293" s="10" t="str">
        <f t="shared" si="106"/>
        <v>2017/18</v>
      </c>
      <c r="N293" s="45"/>
    </row>
    <row r="294" spans="1:15">
      <c r="C294" s="74" t="s">
        <v>264</v>
      </c>
      <c r="D294" s="29">
        <f>E41</f>
        <v>16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45"/>
    </row>
    <row r="295" spans="1:15">
      <c r="C295" s="74" t="s">
        <v>35</v>
      </c>
      <c r="D295" s="29">
        <f>D286+D294</f>
        <v>16686.556298319945</v>
      </c>
      <c r="F295" s="55"/>
      <c r="G295" s="78"/>
      <c r="H295" s="78"/>
      <c r="I295" s="78"/>
      <c r="J295" s="78"/>
      <c r="K295" s="78"/>
      <c r="L295" s="78"/>
      <c r="M295" s="78"/>
      <c r="N295" s="45"/>
    </row>
    <row r="296" spans="1:15">
      <c r="C296" s="74" t="s">
        <v>203</v>
      </c>
      <c r="D296" s="29"/>
      <c r="F296" s="55"/>
      <c r="G296" s="78"/>
      <c r="H296" s="64">
        <f t="shared" ref="H296:M296" si="107">H51/12</f>
        <v>0.25</v>
      </c>
      <c r="I296" s="64">
        <f t="shared" si="107"/>
        <v>1</v>
      </c>
      <c r="J296" s="64">
        <f t="shared" si="107"/>
        <v>1</v>
      </c>
      <c r="K296" s="64">
        <f t="shared" si="107"/>
        <v>1</v>
      </c>
      <c r="L296" s="64">
        <f t="shared" si="107"/>
        <v>1</v>
      </c>
      <c r="M296" s="64">
        <f t="shared" si="107"/>
        <v>0</v>
      </c>
      <c r="N296" s="45"/>
    </row>
    <row r="297" spans="1:15">
      <c r="C297" s="74" t="s">
        <v>207</v>
      </c>
      <c r="D297" s="29"/>
      <c r="F297" s="55"/>
      <c r="G297" s="78"/>
      <c r="H297" s="116">
        <f>I297-1</f>
        <v>0.25</v>
      </c>
      <c r="I297" s="183">
        <f>IF($G$1 = 4,1,1.25)</f>
        <v>1.25</v>
      </c>
      <c r="J297" s="64">
        <f>I297+J296</f>
        <v>2.25</v>
      </c>
      <c r="K297" s="64">
        <f>J297+K296</f>
        <v>3.25</v>
      </c>
      <c r="L297" s="64">
        <f>K297+L296</f>
        <v>4.25</v>
      </c>
      <c r="M297" s="64">
        <f>L297+M296</f>
        <v>4.25</v>
      </c>
      <c r="N297" s="45"/>
    </row>
    <row r="298" spans="1:15">
      <c r="A298" s="110"/>
      <c r="C298" s="74" t="s">
        <v>102</v>
      </c>
      <c r="D298" s="80"/>
      <c r="F298" s="31"/>
      <c r="G298" s="31"/>
      <c r="H298" s="100">
        <f>H296*I298/((1+I$78)*(1+I$49)*(1-X_industry_wide))</f>
        <v>0.24796223189094321</v>
      </c>
      <c r="I298" s="184">
        <v>1</v>
      </c>
      <c r="J298" s="100">
        <f>J296*I298*(1+J$78)*(1+J$49)*(1-X_industry_wide)</f>
        <v>1.0137337089493266</v>
      </c>
      <c r="K298" s="31">
        <f>K296*J298*(1+K$78)*(1+K$49)*(1-X_industry_wide)</f>
        <v>1.0302380676958536</v>
      </c>
      <c r="L298" s="100">
        <f>L296*K298*(1+L$78)*(1+L$49)*(1-X_industry_wide)</f>
        <v>1.047487278779935</v>
      </c>
      <c r="M298" s="100">
        <f>M296*L298*(1+M$78)*(1+M$49)*(1-X_industry_wide)</f>
        <v>0</v>
      </c>
      <c r="N298" s="70"/>
      <c r="O298" s="74" t="s">
        <v>422</v>
      </c>
    </row>
    <row r="299" spans="1:15">
      <c r="C299" s="74" t="s">
        <v>69</v>
      </c>
      <c r="D299" s="80"/>
      <c r="F299" s="57"/>
      <c r="G299" s="31"/>
      <c r="H299" s="31">
        <f t="shared" ref="H299:M299" si="108">H298/(1+WACC)^H$297</f>
        <v>0.24355331035311473</v>
      </c>
      <c r="I299" s="31">
        <f t="shared" si="108"/>
        <v>0.91420270174005624</v>
      </c>
      <c r="J299" s="31">
        <f t="shared" si="108"/>
        <v>0.86258199512885536</v>
      </c>
      <c r="K299" s="31">
        <f t="shared" si="108"/>
        <v>0.81592096851560048</v>
      </c>
      <c r="L299" s="31">
        <f t="shared" si="108"/>
        <v>0.77213503528069682</v>
      </c>
      <c r="M299" s="31">
        <f t="shared" si="108"/>
        <v>0</v>
      </c>
      <c r="N299" s="45"/>
      <c r="O299" s="74" t="s">
        <v>120</v>
      </c>
    </row>
    <row r="300" spans="1:15">
      <c r="C300" s="74" t="s">
        <v>57</v>
      </c>
      <c r="D300" s="65">
        <f>SUM(H299:M299)</f>
        <v>3.6083940110183237</v>
      </c>
      <c r="F300" s="57"/>
      <c r="G300" s="31"/>
      <c r="H300" s="31"/>
      <c r="I300" s="31"/>
      <c r="J300" s="31"/>
      <c r="K300" s="31"/>
      <c r="L300" s="31"/>
      <c r="M300" s="31"/>
      <c r="N300" s="45"/>
      <c r="O300" s="74" t="s">
        <v>121</v>
      </c>
    </row>
    <row r="301" spans="1:15">
      <c r="C301" s="74" t="s">
        <v>101</v>
      </c>
      <c r="D301" s="29">
        <f>D295/D300</f>
        <v>4624.3720190664098</v>
      </c>
      <c r="F301" s="57"/>
      <c r="G301" s="31"/>
      <c r="H301" s="22"/>
      <c r="I301" s="22"/>
      <c r="J301" s="22"/>
      <c r="K301" s="22"/>
      <c r="L301" s="22"/>
      <c r="M301" s="22"/>
      <c r="N301" s="45"/>
    </row>
    <row r="302" spans="1:15">
      <c r="C302" s="74" t="s">
        <v>97</v>
      </c>
      <c r="D302" s="29"/>
      <c r="F302" s="57"/>
      <c r="G302" s="31"/>
      <c r="H302" s="22">
        <f t="shared" ref="H302:M302" si="109">$D301*H298</f>
        <v>1146.6696069417344</v>
      </c>
      <c r="I302" s="22">
        <f t="shared" si="109"/>
        <v>4624.3720190664098</v>
      </c>
      <c r="J302" s="22">
        <f t="shared" si="109"/>
        <v>4687.8817984496773</v>
      </c>
      <c r="K302" s="22">
        <f t="shared" si="109"/>
        <v>4764.2040932297514</v>
      </c>
      <c r="L302" s="22">
        <f t="shared" si="109"/>
        <v>4843.9708623179476</v>
      </c>
      <c r="M302" s="22">
        <f t="shared" si="109"/>
        <v>0</v>
      </c>
      <c r="N302" s="45"/>
      <c r="O302" s="74" t="s">
        <v>90</v>
      </c>
    </row>
    <row r="303" spans="1:15">
      <c r="C303" s="74" t="s">
        <v>98</v>
      </c>
      <c r="D303" s="29"/>
      <c r="F303" s="57"/>
      <c r="G303" s="31"/>
      <c r="H303" s="56">
        <f t="shared" ref="H303:M303" si="110">H302/H72</f>
        <v>1144.4173635270715</v>
      </c>
      <c r="I303" s="56">
        <f t="shared" si="110"/>
        <v>4491.7501631304785</v>
      </c>
      <c r="J303" s="56">
        <f t="shared" si="110"/>
        <v>4553.4385525440021</v>
      </c>
      <c r="K303" s="56">
        <f t="shared" si="110"/>
        <v>4627.5720086360798</v>
      </c>
      <c r="L303" s="143">
        <f t="shared" si="110"/>
        <v>4705.0511553368742</v>
      </c>
      <c r="M303" s="143">
        <f t="shared" si="110"/>
        <v>0</v>
      </c>
      <c r="N303" s="45"/>
      <c r="O303" s="74" t="s">
        <v>92</v>
      </c>
    </row>
    <row r="304" spans="1:15">
      <c r="C304" s="74" t="s">
        <v>99</v>
      </c>
      <c r="D304" s="80"/>
      <c r="F304" s="57"/>
      <c r="G304" s="31"/>
      <c r="H304" s="22">
        <f t="shared" ref="H304:M304" si="111">H302/(1+WACC)^H$297</f>
        <v>1126.2811135479412</v>
      </c>
      <c r="I304" s="22">
        <f t="shared" si="111"/>
        <v>4227.6133936816314</v>
      </c>
      <c r="J304" s="22">
        <f t="shared" si="111"/>
        <v>3988.9000424243568</v>
      </c>
      <c r="K304" s="22">
        <f t="shared" si="111"/>
        <v>3773.1220965731086</v>
      </c>
      <c r="L304" s="22">
        <f t="shared" si="111"/>
        <v>3570.6396520929102</v>
      </c>
      <c r="M304" s="22">
        <f t="shared" si="111"/>
        <v>0</v>
      </c>
      <c r="N304" s="45"/>
      <c r="O304" s="74" t="s">
        <v>137</v>
      </c>
    </row>
    <row r="305" spans="3:15">
      <c r="C305" s="74" t="s">
        <v>100</v>
      </c>
      <c r="D305" s="29">
        <f>SUM(H304:M304)</f>
        <v>16686.556298319949</v>
      </c>
      <c r="F305" s="57"/>
      <c r="G305" s="31"/>
      <c r="H305" s="22"/>
      <c r="I305" s="22"/>
      <c r="J305" s="22"/>
      <c r="K305" s="22"/>
      <c r="L305" s="22"/>
      <c r="M305" s="22"/>
      <c r="N305" s="45"/>
      <c r="O305" s="74" t="s">
        <v>93</v>
      </c>
    </row>
    <row r="306" spans="3:15">
      <c r="C306" s="74" t="s">
        <v>91</v>
      </c>
      <c r="D306" s="68">
        <f>D295-D305</f>
        <v>0</v>
      </c>
      <c r="E306" s="56"/>
      <c r="F306" s="57"/>
      <c r="G306" s="31"/>
      <c r="H306" s="22"/>
      <c r="I306" s="22"/>
      <c r="J306" s="22"/>
      <c r="K306" s="22"/>
      <c r="L306" s="22"/>
      <c r="M306" s="22"/>
      <c r="N306" s="45"/>
    </row>
    <row r="307" spans="3:15">
      <c r="C307" s="74" t="s">
        <v>151</v>
      </c>
      <c r="F307" s="57"/>
      <c r="G307" s="31"/>
      <c r="H307" s="22"/>
      <c r="I307" s="22"/>
      <c r="J307" s="22"/>
      <c r="K307" s="22"/>
      <c r="L307" s="22"/>
      <c r="M307" s="22"/>
      <c r="N307" s="45"/>
    </row>
    <row r="308" spans="3:15">
      <c r="D308" s="46"/>
      <c r="F308" s="54"/>
      <c r="N308" s="45"/>
    </row>
    <row r="309" spans="3:15" ht="21">
      <c r="C309" s="3" t="s">
        <v>96</v>
      </c>
      <c r="D309" s="66"/>
      <c r="F309" s="56"/>
      <c r="G309" s="22"/>
      <c r="H309" s="22"/>
      <c r="I309" s="22"/>
      <c r="J309" s="22"/>
      <c r="K309" s="22"/>
      <c r="L309" s="22"/>
      <c r="M309" s="22"/>
      <c r="N309" s="45"/>
    </row>
    <row r="310" spans="3:15" ht="15" customHeight="1">
      <c r="C310" s="81" t="str">
        <f>IF($G$1=4,"Estimation of revenue in year-ending 30-6-2012","Estimation of revenue in year-ending 30-9-2011")</f>
        <v>Estimation of revenue in year-ending 30-9-2011</v>
      </c>
      <c r="D310" s="22"/>
      <c r="E310" s="22"/>
      <c r="F310" s="56"/>
      <c r="G310" s="22"/>
      <c r="H310" s="22"/>
      <c r="I310" s="22"/>
      <c r="J310" s="22"/>
      <c r="K310" s="22"/>
      <c r="L310" s="22"/>
      <c r="M310" s="22"/>
      <c r="N310" s="45"/>
    </row>
    <row r="311" spans="3:15" ht="15" customHeight="1">
      <c r="C311" s="74" t="str">
        <f>IF($G$1=4,"Price increase on 1 July 2011","Price increase on 1 October 2010")</f>
        <v>Price increase on 1 October 2010</v>
      </c>
      <c r="D311" s="59">
        <f>IF($G$1=4,G59,F60)</f>
        <v>1.890315052508762E-2</v>
      </c>
      <c r="F311" s="56"/>
      <c r="G311" s="22"/>
      <c r="H311" s="22"/>
      <c r="I311" s="22"/>
      <c r="J311" s="22"/>
      <c r="K311" s="22"/>
      <c r="L311" s="22"/>
      <c r="M311" s="22"/>
      <c r="N311" s="45"/>
    </row>
    <row r="312" spans="3:15" ht="15" customHeight="1">
      <c r="C312" s="74" t="str">
        <f>IF($G$1=4,"Constant price revenue growth to Y/E 30-6-2012","Constant price revenue growth to Y/E 30-9-2011")</f>
        <v>Constant price revenue growth to Y/E 30-9-2011</v>
      </c>
      <c r="D312" s="208">
        <f>IF($G$1=4,0,F49)</f>
        <v>-3.7679929234839878E-2</v>
      </c>
      <c r="E312" s="80"/>
      <c r="F312" s="209"/>
      <c r="G312" s="46"/>
      <c r="H312" s="46"/>
      <c r="I312" s="46"/>
      <c r="J312" s="46"/>
      <c r="K312" s="46"/>
      <c r="L312" s="46"/>
      <c r="M312" s="46"/>
      <c r="N312" s="45"/>
    </row>
    <row r="313" spans="3:15" ht="15" customHeight="1">
      <c r="C313" s="56"/>
      <c r="D313" s="209"/>
      <c r="E313" s="209"/>
      <c r="F313" s="209"/>
      <c r="G313" s="46"/>
      <c r="H313" s="46"/>
      <c r="I313" s="46"/>
      <c r="J313" s="46"/>
      <c r="K313" s="46"/>
      <c r="L313" s="46"/>
      <c r="M313" s="46"/>
      <c r="N313" s="45"/>
    </row>
    <row r="314" spans="3:15" ht="15" customHeight="1">
      <c r="C314" s="74" t="str">
        <f>IF($G$1=4,"Revenue growth to Y/E 30-6-2012","Revenue growth to Y/E 30-9-2011")</f>
        <v>Revenue growth to Y/E 30-9-2011</v>
      </c>
      <c r="D314" s="208">
        <f>(1+D311)*(1+D312)-1</f>
        <v>-1.94890480838531E-2</v>
      </c>
      <c r="E314" s="80"/>
      <c r="F314" s="209"/>
      <c r="G314" s="46"/>
      <c r="H314" s="46"/>
      <c r="I314" s="46"/>
      <c r="J314" s="46"/>
      <c r="K314" s="46"/>
      <c r="L314" s="46"/>
      <c r="M314" s="46"/>
      <c r="N314" s="45"/>
    </row>
    <row r="315" spans="3:15" ht="15" customHeight="1">
      <c r="C315" s="74" t="str">
        <f>IF($G$1=4,"Proportion of BB Y/E 31-12-11 in AR Y/E 30-6-11","Proportion of BB Y/E 30-6-11 in AR Y/E 30-9-10")</f>
        <v>Proportion of BB Y/E 30-6-11 in AR Y/E 30-9-10</v>
      </c>
      <c r="D315" s="210">
        <f>IF($G$1=4,0.5,0.25)</f>
        <v>0.25</v>
      </c>
      <c r="E315" s="80"/>
      <c r="F315" s="209"/>
      <c r="G315" s="46"/>
      <c r="H315" s="46"/>
      <c r="I315" s="46"/>
      <c r="J315" s="46"/>
      <c r="K315" s="46"/>
      <c r="L315" s="46"/>
      <c r="M315" s="46"/>
      <c r="N315" s="45"/>
    </row>
    <row r="316" spans="3:15" ht="15" customHeight="1">
      <c r="C316" s="74" t="str">
        <f>IF($G$1=4,"Net revenue in information year ending 31-12-11","Net revenue in information year ending 30-6-11")</f>
        <v>Net revenue in information year ending 30-6-11</v>
      </c>
      <c r="D316" s="209">
        <f>F$23-F$24-F$25</f>
        <v>4173.5807600000007</v>
      </c>
      <c r="E316" s="80"/>
      <c r="F316" s="209"/>
      <c r="G316" s="46"/>
      <c r="H316" s="46"/>
      <c r="I316" s="46"/>
      <c r="J316" s="46"/>
      <c r="K316" s="46"/>
      <c r="L316" s="46"/>
      <c r="M316" s="46"/>
      <c r="N316" s="45"/>
    </row>
    <row r="317" spans="3:15" ht="15" customHeight="1">
      <c r="C317" s="74" t="str">
        <f>IF($G$1=4,"Estimated income in Y/E 30-6-2011","Estimated income in Y/E 30-9-2010")</f>
        <v>Estimated income in Y/E 30-9-2010</v>
      </c>
      <c r="D317" s="211">
        <f>D316/(1+D314*(1-D315))</f>
        <v>4235.4900113676686</v>
      </c>
      <c r="E317" s="80"/>
      <c r="F317" s="209"/>
      <c r="G317" s="46"/>
      <c r="H317" s="46"/>
      <c r="I317" s="46"/>
      <c r="J317" s="46"/>
      <c r="K317" s="46"/>
      <c r="L317" s="46"/>
      <c r="M317" s="46"/>
      <c r="N317" s="45"/>
    </row>
    <row r="318" spans="3:15" ht="15" customHeight="1">
      <c r="C318" s="74" t="str">
        <f>IF($G$1=4,"Estimated income in Y/E 30-6-2012","Estimated income in Y/E 30-9-2011")</f>
        <v>Estimated income in Y/E 30-9-2011</v>
      </c>
      <c r="D318" s="211">
        <f>D317*(1+D314)</f>
        <v>4152.9443428774448</v>
      </c>
      <c r="E318" s="80"/>
      <c r="F318" s="209"/>
      <c r="G318" s="46"/>
      <c r="H318" s="46"/>
      <c r="I318" s="46"/>
      <c r="J318" s="46"/>
      <c r="K318" s="46"/>
      <c r="L318" s="46"/>
      <c r="M318" s="46"/>
      <c r="N318" s="45"/>
    </row>
    <row r="319" spans="3:15" ht="15" customHeight="1">
      <c r="C319" s="74" t="str">
        <f>"Check: (" &amp; TEXT(D315,"0%") &amp; " of " &amp; TEXT(D317,"0,000") &amp; " plus " &amp; TEXT(1-D315,"0%") &amp;  " of " &amp; TEXT(D318,"0,000") &amp; ") less " &amp; TEXT(D316,"0,000")</f>
        <v>Check: (25% of 4,235 plus 75% of 4,153) less 4,174</v>
      </c>
      <c r="D319" s="211">
        <f>D315*D317+(1-D315)*D318-D316</f>
        <v>0</v>
      </c>
      <c r="E319" s="80" t="s">
        <v>270</v>
      </c>
      <c r="F319" s="212"/>
      <c r="G319" s="46"/>
      <c r="H319" s="46"/>
      <c r="I319" s="46"/>
      <c r="J319" s="46"/>
      <c r="K319" s="46"/>
      <c r="L319" s="46"/>
      <c r="M319" s="46"/>
      <c r="N319" s="45"/>
    </row>
    <row r="320" spans="3:15" ht="15" customHeight="1">
      <c r="D320" s="66"/>
      <c r="E320" s="80"/>
      <c r="F320" s="209"/>
      <c r="G320" s="46"/>
      <c r="H320" s="46"/>
      <c r="I320" s="46"/>
      <c r="J320" s="46"/>
      <c r="K320" s="46"/>
      <c r="L320" s="46"/>
      <c r="M320" s="46"/>
      <c r="N320" s="45"/>
    </row>
    <row r="321" spans="1:17">
      <c r="A321" s="22"/>
      <c r="B321" s="22"/>
      <c r="C321" s="81" t="s">
        <v>232</v>
      </c>
      <c r="D321" s="46"/>
      <c r="E321" s="213" t="str">
        <f t="shared" ref="E321:M321" si="112">E$21</f>
        <v>2009/10</v>
      </c>
      <c r="F321" s="213" t="str">
        <f t="shared" si="112"/>
        <v>2010/11</v>
      </c>
      <c r="G321" s="213" t="str">
        <f t="shared" si="112"/>
        <v>2011/12</v>
      </c>
      <c r="H321" s="213" t="str">
        <f t="shared" si="112"/>
        <v>2012/13</v>
      </c>
      <c r="I321" s="213" t="str">
        <f t="shared" si="112"/>
        <v>2013/14</v>
      </c>
      <c r="J321" s="213" t="str">
        <f t="shared" si="112"/>
        <v>2014/15</v>
      </c>
      <c r="K321" s="213" t="str">
        <f t="shared" si="112"/>
        <v>2015/16</v>
      </c>
      <c r="L321" s="213" t="str">
        <f t="shared" si="112"/>
        <v>2016/17</v>
      </c>
      <c r="M321" s="213" t="str">
        <f t="shared" si="112"/>
        <v>2017/18</v>
      </c>
      <c r="N321" s="45"/>
    </row>
    <row r="322" spans="1:17">
      <c r="A322" s="22"/>
      <c r="B322" s="22"/>
      <c r="C322" s="74" t="s">
        <v>297</v>
      </c>
      <c r="D322" s="46"/>
      <c r="E322" s="198"/>
      <c r="F322" s="208"/>
      <c r="G322" s="208">
        <f t="shared" ref="G322:M322" si="113">IF($G$1=4,G$59,G60)</f>
        <v>2.9088410444342738E-2</v>
      </c>
      <c r="H322" s="208">
        <f t="shared" si="113"/>
        <v>3.2940129089695125E-2</v>
      </c>
      <c r="I322" s="208">
        <f t="shared" si="113"/>
        <v>1.3574660633484115E-2</v>
      </c>
      <c r="J322" s="208">
        <f t="shared" si="113"/>
        <v>1.9119615478218499E-2</v>
      </c>
      <c r="K322" s="208">
        <f t="shared" si="113"/>
        <v>2.1680202356610057E-2</v>
      </c>
      <c r="L322" s="208">
        <f t="shared" si="113"/>
        <v>2.2144831398562603E-2</v>
      </c>
      <c r="M322" s="208">
        <f t="shared" si="113"/>
        <v>2.1072415699281422E-2</v>
      </c>
      <c r="N322" s="45"/>
    </row>
    <row r="323" spans="1:17">
      <c r="A323" s="22"/>
      <c r="B323" s="22"/>
      <c r="C323" s="74" t="s">
        <v>150</v>
      </c>
      <c r="D323" s="46"/>
      <c r="E323" s="214"/>
      <c r="F323" s="208"/>
      <c r="G323" s="208">
        <f>G49</f>
        <v>-5.2848619996040966E-3</v>
      </c>
      <c r="H323" s="208">
        <f t="shared" ref="H323:M323" si="114">H49</f>
        <v>-5.2848619996040966E-3</v>
      </c>
      <c r="I323" s="208">
        <f t="shared" si="114"/>
        <v>-5.2848619996040966E-3</v>
      </c>
      <c r="J323" s="208">
        <f t="shared" si="114"/>
        <v>-5.2848619996040966E-3</v>
      </c>
      <c r="K323" s="208">
        <f t="shared" si="114"/>
        <v>-5.2848619996040966E-3</v>
      </c>
      <c r="L323" s="208">
        <f t="shared" si="114"/>
        <v>-5.2848619996040966E-3</v>
      </c>
      <c r="M323" s="208">
        <f t="shared" si="114"/>
        <v>-5.2848619996040966E-3</v>
      </c>
      <c r="N323" s="59"/>
      <c r="O323" s="59"/>
      <c r="P323" s="59"/>
    </row>
    <row r="324" spans="1:17">
      <c r="A324" s="22"/>
      <c r="B324" s="22"/>
      <c r="C324" s="80" t="s">
        <v>236</v>
      </c>
      <c r="D324" s="80"/>
      <c r="E324" s="80"/>
      <c r="F324" s="185">
        <f>IF($G$1=4,D317,D318)</f>
        <v>4152.9443428774448</v>
      </c>
      <c r="G324" s="209">
        <f>F324*(1+G322)*IF($G$1=4,1,(1+G323))</f>
        <v>4251.1607299276047</v>
      </c>
      <c r="H324" s="209">
        <f t="shared" ref="H324:M324" si="115">G324*(1+H322)*IF($G$1=4,1,(1+H323))</f>
        <v>4367.9876561370329</v>
      </c>
      <c r="I324" s="209">
        <f t="shared" si="115"/>
        <v>4403.8840338980808</v>
      </c>
      <c r="J324" s="209">
        <f t="shared" si="115"/>
        <v>4464.3656954662238</v>
      </c>
      <c r="K324" s="209">
        <f t="shared" si="115"/>
        <v>4537.0489774397802</v>
      </c>
      <c r="L324" s="209">
        <f t="shared" si="115"/>
        <v>4613.0125027303038</v>
      </c>
      <c r="M324" s="209">
        <f t="shared" si="115"/>
        <v>4685.3269580783035</v>
      </c>
      <c r="N324" s="45"/>
      <c r="O324" s="80"/>
    </row>
    <row r="325" spans="1:17">
      <c r="A325" s="22"/>
      <c r="B325" s="22"/>
      <c r="C325" s="87"/>
      <c r="D325" s="87"/>
      <c r="E325" s="87"/>
      <c r="F325" s="87"/>
      <c r="G325" s="209"/>
      <c r="H325" s="209"/>
      <c r="I325" s="209"/>
      <c r="J325" s="209"/>
      <c r="K325" s="209"/>
      <c r="L325" s="209"/>
      <c r="M325" s="209"/>
      <c r="N325" s="45"/>
      <c r="O325" s="80"/>
    </row>
    <row r="326" spans="1:17">
      <c r="A326" s="22"/>
      <c r="B326" s="22"/>
      <c r="C326" s="74" t="s">
        <v>202</v>
      </c>
      <c r="D326" s="46">
        <f>I324</f>
        <v>4403.8840338980808</v>
      </c>
      <c r="F326" s="56"/>
      <c r="G326" s="22"/>
      <c r="H326" s="22"/>
      <c r="I326" s="22"/>
      <c r="J326" s="22"/>
      <c r="K326" s="22"/>
      <c r="L326" s="22"/>
      <c r="M326" s="22"/>
      <c r="N326" s="45"/>
      <c r="O326" s="80"/>
    </row>
    <row r="327" spans="1:17">
      <c r="B327" s="22"/>
      <c r="C327" s="74" t="s">
        <v>201</v>
      </c>
      <c r="D327" s="46">
        <f>I303</f>
        <v>4491.7501631304785</v>
      </c>
      <c r="F327" s="89"/>
      <c r="G327" s="22"/>
      <c r="K327" s="22"/>
      <c r="L327" s="22"/>
      <c r="M327" s="22"/>
      <c r="N327" s="45"/>
    </row>
    <row r="328" spans="1:17">
      <c r="B328" s="22"/>
      <c r="C328" s="74" t="s">
        <v>147</v>
      </c>
      <c r="D328" s="35">
        <f>(D327-D326)/D326</f>
        <v>1.9951962530362854E-2</v>
      </c>
      <c r="F328" s="56"/>
      <c r="G328" s="22"/>
      <c r="K328" s="22"/>
      <c r="L328" s="22"/>
      <c r="M328" s="22"/>
      <c r="N328" s="22"/>
      <c r="O328" s="22"/>
      <c r="P328" s="22"/>
      <c r="Q328" s="22"/>
    </row>
    <row r="329" spans="1:17">
      <c r="B329" s="22"/>
      <c r="D329" s="80"/>
      <c r="F329" s="56"/>
      <c r="G329" s="22"/>
      <c r="K329" s="22"/>
      <c r="L329" s="22"/>
      <c r="M329" s="22"/>
      <c r="N329" s="45"/>
    </row>
    <row r="330" spans="1:17">
      <c r="B330" s="22"/>
      <c r="C330" s="74" t="s">
        <v>295</v>
      </c>
      <c r="D330" s="80"/>
      <c r="F330" s="56"/>
      <c r="G330" s="22"/>
      <c r="H330" s="22">
        <f>H296*H324</f>
        <v>1091.9969140342582</v>
      </c>
      <c r="I330" s="22">
        <f t="shared" ref="I330:M330" si="116">I296*I324</f>
        <v>4403.8840338980808</v>
      </c>
      <c r="J330" s="22">
        <f t="shared" si="116"/>
        <v>4464.3656954662238</v>
      </c>
      <c r="K330" s="22">
        <f t="shared" si="116"/>
        <v>4537.0489774397802</v>
      </c>
      <c r="L330" s="22">
        <f t="shared" si="116"/>
        <v>4613.0125027303038</v>
      </c>
      <c r="M330" s="22">
        <f t="shared" si="116"/>
        <v>0</v>
      </c>
      <c r="N330" s="45"/>
    </row>
    <row r="331" spans="1:17">
      <c r="C331" s="74" t="s">
        <v>296</v>
      </c>
      <c r="H331" s="22">
        <f t="shared" ref="H331:M331" si="117">H330*H72</f>
        <v>1094.1459926281777</v>
      </c>
      <c r="I331" s="22">
        <f t="shared" si="117"/>
        <v>4533.9115850063845</v>
      </c>
      <c r="J331" s="22">
        <f t="shared" si="117"/>
        <v>4596.1790071168425</v>
      </c>
      <c r="K331" s="22">
        <f t="shared" si="117"/>
        <v>4671.0083104408232</v>
      </c>
      <c r="L331" s="22">
        <f t="shared" si="117"/>
        <v>4749.2147084071594</v>
      </c>
      <c r="M331" s="22">
        <f t="shared" si="117"/>
        <v>0</v>
      </c>
      <c r="N331" s="45"/>
    </row>
    <row r="332" spans="1:17">
      <c r="C332" s="74" t="s">
        <v>285</v>
      </c>
      <c r="D332" s="80"/>
      <c r="F332" s="56"/>
      <c r="G332" s="22"/>
      <c r="H332" s="22">
        <f t="shared" ref="H332:M332" si="118">H331/(1+WACC)^H297</f>
        <v>1074.6914015171058</v>
      </c>
      <c r="I332" s="22">
        <f t="shared" si="118"/>
        <v>4144.9142204633772</v>
      </c>
      <c r="J332" s="22">
        <f t="shared" si="118"/>
        <v>3910.8705007326384</v>
      </c>
      <c r="K332" s="22">
        <f t="shared" si="118"/>
        <v>3699.3135316025114</v>
      </c>
      <c r="L332" s="22">
        <f t="shared" si="118"/>
        <v>3500.791981648465</v>
      </c>
      <c r="M332" s="22">
        <f t="shared" si="118"/>
        <v>0</v>
      </c>
      <c r="N332" s="45"/>
    </row>
    <row r="333" spans="1:17">
      <c r="C333" s="74" t="s">
        <v>286</v>
      </c>
      <c r="D333" s="80"/>
      <c r="F333" s="56">
        <f>SUM(H332:M332)</f>
        <v>16330.581635964098</v>
      </c>
      <c r="G333" s="22"/>
      <c r="K333" s="22"/>
      <c r="L333" s="22"/>
      <c r="M333" s="22"/>
      <c r="N333" s="45"/>
    </row>
    <row r="334" spans="1:17">
      <c r="D334" s="80"/>
      <c r="F334" s="56"/>
      <c r="G334" s="22"/>
      <c r="K334" s="22"/>
      <c r="L334" s="22"/>
      <c r="M334" s="22"/>
      <c r="N334" s="45"/>
    </row>
    <row r="335" spans="1:17" ht="21">
      <c r="C335" s="3" t="s">
        <v>283</v>
      </c>
      <c r="D335" s="80"/>
      <c r="F335" s="56"/>
      <c r="G335" s="22"/>
      <c r="K335" s="22"/>
      <c r="L335" s="22"/>
      <c r="M335" s="22"/>
      <c r="N335" s="45"/>
    </row>
    <row r="336" spans="1:17">
      <c r="C336" s="74" t="s">
        <v>282</v>
      </c>
      <c r="D336" s="80"/>
      <c r="E336" s="22">
        <f>H303+I303</f>
        <v>5636.1675266575503</v>
      </c>
      <c r="F336" s="56"/>
      <c r="G336" s="22"/>
      <c r="K336" s="22"/>
      <c r="L336" s="22"/>
      <c r="M336" s="22"/>
      <c r="N336" s="45"/>
    </row>
    <row r="337" spans="3:14" ht="30">
      <c r="C337" s="54" t="s">
        <v>287</v>
      </c>
      <c r="D337" s="80"/>
      <c r="E337" s="22">
        <f>F333-D286</f>
        <v>-339.97466235584761</v>
      </c>
      <c r="F337" s="56"/>
      <c r="G337" s="22"/>
      <c r="K337" s="22"/>
      <c r="L337" s="22"/>
      <c r="M337" s="22"/>
      <c r="N337" s="45"/>
    </row>
    <row r="338" spans="3:14">
      <c r="D338" s="80"/>
      <c r="F338" s="56"/>
      <c r="G338" s="22"/>
      <c r="K338" s="22"/>
      <c r="L338" s="22"/>
      <c r="M338" s="22"/>
      <c r="N338" s="45"/>
    </row>
    <row r="339" spans="3:14" ht="21">
      <c r="C339" s="3" t="s">
        <v>298</v>
      </c>
      <c r="D339" s="80"/>
      <c r="F339" s="56"/>
      <c r="G339" s="22"/>
      <c r="K339" s="22"/>
      <c r="L339" s="22"/>
      <c r="M339" s="22"/>
      <c r="N339" s="45"/>
    </row>
    <row r="340" spans="3:14">
      <c r="C340" s="74" t="s">
        <v>299</v>
      </c>
      <c r="D340" s="80"/>
      <c r="F340" s="56"/>
      <c r="G340" s="22"/>
      <c r="H340" s="22">
        <f>IF(H303=0,0,H303/H296)</f>
        <v>4577.6694541082861</v>
      </c>
      <c r="I340" s="22">
        <f>IF(I303=0,0,I303/I296)</f>
        <v>4491.7501631304785</v>
      </c>
      <c r="K340" s="22"/>
      <c r="L340" s="22"/>
      <c r="M340" s="22"/>
      <c r="N340" s="45"/>
    </row>
    <row r="341" spans="3:14">
      <c r="C341" s="74" t="s">
        <v>300</v>
      </c>
      <c r="E341" s="31">
        <f>IF(G1=4,(1+H49)*(1+I49),(1+G49)*(1+H49))</f>
        <v>0.98945820576714671</v>
      </c>
    </row>
    <row r="342" spans="3:14">
      <c r="E342" s="60"/>
    </row>
    <row r="343" spans="3:14">
      <c r="E343" s="60"/>
    </row>
    <row r="344" spans="3:14">
      <c r="E344" s="60"/>
    </row>
    <row r="345" spans="3:14">
      <c r="E345" s="60"/>
    </row>
    <row r="346" spans="3:14">
      <c r="E346" s="60"/>
    </row>
    <row r="347" spans="3:14">
      <c r="E347" s="60"/>
    </row>
    <row r="348" spans="3:14">
      <c r="E348" s="60"/>
    </row>
    <row r="349" spans="3:14">
      <c r="E349" s="60"/>
    </row>
    <row r="350" spans="3:14">
      <c r="E350" s="60"/>
    </row>
    <row r="351" spans="3:14">
      <c r="E351" s="60"/>
    </row>
    <row r="352" spans="3:14">
      <c r="E352" s="60"/>
    </row>
    <row r="353" spans="5:5">
      <c r="E353" s="60"/>
    </row>
    <row r="354" spans="5:5">
      <c r="E354" s="60"/>
    </row>
    <row r="355" spans="5:5">
      <c r="E355" s="60"/>
    </row>
    <row r="356" spans="5:5">
      <c r="E356" s="60"/>
    </row>
    <row r="357" spans="5:5">
      <c r="E357" s="60"/>
    </row>
    <row r="358" spans="5:5">
      <c r="E358" s="60"/>
    </row>
    <row r="359" spans="5:5">
      <c r="E359" s="60"/>
    </row>
    <row r="360" spans="5:5">
      <c r="E360" s="60"/>
    </row>
    <row r="361" spans="5:5">
      <c r="E361" s="60"/>
    </row>
    <row r="362" spans="5:5">
      <c r="E362" s="60"/>
    </row>
    <row r="363" spans="5:5">
      <c r="E363" s="60"/>
    </row>
    <row r="364" spans="5:5">
      <c r="E364" s="60"/>
    </row>
    <row r="365" spans="5:5">
      <c r="E365" s="60"/>
    </row>
    <row r="366" spans="5:5">
      <c r="E366" s="60"/>
    </row>
    <row r="367" spans="5:5">
      <c r="E367" s="60"/>
    </row>
    <row r="368" spans="5:5">
      <c r="E368" s="60"/>
    </row>
    <row r="369" spans="5:5">
      <c r="E369" s="60"/>
    </row>
    <row r="370" spans="5:5">
      <c r="E370" s="60"/>
    </row>
    <row r="371" spans="5:5">
      <c r="E371" s="60"/>
    </row>
    <row r="372" spans="5:5">
      <c r="E372" s="60"/>
    </row>
    <row r="373" spans="5:5">
      <c r="E373" s="60"/>
    </row>
    <row r="374" spans="5:5">
      <c r="E374" s="60"/>
    </row>
    <row r="375" spans="5:5">
      <c r="E375" s="60"/>
    </row>
    <row r="376" spans="5:5">
      <c r="E376" s="60"/>
    </row>
    <row r="377" spans="5:5">
      <c r="E377" s="60"/>
    </row>
    <row r="378" spans="5:5">
      <c r="E378" s="60"/>
    </row>
    <row r="379" spans="5:5">
      <c r="E379" s="60"/>
    </row>
    <row r="380" spans="5:5">
      <c r="E380" s="60"/>
    </row>
    <row r="381" spans="5:5">
      <c r="E381" s="60"/>
    </row>
    <row r="382" spans="5:5">
      <c r="E382" s="60"/>
    </row>
    <row r="383" spans="5:5">
      <c r="E383" s="60"/>
    </row>
    <row r="384" spans="5:5">
      <c r="E384" s="60"/>
    </row>
    <row r="385" spans="5:5">
      <c r="E385" s="60"/>
    </row>
    <row r="386" spans="5:5">
      <c r="E386" s="60"/>
    </row>
    <row r="387" spans="5:5">
      <c r="E387" s="60"/>
    </row>
    <row r="388" spans="5:5">
      <c r="E388" s="60"/>
    </row>
    <row r="389" spans="5:5">
      <c r="E389" s="60"/>
    </row>
    <row r="390" spans="5:5">
      <c r="E390" s="60"/>
    </row>
    <row r="391" spans="5:5">
      <c r="E391" s="60"/>
    </row>
    <row r="392" spans="5:5">
      <c r="E392" s="60"/>
    </row>
    <row r="393" spans="5:5">
      <c r="E393" s="60"/>
    </row>
    <row r="394" spans="5:5">
      <c r="E394" s="60"/>
    </row>
    <row r="395" spans="5:5">
      <c r="E395" s="60"/>
    </row>
    <row r="396" spans="5:5">
      <c r="E396" s="60"/>
    </row>
    <row r="397" spans="5:5">
      <c r="E397" s="60"/>
    </row>
    <row r="398" spans="5:5">
      <c r="E398" s="60"/>
    </row>
    <row r="399" spans="5:5">
      <c r="E399" s="60"/>
    </row>
    <row r="400" spans="5:5">
      <c r="E400" s="60"/>
    </row>
    <row r="401" spans="5:5">
      <c r="E401" s="60"/>
    </row>
    <row r="402" spans="5:5">
      <c r="E402" s="60"/>
    </row>
    <row r="403" spans="5:5">
      <c r="E403" s="60"/>
    </row>
    <row r="404" spans="5:5">
      <c r="E404" s="60"/>
    </row>
    <row r="405" spans="5:5">
      <c r="E405" s="60"/>
    </row>
    <row r="406" spans="5:5">
      <c r="E406" s="60"/>
    </row>
    <row r="407" spans="5:5">
      <c r="E407" s="60"/>
    </row>
    <row r="408" spans="5:5">
      <c r="E408" s="60"/>
    </row>
    <row r="409" spans="5:5">
      <c r="E409" s="60"/>
    </row>
    <row r="410" spans="5:5">
      <c r="E410" s="60"/>
    </row>
    <row r="411" spans="5:5">
      <c r="E411" s="60"/>
    </row>
    <row r="412" spans="5:5">
      <c r="E412" s="60"/>
    </row>
    <row r="413" spans="5:5">
      <c r="E413" s="60"/>
    </row>
    <row r="414" spans="5:5">
      <c r="E414" s="60"/>
    </row>
    <row r="415" spans="5:5">
      <c r="E415" s="60"/>
    </row>
    <row r="416" spans="5:5">
      <c r="E416" s="60"/>
    </row>
    <row r="417" spans="5:5">
      <c r="E417" s="60"/>
    </row>
    <row r="418" spans="5:5">
      <c r="E418" s="60"/>
    </row>
    <row r="419" spans="5:5">
      <c r="E419" s="60"/>
    </row>
    <row r="420" spans="5:5">
      <c r="E420" s="60"/>
    </row>
    <row r="421" spans="5:5">
      <c r="E421" s="60"/>
    </row>
    <row r="422" spans="5:5">
      <c r="E422" s="60"/>
    </row>
    <row r="423" spans="5:5">
      <c r="E423" s="60"/>
    </row>
    <row r="424" spans="5:5">
      <c r="E424" s="60"/>
    </row>
    <row r="425" spans="5:5">
      <c r="E425" s="60"/>
    </row>
    <row r="426" spans="5:5">
      <c r="E426" s="60"/>
    </row>
    <row r="427" spans="5:5">
      <c r="E427" s="60"/>
    </row>
    <row r="428" spans="5:5">
      <c r="E428" s="60"/>
    </row>
    <row r="429" spans="5:5">
      <c r="E429" s="60"/>
    </row>
    <row r="430" spans="5:5">
      <c r="E430" s="60"/>
    </row>
    <row r="431" spans="5:5">
      <c r="E431" s="60"/>
    </row>
    <row r="432" spans="5:5">
      <c r="E432" s="60"/>
    </row>
    <row r="433" spans="5:5">
      <c r="E433" s="60"/>
    </row>
    <row r="434" spans="5:5">
      <c r="E434" s="60"/>
    </row>
    <row r="435" spans="5:5">
      <c r="E435" s="60"/>
    </row>
    <row r="436" spans="5:5">
      <c r="E436" s="60"/>
    </row>
    <row r="437" spans="5:5">
      <c r="E437" s="60"/>
    </row>
    <row r="438" spans="5:5">
      <c r="E438" s="60"/>
    </row>
    <row r="439" spans="5:5">
      <c r="E439" s="60"/>
    </row>
    <row r="440" spans="5:5">
      <c r="E440" s="60"/>
    </row>
    <row r="441" spans="5:5">
      <c r="E441" s="60"/>
    </row>
    <row r="442" spans="5:5">
      <c r="E442" s="60"/>
    </row>
    <row r="443" spans="5:5">
      <c r="E443" s="60"/>
    </row>
    <row r="444" spans="5:5">
      <c r="E444" s="60"/>
    </row>
    <row r="445" spans="5:5">
      <c r="E445" s="60"/>
    </row>
    <row r="446" spans="5:5">
      <c r="E446" s="60"/>
    </row>
    <row r="447" spans="5:5">
      <c r="E447" s="60"/>
    </row>
    <row r="448" spans="5:5">
      <c r="E448" s="60"/>
    </row>
    <row r="449" spans="5:5">
      <c r="E449" s="60"/>
    </row>
    <row r="450" spans="5:5">
      <c r="E450" s="60"/>
    </row>
    <row r="451" spans="5:5">
      <c r="E451" s="60"/>
    </row>
    <row r="452" spans="5:5">
      <c r="E452" s="60"/>
    </row>
    <row r="453" spans="5:5">
      <c r="E453" s="60"/>
    </row>
    <row r="454" spans="5:5">
      <c r="E454" s="60"/>
    </row>
    <row r="455" spans="5:5">
      <c r="E455" s="60"/>
    </row>
    <row r="456" spans="5:5">
      <c r="E456" s="60"/>
    </row>
    <row r="457" spans="5:5">
      <c r="E457" s="60"/>
    </row>
    <row r="458" spans="5:5">
      <c r="E458" s="60"/>
    </row>
    <row r="459" spans="5:5">
      <c r="E459" s="60"/>
    </row>
    <row r="460" spans="5:5">
      <c r="E460" s="60"/>
    </row>
    <row r="461" spans="5:5">
      <c r="E461" s="60"/>
    </row>
    <row r="462" spans="5:5">
      <c r="E462" s="60"/>
    </row>
    <row r="463" spans="5:5">
      <c r="E463" s="60"/>
    </row>
    <row r="464" spans="5:5">
      <c r="E464" s="60"/>
    </row>
    <row r="465" spans="5:5">
      <c r="E465" s="60"/>
    </row>
    <row r="466" spans="5:5">
      <c r="E466" s="60"/>
    </row>
    <row r="467" spans="5:5">
      <c r="E467" s="60"/>
    </row>
    <row r="468" spans="5:5">
      <c r="E468" s="60"/>
    </row>
    <row r="469" spans="5:5">
      <c r="E469" s="60"/>
    </row>
    <row r="470" spans="5:5">
      <c r="E470" s="60"/>
    </row>
    <row r="471" spans="5:5">
      <c r="E471" s="60"/>
    </row>
    <row r="472" spans="5:5">
      <c r="E472" s="60"/>
    </row>
    <row r="473" spans="5:5">
      <c r="E473" s="60"/>
    </row>
    <row r="474" spans="5:5">
      <c r="E474" s="60"/>
    </row>
    <row r="475" spans="5:5">
      <c r="E475" s="60"/>
    </row>
    <row r="476" spans="5:5">
      <c r="E476" s="60"/>
    </row>
    <row r="477" spans="5:5">
      <c r="E477" s="60"/>
    </row>
    <row r="478" spans="5:5">
      <c r="E478" s="60"/>
    </row>
    <row r="479" spans="5:5">
      <c r="E479" s="60"/>
    </row>
    <row r="480" spans="5:5">
      <c r="E480" s="60"/>
    </row>
    <row r="481" spans="5:5">
      <c r="E481" s="60"/>
    </row>
    <row r="482" spans="5:5">
      <c r="E482" s="60"/>
    </row>
    <row r="483" spans="5:5">
      <c r="E483" s="60"/>
    </row>
    <row r="484" spans="5:5">
      <c r="E484" s="60"/>
    </row>
    <row r="485" spans="5:5">
      <c r="E485" s="60"/>
    </row>
    <row r="486" spans="5:5">
      <c r="E486" s="60"/>
    </row>
    <row r="487" spans="5:5">
      <c r="E487" s="60"/>
    </row>
    <row r="488" spans="5:5">
      <c r="E488" s="60"/>
    </row>
    <row r="489" spans="5:5">
      <c r="E489" s="60"/>
    </row>
    <row r="490" spans="5:5">
      <c r="E490" s="60"/>
    </row>
    <row r="491" spans="5:5">
      <c r="E491" s="60"/>
    </row>
    <row r="492" spans="5:5">
      <c r="E492" s="60"/>
    </row>
    <row r="493" spans="5:5">
      <c r="E493" s="60"/>
    </row>
    <row r="494" spans="5:5">
      <c r="E494" s="60"/>
    </row>
    <row r="495" spans="5:5">
      <c r="E495" s="60"/>
    </row>
    <row r="496" spans="5:5">
      <c r="E496" s="60"/>
    </row>
    <row r="497" spans="5:5">
      <c r="E497" s="60"/>
    </row>
    <row r="498" spans="5:5">
      <c r="E498" s="60"/>
    </row>
    <row r="499" spans="5:5">
      <c r="E499" s="60"/>
    </row>
    <row r="500" spans="5:5">
      <c r="E500" s="60"/>
    </row>
    <row r="501" spans="5:5">
      <c r="E501" s="60"/>
    </row>
    <row r="502" spans="5:5">
      <c r="E502" s="60"/>
    </row>
    <row r="503" spans="5:5">
      <c r="E503" s="60"/>
    </row>
    <row r="504" spans="5:5">
      <c r="E504" s="60"/>
    </row>
    <row r="505" spans="5:5">
      <c r="E505" s="60"/>
    </row>
    <row r="506" spans="5:5">
      <c r="E506" s="60"/>
    </row>
    <row r="507" spans="5:5">
      <c r="E507" s="60"/>
    </row>
    <row r="508" spans="5:5">
      <c r="E508" s="60"/>
    </row>
    <row r="509" spans="5:5">
      <c r="E509" s="60"/>
    </row>
    <row r="510" spans="5:5">
      <c r="E510" s="60"/>
    </row>
    <row r="511" spans="5:5">
      <c r="E511" s="60"/>
    </row>
    <row r="512" spans="5:5">
      <c r="E512" s="60"/>
    </row>
    <row r="513" spans="5:5">
      <c r="E513" s="60"/>
    </row>
    <row r="514" spans="5:5">
      <c r="E514" s="60"/>
    </row>
    <row r="515" spans="5:5">
      <c r="E515" s="60"/>
    </row>
    <row r="516" spans="5:5">
      <c r="E516" s="60"/>
    </row>
    <row r="517" spans="5:5">
      <c r="E517" s="60"/>
    </row>
    <row r="518" spans="5:5">
      <c r="E518" s="60"/>
    </row>
    <row r="519" spans="5:5">
      <c r="E519" s="60"/>
    </row>
    <row r="520" spans="5:5">
      <c r="E520" s="60"/>
    </row>
    <row r="521" spans="5:5">
      <c r="E521" s="60"/>
    </row>
    <row r="522" spans="5:5">
      <c r="E522" s="60"/>
    </row>
    <row r="523" spans="5:5">
      <c r="E523" s="60"/>
    </row>
    <row r="524" spans="5:5">
      <c r="E524" s="60"/>
    </row>
    <row r="525" spans="5:5">
      <c r="E525" s="60"/>
    </row>
    <row r="526" spans="5:5">
      <c r="E526" s="60"/>
    </row>
    <row r="527" spans="5:5">
      <c r="E527" s="60"/>
    </row>
    <row r="528" spans="5:5">
      <c r="E528" s="60"/>
    </row>
    <row r="529" spans="5:5">
      <c r="E529" s="60"/>
    </row>
    <row r="530" spans="5:5">
      <c r="E530" s="60"/>
    </row>
    <row r="531" spans="5:5">
      <c r="E531" s="60"/>
    </row>
    <row r="532" spans="5:5">
      <c r="E532" s="60"/>
    </row>
    <row r="533" spans="5:5">
      <c r="E533" s="60"/>
    </row>
    <row r="534" spans="5:5">
      <c r="E534" s="60"/>
    </row>
    <row r="535" spans="5:5">
      <c r="E535" s="60"/>
    </row>
    <row r="536" spans="5:5">
      <c r="E536" s="60"/>
    </row>
    <row r="537" spans="5:5">
      <c r="E537" s="60"/>
    </row>
    <row r="538" spans="5:5">
      <c r="E538" s="60"/>
    </row>
    <row r="539" spans="5:5">
      <c r="E539" s="60"/>
    </row>
    <row r="540" spans="5:5">
      <c r="E540" s="60"/>
    </row>
    <row r="541" spans="5:5">
      <c r="E541" s="60"/>
    </row>
    <row r="542" spans="5:5">
      <c r="E542" s="60"/>
    </row>
    <row r="543" spans="5:5">
      <c r="E543" s="60"/>
    </row>
    <row r="544" spans="5:5">
      <c r="E544" s="60"/>
    </row>
    <row r="545" spans="5:5">
      <c r="E545" s="60"/>
    </row>
    <row r="546" spans="5:5">
      <c r="E546" s="60"/>
    </row>
    <row r="547" spans="5:5">
      <c r="E547" s="60"/>
    </row>
    <row r="548" spans="5:5">
      <c r="E548" s="60"/>
    </row>
    <row r="549" spans="5:5">
      <c r="E549" s="60"/>
    </row>
    <row r="550" spans="5:5">
      <c r="E550" s="60"/>
    </row>
    <row r="551" spans="5:5">
      <c r="E551" s="60"/>
    </row>
    <row r="552" spans="5:5">
      <c r="E552" s="60"/>
    </row>
    <row r="553" spans="5:5">
      <c r="E553" s="60"/>
    </row>
    <row r="554" spans="5:5">
      <c r="E554" s="60"/>
    </row>
    <row r="555" spans="5:5">
      <c r="E555" s="60"/>
    </row>
    <row r="556" spans="5:5">
      <c r="E556" s="60"/>
    </row>
    <row r="557" spans="5:5">
      <c r="E557" s="60"/>
    </row>
    <row r="558" spans="5:5">
      <c r="E558" s="60"/>
    </row>
    <row r="559" spans="5:5">
      <c r="E559" s="60"/>
    </row>
    <row r="560" spans="5:5">
      <c r="E560" s="60"/>
    </row>
    <row r="561" spans="5:5">
      <c r="E561" s="60"/>
    </row>
    <row r="562" spans="5:5">
      <c r="E562" s="60"/>
    </row>
    <row r="563" spans="5:5">
      <c r="E563" s="60"/>
    </row>
    <row r="564" spans="5:5">
      <c r="E564" s="60"/>
    </row>
    <row r="565" spans="5:5">
      <c r="E565" s="60"/>
    </row>
    <row r="566" spans="5:5">
      <c r="E566" s="60"/>
    </row>
    <row r="567" spans="5:5">
      <c r="E567" s="60"/>
    </row>
    <row r="568" spans="5:5">
      <c r="E568" s="60"/>
    </row>
    <row r="569" spans="5:5">
      <c r="E569" s="60"/>
    </row>
    <row r="570" spans="5:5">
      <c r="E570" s="60"/>
    </row>
    <row r="571" spans="5:5">
      <c r="E571" s="60"/>
    </row>
    <row r="572" spans="5:5">
      <c r="E572" s="60"/>
    </row>
    <row r="573" spans="5:5">
      <c r="E573" s="60"/>
    </row>
    <row r="574" spans="5:5">
      <c r="E574" s="60"/>
    </row>
    <row r="575" spans="5:5">
      <c r="E575" s="60"/>
    </row>
    <row r="576" spans="5:5">
      <c r="E576" s="60"/>
    </row>
    <row r="577" spans="5:5">
      <c r="E577" s="60"/>
    </row>
    <row r="578" spans="5:5">
      <c r="E578" s="60"/>
    </row>
    <row r="579" spans="5:5">
      <c r="E579" s="60"/>
    </row>
    <row r="580" spans="5:5">
      <c r="E580" s="60"/>
    </row>
    <row r="581" spans="5:5">
      <c r="E581" s="60"/>
    </row>
    <row r="582" spans="5:5">
      <c r="E582" s="60"/>
    </row>
    <row r="583" spans="5:5">
      <c r="E583" s="60"/>
    </row>
    <row r="584" spans="5:5">
      <c r="E584" s="60"/>
    </row>
    <row r="585" spans="5:5">
      <c r="E585" s="60"/>
    </row>
    <row r="586" spans="5:5">
      <c r="E586" s="60"/>
    </row>
    <row r="587" spans="5:5">
      <c r="E587" s="60"/>
    </row>
    <row r="588" spans="5:5">
      <c r="E588" s="60"/>
    </row>
    <row r="589" spans="5:5">
      <c r="E589" s="60"/>
    </row>
    <row r="590" spans="5:5">
      <c r="E590" s="60"/>
    </row>
    <row r="591" spans="5:5">
      <c r="E591" s="60"/>
    </row>
    <row r="592" spans="5:5">
      <c r="E592" s="60"/>
    </row>
    <row r="593" spans="5:5">
      <c r="E593" s="60"/>
    </row>
    <row r="594" spans="5:5">
      <c r="E594" s="60"/>
    </row>
    <row r="595" spans="5:5">
      <c r="E595" s="60"/>
    </row>
    <row r="596" spans="5:5">
      <c r="E596" s="60"/>
    </row>
    <row r="597" spans="5:5">
      <c r="E597" s="60"/>
    </row>
    <row r="598" spans="5:5">
      <c r="E598" s="60"/>
    </row>
    <row r="599" spans="5:5">
      <c r="E599" s="60"/>
    </row>
    <row r="600" spans="5:5">
      <c r="E600" s="60"/>
    </row>
    <row r="601" spans="5:5">
      <c r="E601" s="60"/>
    </row>
    <row r="602" spans="5:5">
      <c r="E602" s="60"/>
    </row>
    <row r="603" spans="5:5">
      <c r="E603" s="60"/>
    </row>
    <row r="604" spans="5:5">
      <c r="E604" s="60"/>
    </row>
    <row r="605" spans="5:5">
      <c r="E605" s="60"/>
    </row>
    <row r="606" spans="5:5">
      <c r="E606" s="60"/>
    </row>
    <row r="607" spans="5:5">
      <c r="E607" s="60"/>
    </row>
    <row r="608" spans="5:5">
      <c r="E608" s="60"/>
    </row>
    <row r="609" spans="5:5">
      <c r="E609" s="60"/>
    </row>
    <row r="610" spans="5:5">
      <c r="E610" s="60"/>
    </row>
    <row r="611" spans="5:5">
      <c r="E611" s="60"/>
    </row>
    <row r="612" spans="5:5">
      <c r="E612" s="60"/>
    </row>
    <row r="613" spans="5:5">
      <c r="E613" s="60"/>
    </row>
    <row r="614" spans="5:5">
      <c r="E614" s="60"/>
    </row>
    <row r="615" spans="5:5">
      <c r="E615" s="60"/>
    </row>
    <row r="616" spans="5:5">
      <c r="E616" s="60"/>
    </row>
    <row r="617" spans="5:5">
      <c r="E617" s="60"/>
    </row>
    <row r="618" spans="5:5">
      <c r="E618" s="60"/>
    </row>
    <row r="619" spans="5:5">
      <c r="E619" s="60"/>
    </row>
    <row r="620" spans="5:5">
      <c r="E620" s="60"/>
    </row>
    <row r="621" spans="5:5">
      <c r="E621" s="60"/>
    </row>
    <row r="622" spans="5:5">
      <c r="E622" s="60"/>
    </row>
    <row r="623" spans="5:5">
      <c r="E623" s="60"/>
    </row>
    <row r="624" spans="5:5">
      <c r="E624" s="60"/>
    </row>
    <row r="625" spans="5:5">
      <c r="E625" s="60"/>
    </row>
    <row r="626" spans="5:5">
      <c r="E626" s="60"/>
    </row>
    <row r="627" spans="5:5">
      <c r="E627" s="60"/>
    </row>
    <row r="628" spans="5:5">
      <c r="E628" s="60"/>
    </row>
    <row r="629" spans="5:5">
      <c r="E629" s="60"/>
    </row>
    <row r="630" spans="5:5">
      <c r="E630" s="60"/>
    </row>
    <row r="631" spans="5:5">
      <c r="E631" s="60"/>
    </row>
    <row r="632" spans="5:5">
      <c r="E632" s="60"/>
    </row>
    <row r="633" spans="5:5">
      <c r="E633" s="60"/>
    </row>
    <row r="634" spans="5:5">
      <c r="E634" s="60"/>
    </row>
    <row r="635" spans="5:5">
      <c r="E635" s="60"/>
    </row>
    <row r="636" spans="5:5">
      <c r="E636" s="60"/>
    </row>
    <row r="637" spans="5:5">
      <c r="E637" s="60"/>
    </row>
    <row r="638" spans="5:5">
      <c r="E638" s="60"/>
    </row>
    <row r="639" spans="5:5">
      <c r="E639" s="60"/>
    </row>
    <row r="640" spans="5:5">
      <c r="E640" s="60"/>
    </row>
    <row r="641" spans="5:5">
      <c r="E641" s="60"/>
    </row>
    <row r="642" spans="5:5">
      <c r="E642" s="60"/>
    </row>
    <row r="643" spans="5:5">
      <c r="E643" s="60"/>
    </row>
    <row r="644" spans="5:5">
      <c r="E644" s="60"/>
    </row>
    <row r="645" spans="5:5">
      <c r="E645" s="60"/>
    </row>
    <row r="646" spans="5:5">
      <c r="E646" s="60"/>
    </row>
    <row r="647" spans="5:5">
      <c r="E647" s="60"/>
    </row>
    <row r="648" spans="5:5">
      <c r="E648" s="60"/>
    </row>
    <row r="649" spans="5:5">
      <c r="E649" s="60"/>
    </row>
    <row r="650" spans="5:5">
      <c r="E650" s="60"/>
    </row>
    <row r="651" spans="5:5">
      <c r="E651" s="60"/>
    </row>
    <row r="652" spans="5:5">
      <c r="E652" s="60"/>
    </row>
    <row r="653" spans="5:5">
      <c r="E653" s="60"/>
    </row>
    <row r="654" spans="5:5">
      <c r="E654" s="60"/>
    </row>
    <row r="655" spans="5:5">
      <c r="E655" s="60"/>
    </row>
    <row r="656" spans="5:5">
      <c r="E656" s="60"/>
    </row>
    <row r="657" spans="5:5">
      <c r="E657" s="60"/>
    </row>
    <row r="658" spans="5:5">
      <c r="E658" s="60"/>
    </row>
    <row r="659" spans="5:5">
      <c r="E659" s="60"/>
    </row>
    <row r="660" spans="5:5">
      <c r="E660" s="60"/>
    </row>
    <row r="661" spans="5:5">
      <c r="E661" s="60"/>
    </row>
    <row r="662" spans="5:5">
      <c r="E662" s="60"/>
    </row>
    <row r="663" spans="5:5">
      <c r="E663" s="60"/>
    </row>
    <row r="664" spans="5:5">
      <c r="E664" s="60"/>
    </row>
    <row r="665" spans="5:5">
      <c r="E665" s="60"/>
    </row>
    <row r="666" spans="5:5">
      <c r="E666" s="60"/>
    </row>
    <row r="667" spans="5:5">
      <c r="E667" s="60"/>
    </row>
    <row r="668" spans="5:5">
      <c r="E668" s="60"/>
    </row>
    <row r="669" spans="5:5">
      <c r="E669" s="60"/>
    </row>
    <row r="670" spans="5:5">
      <c r="E670" s="60"/>
    </row>
    <row r="671" spans="5:5">
      <c r="E671" s="60"/>
    </row>
    <row r="672" spans="5:5">
      <c r="E672" s="60"/>
    </row>
    <row r="673" spans="5:5">
      <c r="E673" s="60"/>
    </row>
    <row r="674" spans="5:5">
      <c r="E674" s="60"/>
    </row>
    <row r="675" spans="5:5">
      <c r="E675" s="60"/>
    </row>
    <row r="676" spans="5:5">
      <c r="E676" s="60"/>
    </row>
    <row r="677" spans="5:5">
      <c r="E677" s="60"/>
    </row>
    <row r="678" spans="5:5">
      <c r="E678" s="60"/>
    </row>
    <row r="679" spans="5:5">
      <c r="E679" s="60"/>
    </row>
    <row r="680" spans="5:5">
      <c r="E680" s="60"/>
    </row>
    <row r="681" spans="5:5">
      <c r="E681" s="60"/>
    </row>
    <row r="682" spans="5:5">
      <c r="E682" s="60"/>
    </row>
    <row r="683" spans="5:5">
      <c r="E683" s="60"/>
    </row>
    <row r="684" spans="5:5">
      <c r="E684" s="60"/>
    </row>
    <row r="685" spans="5:5">
      <c r="E685" s="60"/>
    </row>
    <row r="686" spans="5:5">
      <c r="E686" s="60"/>
    </row>
    <row r="687" spans="5:5">
      <c r="E687" s="60"/>
    </row>
    <row r="688" spans="5:5">
      <c r="E688" s="60"/>
    </row>
    <row r="689" spans="5:5">
      <c r="E689" s="60"/>
    </row>
    <row r="690" spans="5:5">
      <c r="E690" s="60"/>
    </row>
    <row r="691" spans="5:5">
      <c r="E691" s="60"/>
    </row>
    <row r="692" spans="5:5">
      <c r="E692" s="60"/>
    </row>
    <row r="693" spans="5:5">
      <c r="E693" s="60"/>
    </row>
    <row r="694" spans="5:5">
      <c r="E694" s="60"/>
    </row>
    <row r="695" spans="5:5">
      <c r="E695" s="60"/>
    </row>
    <row r="696" spans="5:5">
      <c r="E696" s="60"/>
    </row>
    <row r="697" spans="5:5">
      <c r="E697" s="60"/>
    </row>
    <row r="698" spans="5:5">
      <c r="E698" s="60"/>
    </row>
    <row r="699" spans="5:5">
      <c r="E699" s="60"/>
    </row>
    <row r="700" spans="5:5">
      <c r="E700" s="60"/>
    </row>
    <row r="701" spans="5:5">
      <c r="E701" s="60"/>
    </row>
    <row r="702" spans="5:5">
      <c r="E702" s="60"/>
    </row>
    <row r="703" spans="5:5">
      <c r="E703" s="60"/>
    </row>
    <row r="704" spans="5:5">
      <c r="E704" s="60"/>
    </row>
    <row r="705" spans="5:5">
      <c r="E705" s="60"/>
    </row>
    <row r="706" spans="5:5">
      <c r="E706" s="60"/>
    </row>
    <row r="707" spans="5:5">
      <c r="E707" s="60"/>
    </row>
    <row r="708" spans="5:5">
      <c r="E708" s="60"/>
    </row>
    <row r="709" spans="5:5">
      <c r="E709" s="60"/>
    </row>
    <row r="710" spans="5:5">
      <c r="E710" s="60"/>
    </row>
    <row r="711" spans="5:5">
      <c r="E711" s="60"/>
    </row>
    <row r="712" spans="5:5">
      <c r="E712" s="60"/>
    </row>
    <row r="713" spans="5:5">
      <c r="E713" s="60"/>
    </row>
    <row r="714" spans="5:5">
      <c r="E714" s="60"/>
    </row>
    <row r="715" spans="5:5">
      <c r="E715" s="60"/>
    </row>
    <row r="716" spans="5:5">
      <c r="E716" s="60"/>
    </row>
    <row r="717" spans="5:5">
      <c r="E717" s="60"/>
    </row>
    <row r="718" spans="5:5">
      <c r="E718" s="60"/>
    </row>
    <row r="719" spans="5:5">
      <c r="E719" s="60"/>
    </row>
    <row r="720" spans="5:5">
      <c r="E720" s="60"/>
    </row>
    <row r="721" spans="5:5">
      <c r="E721" s="60"/>
    </row>
    <row r="722" spans="5:5">
      <c r="E722" s="60"/>
    </row>
    <row r="723" spans="5:5">
      <c r="E723" s="60"/>
    </row>
    <row r="724" spans="5:5">
      <c r="E724" s="60"/>
    </row>
    <row r="725" spans="5:5">
      <c r="E725" s="60"/>
    </row>
    <row r="726" spans="5:5">
      <c r="E726" s="60"/>
    </row>
    <row r="727" spans="5:5">
      <c r="E727" s="60"/>
    </row>
    <row r="728" spans="5:5">
      <c r="E728" s="60"/>
    </row>
    <row r="729" spans="5:5">
      <c r="E729" s="60"/>
    </row>
    <row r="730" spans="5:5">
      <c r="E730" s="60"/>
    </row>
    <row r="731" spans="5:5">
      <c r="E731" s="60"/>
    </row>
    <row r="732" spans="5:5">
      <c r="E732" s="60"/>
    </row>
    <row r="733" spans="5:5">
      <c r="E733" s="60"/>
    </row>
    <row r="734" spans="5:5">
      <c r="E734" s="60"/>
    </row>
    <row r="735" spans="5:5">
      <c r="E735" s="60"/>
    </row>
    <row r="736" spans="5:5">
      <c r="E736" s="60"/>
    </row>
    <row r="737" spans="5:5">
      <c r="E737" s="60"/>
    </row>
    <row r="738" spans="5:5">
      <c r="E738" s="60"/>
    </row>
    <row r="739" spans="5:5">
      <c r="E739" s="60"/>
    </row>
    <row r="740" spans="5:5">
      <c r="E740" s="60"/>
    </row>
    <row r="741" spans="5:5">
      <c r="E741" s="60"/>
    </row>
    <row r="742" spans="5:5">
      <c r="E742" s="60"/>
    </row>
    <row r="743" spans="5:5">
      <c r="E743" s="60"/>
    </row>
    <row r="744" spans="5:5">
      <c r="E744" s="60"/>
    </row>
    <row r="745" spans="5:5">
      <c r="E745" s="60"/>
    </row>
    <row r="746" spans="5:5">
      <c r="E746" s="60"/>
    </row>
    <row r="747" spans="5:5">
      <c r="E747" s="60"/>
    </row>
    <row r="748" spans="5:5">
      <c r="E748" s="60"/>
    </row>
    <row r="749" spans="5:5">
      <c r="E749" s="60"/>
    </row>
    <row r="750" spans="5:5">
      <c r="E750" s="60"/>
    </row>
    <row r="751" spans="5:5">
      <c r="E751" s="60"/>
    </row>
    <row r="752" spans="5:5">
      <c r="E752" s="60"/>
    </row>
    <row r="753" spans="5:5">
      <c r="E753" s="60"/>
    </row>
    <row r="754" spans="5:5">
      <c r="E754" s="60"/>
    </row>
    <row r="755" spans="5:5">
      <c r="E755" s="60"/>
    </row>
    <row r="756" spans="5:5">
      <c r="E756" s="60"/>
    </row>
    <row r="757" spans="5:5">
      <c r="E757" s="60"/>
    </row>
    <row r="758" spans="5:5">
      <c r="E758" s="60"/>
    </row>
    <row r="759" spans="5:5">
      <c r="E759" s="60"/>
    </row>
    <row r="760" spans="5:5">
      <c r="E760" s="60"/>
    </row>
    <row r="761" spans="5:5">
      <c r="E761" s="60"/>
    </row>
    <row r="762" spans="5:5">
      <c r="E762" s="60"/>
    </row>
    <row r="763" spans="5:5">
      <c r="E763" s="60"/>
    </row>
    <row r="764" spans="5:5">
      <c r="E764" s="60"/>
    </row>
    <row r="765" spans="5:5">
      <c r="E765" s="60"/>
    </row>
    <row r="766" spans="5:5">
      <c r="E766" s="60"/>
    </row>
    <row r="767" spans="5:5">
      <c r="E767" s="60"/>
    </row>
    <row r="768" spans="5:5">
      <c r="E768" s="60"/>
    </row>
    <row r="769" spans="5:5">
      <c r="E769" s="60"/>
    </row>
    <row r="770" spans="5:5">
      <c r="E770" s="60"/>
    </row>
    <row r="771" spans="5:5">
      <c r="E771" s="60"/>
    </row>
    <row r="772" spans="5:5">
      <c r="E772" s="60"/>
    </row>
    <row r="773" spans="5:5">
      <c r="E773" s="60"/>
    </row>
    <row r="774" spans="5:5">
      <c r="E774" s="60"/>
    </row>
    <row r="775" spans="5:5">
      <c r="E775" s="60"/>
    </row>
    <row r="776" spans="5:5">
      <c r="E776" s="60"/>
    </row>
    <row r="777" spans="5:5">
      <c r="E777" s="60"/>
    </row>
    <row r="778" spans="5:5">
      <c r="E778" s="60"/>
    </row>
    <row r="779" spans="5:5">
      <c r="E779" s="60"/>
    </row>
    <row r="780" spans="5:5">
      <c r="E780" s="60"/>
    </row>
    <row r="781" spans="5:5">
      <c r="E781" s="60"/>
    </row>
    <row r="782" spans="5:5">
      <c r="E782" s="60"/>
    </row>
    <row r="783" spans="5:5">
      <c r="E783" s="60"/>
    </row>
    <row r="784" spans="5:5">
      <c r="E784" s="60"/>
    </row>
    <row r="785" spans="5:5">
      <c r="E785" s="60"/>
    </row>
    <row r="786" spans="5:5">
      <c r="E786" s="60"/>
    </row>
    <row r="787" spans="5:5">
      <c r="E787" s="60"/>
    </row>
    <row r="788" spans="5:5">
      <c r="E788" s="60"/>
    </row>
    <row r="789" spans="5:5">
      <c r="E789" s="60"/>
    </row>
    <row r="790" spans="5:5">
      <c r="E790" s="60"/>
    </row>
    <row r="791" spans="5:5">
      <c r="E791" s="60"/>
    </row>
    <row r="792" spans="5:5">
      <c r="E792" s="60"/>
    </row>
    <row r="793" spans="5:5">
      <c r="E793" s="60"/>
    </row>
    <row r="794" spans="5:5">
      <c r="E794" s="60"/>
    </row>
    <row r="795" spans="5:5">
      <c r="E795" s="60"/>
    </row>
    <row r="796" spans="5:5">
      <c r="E796" s="60"/>
    </row>
    <row r="797" spans="5:5">
      <c r="E797" s="60"/>
    </row>
    <row r="798" spans="5:5">
      <c r="E798" s="60"/>
    </row>
    <row r="799" spans="5:5">
      <c r="E799" s="60"/>
    </row>
    <row r="800" spans="5:5">
      <c r="E800" s="60"/>
    </row>
    <row r="801" spans="5:5">
      <c r="E801" s="60"/>
    </row>
    <row r="802" spans="5:5">
      <c r="E802" s="60"/>
    </row>
    <row r="803" spans="5:5">
      <c r="E803" s="60"/>
    </row>
    <row r="804" spans="5:5">
      <c r="E804" s="60"/>
    </row>
    <row r="805" spans="5:5">
      <c r="E805" s="60"/>
    </row>
    <row r="806" spans="5:5">
      <c r="E806" s="60"/>
    </row>
    <row r="807" spans="5:5">
      <c r="E807" s="60"/>
    </row>
    <row r="808" spans="5:5">
      <c r="E808" s="60"/>
    </row>
    <row r="809" spans="5:5">
      <c r="E809" s="60"/>
    </row>
    <row r="810" spans="5:5">
      <c r="E810" s="60"/>
    </row>
    <row r="811" spans="5:5">
      <c r="E811" s="60"/>
    </row>
    <row r="812" spans="5:5">
      <c r="E812" s="60"/>
    </row>
    <row r="813" spans="5:5">
      <c r="E813" s="60"/>
    </row>
    <row r="814" spans="5:5">
      <c r="E814" s="60"/>
    </row>
    <row r="815" spans="5:5">
      <c r="E815" s="60"/>
    </row>
    <row r="816" spans="5:5">
      <c r="E816" s="60"/>
    </row>
    <row r="817" spans="5:5">
      <c r="E817" s="60"/>
    </row>
    <row r="818" spans="5:5">
      <c r="E818" s="60"/>
    </row>
    <row r="819" spans="5:5">
      <c r="E819" s="60"/>
    </row>
    <row r="820" spans="5:5">
      <c r="E820" s="60"/>
    </row>
    <row r="821" spans="5:5">
      <c r="E821" s="60"/>
    </row>
    <row r="822" spans="5:5">
      <c r="E822" s="60"/>
    </row>
    <row r="823" spans="5:5">
      <c r="E823" s="60"/>
    </row>
    <row r="824" spans="5:5">
      <c r="E824" s="60"/>
    </row>
    <row r="825" spans="5:5">
      <c r="E825" s="60"/>
    </row>
    <row r="826" spans="5:5">
      <c r="E826" s="60"/>
    </row>
    <row r="827" spans="5:5">
      <c r="E827" s="60"/>
    </row>
    <row r="828" spans="5:5">
      <c r="E828" s="60"/>
    </row>
    <row r="829" spans="5:5">
      <c r="E829" s="60"/>
    </row>
    <row r="830" spans="5:5">
      <c r="E830" s="60"/>
    </row>
    <row r="831" spans="5:5">
      <c r="E831" s="60"/>
    </row>
    <row r="832" spans="5:5">
      <c r="E832" s="60"/>
    </row>
    <row r="833" spans="5:5">
      <c r="E833" s="60"/>
    </row>
    <row r="834" spans="5:5">
      <c r="E834" s="60"/>
    </row>
    <row r="835" spans="5:5">
      <c r="E835" s="60"/>
    </row>
    <row r="836" spans="5:5">
      <c r="E836" s="60"/>
    </row>
    <row r="837" spans="5:5">
      <c r="E837" s="60"/>
    </row>
    <row r="838" spans="5:5">
      <c r="E838" s="60"/>
    </row>
    <row r="839" spans="5:5">
      <c r="E839" s="60"/>
    </row>
    <row r="840" spans="5:5">
      <c r="E840" s="60"/>
    </row>
    <row r="841" spans="5:5">
      <c r="E841" s="60"/>
    </row>
    <row r="842" spans="5:5">
      <c r="E842" s="60"/>
    </row>
    <row r="843" spans="5:5">
      <c r="E843" s="60"/>
    </row>
    <row r="844" spans="5:5">
      <c r="E844" s="60"/>
    </row>
    <row r="845" spans="5:5">
      <c r="E845" s="60"/>
    </row>
    <row r="846" spans="5:5">
      <c r="E846" s="60"/>
    </row>
    <row r="847" spans="5:5">
      <c r="E847" s="60"/>
    </row>
    <row r="848" spans="5:5">
      <c r="E848" s="60"/>
    </row>
  </sheetData>
  <conditionalFormatting sqref="F299:M307">
    <cfRule type="expression" dxfId="14" priority="3">
      <formula>#REF!=0</formula>
    </cfRule>
  </conditionalFormatting>
  <conditionalFormatting sqref="H340:I340">
    <cfRule type="expression" dxfId="13" priority="2">
      <formula>#REF!=0</formula>
    </cfRule>
  </conditionalFormatting>
  <conditionalFormatting sqref="E341">
    <cfRule type="expression" dxfId="12" priority="1">
      <formula>#REF!=0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theme="9" tint="0.79998168889431442"/>
    <pageSetUpPr fitToPage="1"/>
  </sheetPr>
  <dimension ref="A1:BJ848"/>
  <sheetViews>
    <sheetView zoomScaleNormal="100" workbookViewId="0"/>
  </sheetViews>
  <sheetFormatPr defaultRowHeight="15"/>
  <cols>
    <col min="1" max="2" width="4.140625" style="74" customWidth="1"/>
    <col min="3" max="3" width="46" style="74" customWidth="1"/>
    <col min="4" max="4" width="9.140625" style="74" customWidth="1"/>
    <col min="5" max="13" width="9.85546875" style="74" customWidth="1"/>
    <col min="14" max="14" width="3" style="74" customWidth="1"/>
    <col min="15" max="15" width="19.5703125" style="74" customWidth="1"/>
    <col min="16" max="16" width="16.28515625" style="74" customWidth="1"/>
    <col min="17" max="17" width="4.42578125" style="74" customWidth="1"/>
    <col min="18" max="19" width="9.140625" style="74" customWidth="1"/>
    <col min="20" max="20" width="13.85546875" style="74" customWidth="1"/>
    <col min="21" max="16384" width="9.140625" style="74"/>
  </cols>
  <sheetData>
    <row r="1" spans="1:19" ht="23.25">
      <c r="A1" s="232"/>
      <c r="C1" s="2" t="str">
        <f ca="1">OFFSET(Inputs_Anchor,0,G1+1)</f>
        <v>Powerco</v>
      </c>
      <c r="D1" s="2"/>
      <c r="E1" s="2"/>
      <c r="F1" s="6" t="s">
        <v>74</v>
      </c>
      <c r="G1" s="7">
        <v>2</v>
      </c>
      <c r="H1" s="2"/>
      <c r="I1" s="2"/>
      <c r="J1" s="2"/>
      <c r="K1" s="2"/>
      <c r="L1" s="2"/>
      <c r="M1" s="2"/>
      <c r="N1" s="2"/>
      <c r="O1" s="228"/>
      <c r="P1" s="228"/>
      <c r="Q1" s="228"/>
      <c r="R1" s="228"/>
      <c r="S1" s="228"/>
    </row>
    <row r="2" spans="1:19">
      <c r="O2" s="29"/>
      <c r="P2" s="80"/>
      <c r="Q2" s="80"/>
      <c r="R2" s="80"/>
      <c r="S2" s="80"/>
    </row>
    <row r="3" spans="1:19" ht="21">
      <c r="C3" s="3" t="s">
        <v>194</v>
      </c>
      <c r="O3" s="80"/>
      <c r="P3" s="80"/>
      <c r="Q3" s="80"/>
      <c r="R3" s="80"/>
      <c r="S3" s="80"/>
    </row>
    <row r="4" spans="1:19">
      <c r="O4" s="80"/>
      <c r="P4" s="80"/>
      <c r="Q4" s="80"/>
      <c r="R4" s="80"/>
      <c r="S4" s="80"/>
    </row>
    <row r="5" spans="1:19">
      <c r="C5" s="74" t="s">
        <v>212</v>
      </c>
      <c r="E5" s="81">
        <v>2010</v>
      </c>
      <c r="F5" s="81">
        <v>2011</v>
      </c>
      <c r="G5" s="81">
        <v>2012</v>
      </c>
      <c r="H5" s="81">
        <v>2013</v>
      </c>
      <c r="I5" s="81">
        <v>2014</v>
      </c>
      <c r="J5" s="81">
        <v>2015</v>
      </c>
      <c r="K5" s="81">
        <v>2016</v>
      </c>
      <c r="L5" s="81">
        <v>2017</v>
      </c>
      <c r="M5" s="81">
        <v>2018</v>
      </c>
      <c r="N5" s="21"/>
      <c r="O5" s="37"/>
      <c r="P5" s="80"/>
      <c r="Q5" s="80"/>
      <c r="R5" s="80"/>
      <c r="S5" s="80"/>
    </row>
    <row r="6" spans="1:19">
      <c r="C6" s="54"/>
      <c r="E6" s="81"/>
      <c r="F6" s="81"/>
      <c r="G6" s="81"/>
      <c r="H6" s="81"/>
      <c r="I6" s="81"/>
      <c r="J6" s="81"/>
      <c r="K6" s="81"/>
      <c r="L6" s="81"/>
      <c r="M6" s="81"/>
      <c r="N6" s="21"/>
      <c r="O6" s="37"/>
      <c r="P6" s="80"/>
      <c r="Q6" s="80"/>
      <c r="R6" s="80"/>
      <c r="S6" s="80"/>
    </row>
    <row r="7" spans="1:19" ht="45" customHeight="1">
      <c r="C7" s="54" t="s">
        <v>233</v>
      </c>
      <c r="E7" s="81" t="s">
        <v>140</v>
      </c>
      <c r="F7" s="81" t="s">
        <v>141</v>
      </c>
      <c r="G7" s="81" t="s">
        <v>142</v>
      </c>
      <c r="H7" s="81" t="s">
        <v>143</v>
      </c>
      <c r="I7" s="81" t="s">
        <v>144</v>
      </c>
      <c r="J7" s="81" t="s">
        <v>145</v>
      </c>
      <c r="K7" s="81" t="s">
        <v>159</v>
      </c>
      <c r="L7" s="81" t="s">
        <v>160</v>
      </c>
      <c r="M7" s="81" t="s">
        <v>161</v>
      </c>
      <c r="N7" s="21"/>
      <c r="O7" s="37"/>
      <c r="P7" s="80"/>
      <c r="Q7" s="80"/>
      <c r="R7" s="80"/>
      <c r="S7" s="80"/>
    </row>
    <row r="8" spans="1:19">
      <c r="C8" s="92"/>
      <c r="E8" s="21"/>
      <c r="F8" s="17"/>
      <c r="G8" s="17"/>
      <c r="H8" s="17"/>
      <c r="I8" s="17"/>
      <c r="J8" s="17"/>
      <c r="N8" s="45"/>
      <c r="O8" s="37"/>
      <c r="P8" s="80"/>
      <c r="Q8" s="80"/>
      <c r="R8" s="80"/>
      <c r="S8" s="80"/>
    </row>
    <row r="9" spans="1:19" ht="45">
      <c r="C9" s="74" t="s">
        <v>210</v>
      </c>
      <c r="E9" s="111" t="s">
        <v>443</v>
      </c>
      <c r="F9" s="111" t="s">
        <v>444</v>
      </c>
      <c r="G9" s="111" t="s">
        <v>445</v>
      </c>
      <c r="H9" s="111" t="s">
        <v>446</v>
      </c>
      <c r="I9" s="111" t="s">
        <v>447</v>
      </c>
      <c r="J9" s="111" t="s">
        <v>448</v>
      </c>
      <c r="K9" s="111" t="s">
        <v>449</v>
      </c>
      <c r="L9" s="111" t="s">
        <v>450</v>
      </c>
      <c r="M9" s="111" t="s">
        <v>451</v>
      </c>
      <c r="N9" s="45"/>
      <c r="O9" s="37"/>
      <c r="P9" s="80"/>
      <c r="Q9" s="80"/>
      <c r="R9" s="80"/>
      <c r="S9" s="80"/>
    </row>
    <row r="10" spans="1:19" ht="8.25" customHeight="1">
      <c r="E10" s="111"/>
      <c r="F10" s="111"/>
      <c r="G10" s="111"/>
      <c r="H10" s="111"/>
      <c r="I10" s="111"/>
      <c r="J10" s="111"/>
      <c r="K10" s="111"/>
      <c r="L10" s="111"/>
      <c r="M10" s="111"/>
      <c r="N10" s="45"/>
      <c r="O10" s="37"/>
      <c r="P10" s="80"/>
      <c r="Q10" s="80"/>
      <c r="R10" s="80"/>
      <c r="S10" s="80"/>
    </row>
    <row r="11" spans="1:19" ht="45">
      <c r="C11" s="74" t="s">
        <v>195</v>
      </c>
      <c r="E11" s="111" t="s">
        <v>452</v>
      </c>
      <c r="F11" s="111" t="s">
        <v>453</v>
      </c>
      <c r="G11" s="111" t="s">
        <v>454</v>
      </c>
      <c r="H11" s="111" t="s">
        <v>455</v>
      </c>
      <c r="I11" s="111" t="s">
        <v>456</v>
      </c>
      <c r="J11" s="111" t="s">
        <v>457</v>
      </c>
      <c r="K11" s="111" t="s">
        <v>458</v>
      </c>
      <c r="L11" s="111" t="s">
        <v>459</v>
      </c>
      <c r="M11" s="111" t="s">
        <v>460</v>
      </c>
      <c r="N11" s="45"/>
      <c r="O11" s="37"/>
      <c r="P11" s="80"/>
      <c r="Q11" s="80"/>
      <c r="R11" s="80"/>
      <c r="S11" s="80"/>
    </row>
    <row r="12" spans="1:19">
      <c r="E12" s="118"/>
      <c r="F12" s="118"/>
      <c r="G12" s="118"/>
      <c r="H12" s="118"/>
      <c r="I12" s="118"/>
      <c r="J12" s="118"/>
      <c r="K12" s="118"/>
      <c r="L12" s="118"/>
      <c r="M12" s="118"/>
      <c r="N12" s="45"/>
      <c r="O12" s="37"/>
      <c r="P12" s="80"/>
      <c r="Q12" s="80"/>
      <c r="R12" s="80"/>
      <c r="S12" s="80"/>
    </row>
    <row r="13" spans="1:19" ht="45" customHeight="1">
      <c r="C13" s="54" t="s">
        <v>222</v>
      </c>
      <c r="E13" s="118"/>
      <c r="F13" s="118"/>
      <c r="G13" s="118"/>
      <c r="H13" s="118" t="s">
        <v>461</v>
      </c>
      <c r="I13" s="111" t="s">
        <v>447</v>
      </c>
      <c r="J13" s="111" t="s">
        <v>448</v>
      </c>
      <c r="K13" s="111" t="s">
        <v>449</v>
      </c>
      <c r="L13" s="111" t="s">
        <v>450</v>
      </c>
      <c r="M13" s="111" t="s">
        <v>462</v>
      </c>
      <c r="N13" s="45"/>
      <c r="O13" s="37"/>
      <c r="P13" s="80"/>
      <c r="Q13" s="80"/>
      <c r="R13" s="80"/>
      <c r="S13" s="80"/>
    </row>
    <row r="14" spans="1:19" ht="45" customHeight="1">
      <c r="C14" s="54" t="s">
        <v>223</v>
      </c>
      <c r="E14" s="118"/>
      <c r="F14" s="118"/>
      <c r="G14" s="118"/>
      <c r="H14" s="111" t="s">
        <v>463</v>
      </c>
      <c r="I14" s="111" t="s">
        <v>456</v>
      </c>
      <c r="J14" s="111" t="s">
        <v>457</v>
      </c>
      <c r="K14" s="111" t="s">
        <v>458</v>
      </c>
      <c r="L14" s="111" t="s">
        <v>459</v>
      </c>
      <c r="M14" s="118" t="s">
        <v>461</v>
      </c>
      <c r="N14" s="45"/>
      <c r="O14" s="37"/>
      <c r="P14" s="80"/>
      <c r="Q14" s="80"/>
      <c r="R14" s="80"/>
      <c r="S14" s="80"/>
    </row>
    <row r="15" spans="1:19">
      <c r="N15" s="45"/>
      <c r="O15" s="37"/>
      <c r="P15" s="80"/>
      <c r="Q15" s="80"/>
      <c r="R15" s="80"/>
      <c r="S15" s="80"/>
    </row>
    <row r="16" spans="1:19" ht="23.25">
      <c r="C16" s="2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8"/>
      <c r="P16" s="228"/>
      <c r="Q16" s="228"/>
      <c r="R16" s="228"/>
      <c r="S16" s="228"/>
    </row>
    <row r="17" spans="1:19">
      <c r="O17" s="80"/>
      <c r="P17" s="80"/>
      <c r="Q17" s="80"/>
      <c r="R17" s="80"/>
      <c r="S17" s="80"/>
    </row>
    <row r="18" spans="1:19" ht="21">
      <c r="C18" s="3" t="s">
        <v>188</v>
      </c>
      <c r="I18" s="10" t="s">
        <v>5</v>
      </c>
      <c r="O18" s="80"/>
      <c r="P18" s="80"/>
      <c r="Q18" s="80"/>
      <c r="R18" s="80"/>
      <c r="S18" s="80"/>
    </row>
    <row r="19" spans="1:19">
      <c r="C19" s="40"/>
      <c r="D19" s="40" t="s">
        <v>39</v>
      </c>
      <c r="E19" s="40"/>
      <c r="F19" s="40" t="s">
        <v>40</v>
      </c>
      <c r="O19" s="80"/>
      <c r="P19" s="80"/>
      <c r="Q19" s="80"/>
      <c r="R19" s="80"/>
      <c r="S19" s="80"/>
    </row>
    <row r="20" spans="1:19">
      <c r="C20" s="40"/>
      <c r="D20" s="40" t="s">
        <v>38</v>
      </c>
      <c r="E20" s="40"/>
      <c r="O20" s="80"/>
      <c r="P20" s="80"/>
      <c r="Q20" s="80"/>
      <c r="R20" s="80"/>
      <c r="S20" s="80"/>
    </row>
    <row r="21" spans="1:19">
      <c r="C21" s="81" t="s">
        <v>1</v>
      </c>
      <c r="E21" s="81" t="str">
        <f>Inputs!D$12</f>
        <v>2009/10</v>
      </c>
      <c r="F21" s="81" t="str">
        <f>Inputs!E$12</f>
        <v>2010/11</v>
      </c>
      <c r="G21" s="81" t="str">
        <f>Inputs!F$12</f>
        <v>2011/12</v>
      </c>
      <c r="H21" s="81" t="str">
        <f>Inputs!G$12</f>
        <v>2012/13</v>
      </c>
      <c r="I21" s="81" t="str">
        <f>Inputs!H$12</f>
        <v>2013/14</v>
      </c>
      <c r="J21" s="81" t="str">
        <f>Inputs!I$12</f>
        <v>2014/15</v>
      </c>
      <c r="K21" s="81" t="str">
        <f>Inputs!J$12</f>
        <v>2015/16</v>
      </c>
      <c r="L21" s="81" t="str">
        <f>Inputs!K$12</f>
        <v>2016/17</v>
      </c>
      <c r="M21" s="81" t="str">
        <f>Inputs!L$12</f>
        <v>2017/18</v>
      </c>
      <c r="N21" s="81"/>
      <c r="O21" s="169"/>
      <c r="P21" s="80"/>
      <c r="Q21" s="80"/>
      <c r="R21" s="80"/>
      <c r="S21" s="80"/>
    </row>
    <row r="22" spans="1:19">
      <c r="N22" s="15"/>
      <c r="O22" s="169"/>
      <c r="P22" s="80"/>
      <c r="Q22" s="80"/>
      <c r="R22" s="80"/>
      <c r="S22" s="80"/>
    </row>
    <row r="23" spans="1:19">
      <c r="A23" s="9">
        <v>1</v>
      </c>
      <c r="B23" s="9"/>
      <c r="C23" s="74" t="str">
        <f>Inputs!B25</f>
        <v>Revenue through Prices</v>
      </c>
      <c r="F23" s="1">
        <f t="shared" ref="F23:F32" si="0">INDEX(InputsBlock,A23+1,$G$1+2)</f>
        <v>44264.5435</v>
      </c>
      <c r="O23" s="80"/>
      <c r="P23" s="80"/>
      <c r="Q23" s="80"/>
      <c r="R23" s="80"/>
      <c r="S23" s="80"/>
    </row>
    <row r="24" spans="1:19">
      <c r="A24" s="9">
        <f t="shared" ref="A24:A31" si="1">A23+1</f>
        <v>2</v>
      </c>
      <c r="B24" s="9"/>
      <c r="C24" s="74" t="str">
        <f>Inputs!B26</f>
        <v>Pass-through costs</v>
      </c>
      <c r="F24" s="1">
        <f t="shared" si="0"/>
        <v>1369.2731349999997</v>
      </c>
      <c r="O24" s="80"/>
      <c r="P24" s="80"/>
      <c r="Q24" s="80"/>
      <c r="R24" s="80"/>
      <c r="S24" s="80"/>
    </row>
    <row r="25" spans="1:19">
      <c r="A25" s="9">
        <f t="shared" si="1"/>
        <v>3</v>
      </c>
      <c r="B25" s="9"/>
      <c r="C25" s="74" t="str">
        <f>Inputs!B27</f>
        <v>Recoverable costs</v>
      </c>
      <c r="F25" s="1">
        <f t="shared" si="0"/>
        <v>0</v>
      </c>
      <c r="O25" s="80"/>
      <c r="P25" s="80"/>
      <c r="Q25" s="80"/>
      <c r="R25" s="80"/>
      <c r="S25" s="80"/>
    </row>
    <row r="26" spans="1:19">
      <c r="A26" s="9">
        <f t="shared" si="1"/>
        <v>4</v>
      </c>
      <c r="B26" s="9"/>
      <c r="C26" s="80" t="str">
        <f>Inputs!B28</f>
        <v>Opening RAB 2010/11</v>
      </c>
      <c r="F26" s="1">
        <f t="shared" si="0"/>
        <v>320907</v>
      </c>
      <c r="O26" s="198"/>
      <c r="P26" s="80"/>
      <c r="Q26" s="80"/>
      <c r="R26" s="80"/>
      <c r="S26" s="80"/>
    </row>
    <row r="27" spans="1:19">
      <c r="A27" s="9">
        <f t="shared" si="1"/>
        <v>5</v>
      </c>
      <c r="B27" s="9"/>
      <c r="C27" s="80" t="str">
        <f>Inputs!B29</f>
        <v>Total Depreciation</v>
      </c>
      <c r="F27" s="1">
        <f t="shared" si="0"/>
        <v>7827</v>
      </c>
      <c r="O27" s="80"/>
      <c r="P27" s="80"/>
      <c r="Q27" s="80"/>
      <c r="R27" s="80"/>
      <c r="S27" s="80"/>
    </row>
    <row r="28" spans="1:19">
      <c r="A28" s="9">
        <f t="shared" si="1"/>
        <v>6</v>
      </c>
      <c r="B28" s="9"/>
      <c r="C28" s="80" t="str">
        <f>Inputs!B30</f>
        <v>RAB of disposed assets</v>
      </c>
      <c r="F28" s="1">
        <f t="shared" si="0"/>
        <v>0</v>
      </c>
      <c r="O28" s="80"/>
      <c r="P28" s="80"/>
      <c r="Q28" s="80"/>
      <c r="R28" s="80"/>
      <c r="S28" s="80"/>
    </row>
    <row r="29" spans="1:19">
      <c r="A29" s="9">
        <f>A28+1</f>
        <v>7</v>
      </c>
      <c r="B29" s="9"/>
      <c r="C29" s="80" t="str">
        <f>Inputs!B31</f>
        <v>Value of commissioned assets</v>
      </c>
      <c r="F29" s="1">
        <f t="shared" si="0"/>
        <v>7776</v>
      </c>
      <c r="O29" s="80"/>
      <c r="P29" s="80"/>
      <c r="Q29" s="80"/>
      <c r="R29" s="80"/>
      <c r="S29" s="80"/>
    </row>
    <row r="30" spans="1:19">
      <c r="A30" s="9">
        <f t="shared" si="1"/>
        <v>8</v>
      </c>
      <c r="B30" s="9"/>
      <c r="C30" s="80" t="str">
        <f>Inputs!B32</f>
        <v>Tax Depreciation</v>
      </c>
      <c r="F30" s="1">
        <f t="shared" si="0"/>
        <v>22606.893406940388</v>
      </c>
      <c r="O30" s="80"/>
      <c r="P30" s="80"/>
      <c r="Q30" s="80"/>
      <c r="R30" s="80"/>
      <c r="S30" s="80"/>
    </row>
    <row r="31" spans="1:19">
      <c r="A31" s="9">
        <f t="shared" si="1"/>
        <v>9</v>
      </c>
      <c r="B31" s="9"/>
      <c r="C31" s="80" t="str">
        <f>Inputs!B33</f>
        <v>Opening regulatory tax asset value 2010/11</v>
      </c>
      <c r="F31" s="1">
        <f t="shared" si="0"/>
        <v>227938.067667247</v>
      </c>
      <c r="O31" s="80"/>
      <c r="P31" s="80"/>
      <c r="Q31" s="80"/>
      <c r="R31" s="80"/>
      <c r="S31" s="80"/>
    </row>
    <row r="32" spans="1:19">
      <c r="A32" s="9">
        <f>A31+1</f>
        <v>10</v>
      </c>
      <c r="B32" s="9"/>
      <c r="C32" s="80" t="str">
        <f>Inputs!B34</f>
        <v>Other regulated income</v>
      </c>
      <c r="F32" s="1">
        <f t="shared" si="0"/>
        <v>146.19932499999999</v>
      </c>
      <c r="O32" s="80"/>
      <c r="P32" s="80"/>
      <c r="Q32" s="80"/>
      <c r="R32" s="80"/>
      <c r="S32" s="80"/>
    </row>
    <row r="33" spans="1:19">
      <c r="A33" s="9">
        <f>A32+1</f>
        <v>11</v>
      </c>
      <c r="B33" s="9"/>
      <c r="C33" s="80" t="str">
        <f>Inputs!B35</f>
        <v>Opening RAB 2009/10</v>
      </c>
      <c r="E33" s="1">
        <f t="shared" ref="E33:E37" si="2">INDEX(InputsBlock,A33+1,$G$1+2)</f>
        <v>312155</v>
      </c>
      <c r="O33" s="80"/>
      <c r="P33" s="80"/>
      <c r="Q33" s="80"/>
      <c r="R33" s="80"/>
      <c r="S33" s="80"/>
    </row>
    <row r="34" spans="1:19">
      <c r="A34" s="9">
        <f>A33+1</f>
        <v>12</v>
      </c>
      <c r="B34" s="9"/>
      <c r="C34" s="80" t="str">
        <f>Inputs!B36</f>
        <v>Disposed assets 2009/10</v>
      </c>
      <c r="E34" s="1">
        <f t="shared" si="2"/>
        <v>0</v>
      </c>
      <c r="O34" s="80"/>
      <c r="P34" s="80"/>
      <c r="Q34" s="80"/>
      <c r="R34" s="80"/>
      <c r="S34" s="80"/>
    </row>
    <row r="35" spans="1:19">
      <c r="A35" s="9">
        <f>A34+1</f>
        <v>13</v>
      </c>
      <c r="B35" s="9"/>
      <c r="C35" s="80" t="str">
        <f>Inputs!B37</f>
        <v>Opening regulatory tax asset value 2009/10</v>
      </c>
      <c r="E35" s="1">
        <f t="shared" si="2"/>
        <v>246115</v>
      </c>
      <c r="O35" s="80"/>
      <c r="P35" s="80"/>
      <c r="Q35" s="80"/>
      <c r="R35" s="80"/>
      <c r="S35" s="80"/>
    </row>
    <row r="36" spans="1:19">
      <c r="A36" s="9">
        <f t="shared" ref="A36:A41" si="3">A35+1</f>
        <v>14</v>
      </c>
      <c r="B36" s="9"/>
      <c r="C36" s="80" t="str">
        <f>Inputs!B38</f>
        <v>Tax Depreciation 2009/10</v>
      </c>
      <c r="E36" s="1">
        <f t="shared" si="2"/>
        <v>24426</v>
      </c>
      <c r="O36" s="80"/>
      <c r="P36" s="80"/>
      <c r="Q36" s="80"/>
      <c r="R36" s="80"/>
      <c r="S36" s="80"/>
    </row>
    <row r="37" spans="1:19">
      <c r="A37" s="9">
        <f t="shared" si="3"/>
        <v>15</v>
      </c>
      <c r="B37" s="9"/>
      <c r="C37" s="80" t="str">
        <f>Inputs!B39</f>
        <v>Weighted Average Remaining Life at year-end 2009/10</v>
      </c>
      <c r="E37" s="1">
        <f t="shared" si="2"/>
        <v>42</v>
      </c>
      <c r="O37" s="80"/>
      <c r="P37" s="80"/>
      <c r="Q37" s="80"/>
      <c r="R37" s="80"/>
      <c r="S37" s="80"/>
    </row>
    <row r="38" spans="1:19">
      <c r="A38" s="9">
        <f>A37+1</f>
        <v>16</v>
      </c>
      <c r="C38" s="80" t="str">
        <f>Inputs!B40</f>
        <v>Information &amp; building blocks year-end</v>
      </c>
      <c r="D38" s="44"/>
      <c r="E38" s="1" t="str">
        <f>INDEX(InputsBlock,A38+1,$G$1+2)</f>
        <v xml:space="preserve">June </v>
      </c>
      <c r="N38" s="44"/>
      <c r="O38" s="80"/>
      <c r="P38" s="80"/>
      <c r="Q38" s="80"/>
      <c r="R38" s="80"/>
      <c r="S38" s="80"/>
    </row>
    <row r="39" spans="1:19">
      <c r="A39" s="9">
        <f t="shared" si="3"/>
        <v>17</v>
      </c>
      <c r="C39" s="80" t="str">
        <f>Inputs!B41</f>
        <v>Pricing &amp; allowed revenue year-end</v>
      </c>
      <c r="D39" s="44"/>
      <c r="E39" s="1" t="str">
        <f>INDEX(InputsBlock,A39+1,$G$1+2)</f>
        <v xml:space="preserve">September </v>
      </c>
      <c r="N39" s="44"/>
      <c r="O39" s="80"/>
      <c r="P39" s="80"/>
      <c r="Q39" s="80"/>
      <c r="R39" s="80"/>
      <c r="S39" s="80"/>
    </row>
    <row r="40" spans="1:19">
      <c r="A40" s="9">
        <f t="shared" si="3"/>
        <v>18</v>
      </c>
      <c r="C40" s="80" t="str">
        <f>Inputs!B42</f>
        <v>Term Credit Spread Differential Allowance</v>
      </c>
      <c r="D40" s="44"/>
      <c r="E40" s="1"/>
      <c r="F40" s="139">
        <f>INDEX(InputsBlock,A40+1,$G$1+2)</f>
        <v>0</v>
      </c>
      <c r="N40" s="44"/>
      <c r="O40" s="80"/>
      <c r="P40" s="80"/>
      <c r="Q40" s="80"/>
      <c r="R40" s="80"/>
      <c r="S40" s="80"/>
    </row>
    <row r="41" spans="1:19">
      <c r="A41" s="9">
        <f t="shared" si="3"/>
        <v>19</v>
      </c>
      <c r="C41" s="80" t="s">
        <v>264</v>
      </c>
      <c r="D41" s="44"/>
      <c r="E41" s="139">
        <f>INDEX(InputsBlock,A41+1,$G$1+2)</f>
        <v>64</v>
      </c>
      <c r="N41" s="44"/>
      <c r="O41" s="80"/>
      <c r="P41" s="80"/>
      <c r="Q41" s="80"/>
      <c r="R41" s="80"/>
      <c r="S41" s="80"/>
    </row>
    <row r="42" spans="1:19">
      <c r="A42" s="9"/>
      <c r="C42" s="74" t="s">
        <v>220</v>
      </c>
      <c r="E42" s="74" t="s">
        <v>227</v>
      </c>
      <c r="N42" s="44"/>
      <c r="O42" s="80"/>
      <c r="P42" s="80"/>
      <c r="Q42" s="80"/>
      <c r="R42" s="80"/>
      <c r="S42" s="80"/>
    </row>
    <row r="43" spans="1:19">
      <c r="A43" s="9"/>
      <c r="C43" s="74" t="s">
        <v>221</v>
      </c>
      <c r="E43" s="1" t="s">
        <v>204</v>
      </c>
      <c r="N43" s="44"/>
      <c r="O43" s="80"/>
      <c r="P43" s="80"/>
      <c r="Q43" s="80"/>
      <c r="R43" s="80"/>
      <c r="S43" s="80"/>
    </row>
    <row r="44" spans="1:19">
      <c r="A44" s="9"/>
      <c r="O44" s="80"/>
      <c r="P44" s="80"/>
      <c r="Q44" s="80"/>
      <c r="R44" s="80"/>
      <c r="S44" s="80"/>
    </row>
    <row r="45" spans="1:19">
      <c r="E45" s="1"/>
      <c r="F45" s="81" t="str">
        <f>Inputs!E$12</f>
        <v>2010/11</v>
      </c>
      <c r="G45" s="81" t="str">
        <f>Inputs!F$12</f>
        <v>2011/12</v>
      </c>
      <c r="H45" s="81" t="str">
        <f>Inputs!G$12</f>
        <v>2012/13</v>
      </c>
      <c r="I45" s="81" t="str">
        <f>Inputs!H$12</f>
        <v>2013/14</v>
      </c>
      <c r="J45" s="81" t="str">
        <f>Inputs!I$12</f>
        <v>2014/15</v>
      </c>
      <c r="K45" s="81" t="str">
        <f>Inputs!J$12</f>
        <v>2015/16</v>
      </c>
      <c r="L45" s="81" t="str">
        <f>Inputs!K$12</f>
        <v>2016/17</v>
      </c>
      <c r="M45" s="81" t="str">
        <f>Inputs!L$12</f>
        <v>2017/18</v>
      </c>
      <c r="N45" s="44"/>
      <c r="O45" s="80"/>
      <c r="P45" s="80"/>
      <c r="Q45" s="80"/>
      <c r="R45" s="80"/>
      <c r="S45" s="80"/>
    </row>
    <row r="46" spans="1:19">
      <c r="C46" s="74" t="s">
        <v>211</v>
      </c>
      <c r="E46" s="1"/>
      <c r="F46" s="96">
        <v>0</v>
      </c>
      <c r="G46" s="15">
        <v>1</v>
      </c>
      <c r="H46" s="15">
        <v>2</v>
      </c>
      <c r="I46" s="15">
        <v>3</v>
      </c>
      <c r="J46" s="15">
        <v>4</v>
      </c>
      <c r="K46" s="15">
        <v>5</v>
      </c>
      <c r="L46" s="15">
        <v>6</v>
      </c>
      <c r="M46" s="15">
        <v>7</v>
      </c>
      <c r="N46" s="44"/>
      <c r="O46" s="80"/>
      <c r="P46" s="80"/>
      <c r="Q46" s="80"/>
      <c r="R46" s="80"/>
      <c r="S46" s="80"/>
    </row>
    <row r="47" spans="1:19">
      <c r="A47" s="9"/>
      <c r="B47" s="9"/>
      <c r="C47" s="74" t="s">
        <v>15</v>
      </c>
      <c r="E47" s="1"/>
      <c r="F47" s="43"/>
      <c r="G47" s="43">
        <f t="shared" ref="G47:M47" si="4">INDEX(OpexBlock,G46,$G$1)</f>
        <v>15866.314799669559</v>
      </c>
      <c r="H47" s="43">
        <f t="shared" si="4"/>
        <v>16282.009601288903</v>
      </c>
      <c r="I47" s="43">
        <f t="shared" si="4"/>
        <v>16791.474568849135</v>
      </c>
      <c r="J47" s="43">
        <f t="shared" si="4"/>
        <v>17318.257545390392</v>
      </c>
      <c r="K47" s="43">
        <f t="shared" si="4"/>
        <v>17927.597030479908</v>
      </c>
      <c r="L47" s="43">
        <f t="shared" si="4"/>
        <v>18467.45646978126</v>
      </c>
      <c r="M47" s="43">
        <f t="shared" si="4"/>
        <v>19058.295637106814</v>
      </c>
      <c r="N47" s="44"/>
      <c r="O47" s="80"/>
      <c r="P47" s="80"/>
      <c r="Q47" s="80"/>
      <c r="R47" s="80"/>
      <c r="S47" s="80"/>
    </row>
    <row r="48" spans="1:19">
      <c r="A48" s="9"/>
      <c r="B48" s="9"/>
      <c r="C48" s="74" t="s">
        <v>113</v>
      </c>
      <c r="D48" s="1"/>
      <c r="E48" s="1"/>
      <c r="F48" s="174">
        <f>F29</f>
        <v>7776</v>
      </c>
      <c r="G48" s="43">
        <f t="shared" ref="G48:M48" si="5">INDEX(CommAssetsBlock,G46,$G$1)</f>
        <v>11477.60347864556</v>
      </c>
      <c r="H48" s="43">
        <f t="shared" si="5"/>
        <v>11316.56026369571</v>
      </c>
      <c r="I48" s="43">
        <f t="shared" si="5"/>
        <v>11378.473102374501</v>
      </c>
      <c r="J48" s="43">
        <f t="shared" si="5"/>
        <v>12750.448702763084</v>
      </c>
      <c r="K48" s="43">
        <f t="shared" si="5"/>
        <v>13154.476248724959</v>
      </c>
      <c r="L48" s="43">
        <f t="shared" si="5"/>
        <v>13550.417024109189</v>
      </c>
      <c r="M48" s="43">
        <f t="shared" si="5"/>
        <v>13816.674305301129</v>
      </c>
      <c r="N48" s="44"/>
      <c r="O48" s="80"/>
      <c r="P48" s="80"/>
      <c r="Q48" s="80"/>
      <c r="R48" s="80"/>
      <c r="S48" s="80"/>
    </row>
    <row r="49" spans="1:19">
      <c r="A49" s="9"/>
      <c r="B49" s="9"/>
      <c r="C49" s="74" t="s">
        <v>150</v>
      </c>
      <c r="D49" s="1"/>
      <c r="E49" s="44"/>
      <c r="F49" s="44">
        <f t="shared" ref="F49:M49" si="6">INDEX(ConstPriceRevGrwth,F$46+1,$G$1)</f>
        <v>-3.2675400412756954E-2</v>
      </c>
      <c r="G49" s="44">
        <f t="shared" si="6"/>
        <v>7.8446735614526504E-4</v>
      </c>
      <c r="H49" s="44">
        <f t="shared" si="6"/>
        <v>7.8446735614526504E-4</v>
      </c>
      <c r="I49" s="44">
        <f t="shared" si="6"/>
        <v>7.8446735614526504E-4</v>
      </c>
      <c r="J49" s="44">
        <f t="shared" si="6"/>
        <v>7.8446735614526504E-4</v>
      </c>
      <c r="K49" s="44">
        <f t="shared" si="6"/>
        <v>7.8446735614526504E-4</v>
      </c>
      <c r="L49" s="44">
        <f t="shared" si="6"/>
        <v>7.8446735614526504E-4</v>
      </c>
      <c r="M49" s="44">
        <f t="shared" si="6"/>
        <v>7.8446735614526504E-4</v>
      </c>
      <c r="N49" s="44"/>
      <c r="O49" s="80"/>
      <c r="P49" s="80"/>
      <c r="Q49" s="80"/>
      <c r="R49" s="80"/>
      <c r="S49" s="80"/>
    </row>
    <row r="50" spans="1:19">
      <c r="A50" s="9"/>
      <c r="B50" s="9"/>
      <c r="C50" s="74" t="s">
        <v>170</v>
      </c>
      <c r="D50" s="1"/>
      <c r="E50" s="44"/>
      <c r="F50" s="44"/>
      <c r="G50" s="94"/>
      <c r="H50" s="94">
        <f t="shared" ref="H50:M50" si="7">INDEX(BBlockMths,H$46-1,$G$1)</f>
        <v>0</v>
      </c>
      <c r="I50" s="94">
        <f t="shared" si="7"/>
        <v>12</v>
      </c>
      <c r="J50" s="94">
        <f t="shared" si="7"/>
        <v>12</v>
      </c>
      <c r="K50" s="94">
        <f t="shared" si="7"/>
        <v>12</v>
      </c>
      <c r="L50" s="94">
        <f t="shared" si="7"/>
        <v>12</v>
      </c>
      <c r="M50" s="94">
        <f t="shared" si="7"/>
        <v>3</v>
      </c>
      <c r="N50" s="44"/>
      <c r="O50" s="80"/>
      <c r="P50" s="80"/>
      <c r="Q50" s="80"/>
      <c r="R50" s="80"/>
      <c r="S50" s="80"/>
    </row>
    <row r="51" spans="1:19">
      <c r="A51" s="9"/>
      <c r="B51" s="9"/>
      <c r="C51" s="74" t="s">
        <v>171</v>
      </c>
      <c r="D51" s="1"/>
      <c r="E51" s="44"/>
      <c r="F51" s="44"/>
      <c r="G51" s="94"/>
      <c r="H51" s="94">
        <f t="shared" ref="H51:M51" si="8">INDEX(AllowedRevMths,H$46-1,$G$1)</f>
        <v>3</v>
      </c>
      <c r="I51" s="94">
        <f t="shared" si="8"/>
        <v>12</v>
      </c>
      <c r="J51" s="94">
        <f t="shared" si="8"/>
        <v>12</v>
      </c>
      <c r="K51" s="94">
        <f t="shared" si="8"/>
        <v>12</v>
      </c>
      <c r="L51" s="94">
        <f t="shared" si="8"/>
        <v>12</v>
      </c>
      <c r="M51" s="94">
        <f t="shared" si="8"/>
        <v>0</v>
      </c>
      <c r="N51" s="44"/>
      <c r="O51" s="80"/>
      <c r="P51" s="80"/>
      <c r="Q51" s="80"/>
      <c r="R51" s="80"/>
      <c r="S51" s="80"/>
    </row>
    <row r="52" spans="1:19">
      <c r="A52" s="9"/>
      <c r="B52" s="9"/>
      <c r="D52" s="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80"/>
      <c r="P52" s="80"/>
      <c r="Q52" s="80"/>
      <c r="R52" s="80"/>
      <c r="S52" s="80"/>
    </row>
    <row r="53" spans="1:19">
      <c r="A53" s="9"/>
      <c r="B53" s="9"/>
      <c r="D53" s="1"/>
      <c r="E53" s="44"/>
      <c r="G53" s="44"/>
      <c r="H53" s="44"/>
      <c r="I53" s="44"/>
      <c r="J53" s="44"/>
      <c r="K53" s="44"/>
      <c r="L53" s="44"/>
      <c r="M53" s="44"/>
      <c r="N53" s="44"/>
      <c r="O53" s="80"/>
      <c r="P53" s="80"/>
      <c r="Q53" s="80"/>
      <c r="R53" s="80"/>
      <c r="S53" s="80"/>
    </row>
    <row r="54" spans="1:19" ht="15.75">
      <c r="A54" s="9"/>
      <c r="B54" s="9"/>
      <c r="C54" s="79" t="s">
        <v>139</v>
      </c>
      <c r="D54" s="1"/>
      <c r="E54" s="81" t="str">
        <f>Inputs!D$12</f>
        <v>2009/10</v>
      </c>
      <c r="F54" s="81" t="str">
        <f>Inputs!E$12</f>
        <v>2010/11</v>
      </c>
      <c r="G54" s="81" t="str">
        <f>Inputs!F$12</f>
        <v>2011/12</v>
      </c>
      <c r="H54" s="81" t="str">
        <f>Inputs!G$12</f>
        <v>2012/13</v>
      </c>
      <c r="I54" s="81" t="str">
        <f>Inputs!H$12</f>
        <v>2013/14</v>
      </c>
      <c r="J54" s="81" t="str">
        <f>Inputs!I$12</f>
        <v>2014/15</v>
      </c>
      <c r="K54" s="81" t="str">
        <f>Inputs!J$12</f>
        <v>2015/16</v>
      </c>
      <c r="L54" s="81" t="str">
        <f>Inputs!K$12</f>
        <v>2016/17</v>
      </c>
      <c r="M54" s="81" t="str">
        <f>Inputs!L$12</f>
        <v>2017/18</v>
      </c>
      <c r="N54" s="44"/>
      <c r="O54" s="92"/>
      <c r="P54" s="80"/>
      <c r="Q54" s="80"/>
      <c r="R54" s="80"/>
      <c r="S54" s="80"/>
    </row>
    <row r="55" spans="1:19">
      <c r="A55" s="9"/>
      <c r="B55" s="9"/>
      <c r="C55" s="80" t="str">
        <f>Inputs!B16</f>
        <v>Change in CPI, 2 index, June year-end, no lag</v>
      </c>
      <c r="D55" s="1"/>
      <c r="E55" s="77">
        <f>Inputs!D16</f>
        <v>1.6651248843663202E-2</v>
      </c>
      <c r="F55" s="77">
        <f>Inputs!E16</f>
        <v>3.2132598262234913E-2</v>
      </c>
      <c r="G55" s="77">
        <f>Inputs!F16</f>
        <v>9.5073465859982775E-3</v>
      </c>
      <c r="H55" s="77">
        <f>Inputs!G16</f>
        <v>2.1404109589041154E-2</v>
      </c>
      <c r="I55" s="77">
        <f>Inputs!H16</f>
        <v>2.0117351215423351E-2</v>
      </c>
      <c r="J55" s="77">
        <f>Inputs!I16</f>
        <v>2.2144831398562603E-2</v>
      </c>
      <c r="K55" s="77">
        <f>Inputs!J16</f>
        <v>2.1072415699281422E-2</v>
      </c>
      <c r="L55" s="77">
        <f>Inputs!K16</f>
        <v>2.0000000000000018E-2</v>
      </c>
      <c r="M55" s="77">
        <f>Inputs!L16</f>
        <v>2.0000000000000018E-2</v>
      </c>
      <c r="O55" s="92"/>
      <c r="P55" s="80"/>
      <c r="Q55" s="80"/>
      <c r="R55" s="80"/>
      <c r="S55" s="80"/>
    </row>
    <row r="56" spans="1:19">
      <c r="A56" s="9"/>
      <c r="B56" s="9"/>
      <c r="C56" s="80" t="str">
        <f>Inputs!B17</f>
        <v>Change in CPI, 2 index, December year-end, no lag</v>
      </c>
      <c r="D56" s="1"/>
      <c r="E56" s="35">
        <f>Inputs!D17</f>
        <v>1.9858995748345043E-2</v>
      </c>
      <c r="F56" s="35">
        <f>Inputs!E17</f>
        <v>1.846965699208436E-2</v>
      </c>
      <c r="G56" s="35">
        <f>Inputs!F17</f>
        <v>1.899827288428324E-2</v>
      </c>
      <c r="H56" s="35">
        <f>Inputs!G17</f>
        <v>1.6949152542372836E-2</v>
      </c>
      <c r="I56" s="35">
        <f>Inputs!H17</f>
        <v>2.1666666666666723E-2</v>
      </c>
      <c r="J56" s="35">
        <f>Inputs!I17</f>
        <v>2.2144831398562603E-2</v>
      </c>
      <c r="K56" s="35">
        <f>Inputs!J17</f>
        <v>2.1072415699281422E-2</v>
      </c>
      <c r="L56" s="35">
        <f>Inputs!K17</f>
        <v>2.0000000000000018E-2</v>
      </c>
      <c r="M56" s="35">
        <f>Inputs!L17</f>
        <v>2.0000000000000018E-2</v>
      </c>
      <c r="O56" s="92"/>
      <c r="P56" s="80"/>
      <c r="Q56" s="80"/>
      <c r="R56" s="80"/>
      <c r="S56" s="80"/>
    </row>
    <row r="57" spans="1:19">
      <c r="A57" s="9"/>
      <c r="B57" s="9"/>
      <c r="C57" s="80" t="str">
        <f>Inputs!B18</f>
        <v>Change in CPI, 8 index, June year-end, with 1.02 factor</v>
      </c>
      <c r="D57" s="1"/>
      <c r="E57" s="77"/>
      <c r="F57" s="77"/>
      <c r="G57" s="77"/>
      <c r="H57" s="77"/>
      <c r="I57" s="77">
        <f>Inputs!H18</f>
        <v>1.29785853341986E-2</v>
      </c>
      <c r="J57" s="77">
        <f>Inputs!I18</f>
        <v>1.9205353664219604E-2</v>
      </c>
      <c r="K57" s="77">
        <f>Inputs!J18</f>
        <v>2.0308989315472648E-2</v>
      </c>
      <c r="L57" s="77">
        <f>Inputs!K18</f>
        <v>2.2410409892577032E-2</v>
      </c>
      <c r="M57" s="77">
        <f>Inputs!L18</f>
        <v>2.1338203775091324E-2</v>
      </c>
      <c r="O57" s="92"/>
      <c r="P57" s="80"/>
      <c r="Q57" s="80"/>
      <c r="R57" s="80"/>
      <c r="S57" s="80"/>
    </row>
    <row r="58" spans="1:19">
      <c r="A58" s="9"/>
      <c r="B58" s="9"/>
      <c r="C58" s="80" t="str">
        <f>Inputs!B19</f>
        <v>Change in CPI, 8 index, Sept year-end, with 1.02 factor</v>
      </c>
      <c r="E58" s="77"/>
      <c r="F58" s="77"/>
      <c r="G58" s="77"/>
      <c r="H58" s="77"/>
      <c r="I58" s="77">
        <f>Inputs!H19</f>
        <v>1.3574660633484115E-2</v>
      </c>
      <c r="J58" s="77">
        <f>Inputs!I19</f>
        <v>1.9119615478218499E-2</v>
      </c>
      <c r="K58" s="77">
        <f>Inputs!J19</f>
        <v>2.1680202356610057E-2</v>
      </c>
      <c r="L58" s="77">
        <f>Inputs!K19</f>
        <v>2.2144831398562603E-2</v>
      </c>
      <c r="M58" s="77">
        <f>Inputs!L19</f>
        <v>2.1072415699281422E-2</v>
      </c>
      <c r="O58" s="92"/>
      <c r="P58" s="80"/>
      <c r="Q58" s="80"/>
      <c r="R58" s="80"/>
      <c r="S58" s="80"/>
    </row>
    <row r="59" spans="1:19">
      <c r="A59" s="9"/>
      <c r="B59" s="9"/>
      <c r="C59" s="80" t="str">
        <f>Inputs!B20</f>
        <v>Change in CPI, 8 index, June year-end, no 1.02 factor</v>
      </c>
      <c r="E59" s="77"/>
      <c r="F59" s="77"/>
      <c r="G59" s="77">
        <f>Inputs!F20</f>
        <v>2.3020257826887658E-2</v>
      </c>
      <c r="H59" s="77">
        <f>Inputs!G20</f>
        <v>4.0279027902790254E-2</v>
      </c>
      <c r="I59" s="77">
        <f>Inputs!H20</f>
        <v>1.29785853341986E-2</v>
      </c>
      <c r="J59" s="77">
        <f>Inputs!I20</f>
        <v>1.9205353664219604E-2</v>
      </c>
      <c r="K59" s="77">
        <f>Inputs!J20</f>
        <v>2.0308989315472648E-2</v>
      </c>
      <c r="L59" s="77">
        <f>Inputs!K20</f>
        <v>2.2410409892577032E-2</v>
      </c>
      <c r="M59" s="77">
        <f>Inputs!L20</f>
        <v>2.1338203775091324E-2</v>
      </c>
      <c r="O59" s="92"/>
      <c r="P59" s="80"/>
      <c r="Q59" s="80"/>
      <c r="R59" s="80"/>
      <c r="S59" s="80"/>
    </row>
    <row r="60" spans="1:19">
      <c r="A60" s="9"/>
      <c r="B60" s="9"/>
      <c r="C60" s="80" t="str">
        <f>Inputs!B21</f>
        <v>Change in CPI, 8 index, Sept year-end, no 1.02 factor</v>
      </c>
      <c r="E60" s="77"/>
      <c r="F60" s="77">
        <f>Inputs!E21</f>
        <v>1.890315052508762E-2</v>
      </c>
      <c r="G60" s="77">
        <f>Inputs!F21</f>
        <v>2.9088410444342738E-2</v>
      </c>
      <c r="H60" s="77">
        <f>Inputs!G21</f>
        <v>3.2940129089695125E-2</v>
      </c>
      <c r="I60" s="77">
        <f>Inputs!H21</f>
        <v>1.3574660633484115E-2</v>
      </c>
      <c r="J60" s="77">
        <f>Inputs!I21</f>
        <v>1.9119615478218499E-2</v>
      </c>
      <c r="K60" s="77">
        <f>Inputs!J21</f>
        <v>2.1680202356610057E-2</v>
      </c>
      <c r="L60" s="77">
        <f>Inputs!K21</f>
        <v>2.2144831398562603E-2</v>
      </c>
      <c r="M60" s="77">
        <f>Inputs!L21</f>
        <v>2.1072415699281422E-2</v>
      </c>
      <c r="O60" s="92"/>
      <c r="P60" s="80"/>
      <c r="Q60" s="80"/>
      <c r="R60" s="80"/>
      <c r="S60" s="80"/>
    </row>
    <row r="61" spans="1:19">
      <c r="A61" s="9"/>
      <c r="B61" s="9"/>
      <c r="E61" s="77"/>
      <c r="F61" s="77"/>
      <c r="G61" s="77"/>
      <c r="H61" s="77"/>
      <c r="I61" s="77"/>
      <c r="J61" s="77"/>
      <c r="K61" s="77"/>
      <c r="L61" s="77"/>
      <c r="M61" s="77"/>
      <c r="O61" s="91"/>
      <c r="P61" s="80"/>
      <c r="Q61" s="80"/>
      <c r="R61" s="80"/>
      <c r="S61" s="80"/>
    </row>
    <row r="62" spans="1:19" ht="21">
      <c r="A62" s="9"/>
      <c r="B62" s="9"/>
      <c r="C62" s="3" t="s">
        <v>213</v>
      </c>
      <c r="E62" s="77"/>
      <c r="F62" s="77"/>
      <c r="G62" s="77"/>
      <c r="H62" s="77"/>
      <c r="I62" s="77"/>
      <c r="J62" s="77"/>
      <c r="K62" s="77"/>
      <c r="L62" s="77"/>
      <c r="M62" s="77"/>
      <c r="O62" s="91"/>
      <c r="P62" s="80"/>
      <c r="Q62" s="80"/>
      <c r="R62" s="80"/>
      <c r="S62" s="80"/>
    </row>
    <row r="63" spans="1:19">
      <c r="A63" s="9"/>
      <c r="B63" s="9"/>
      <c r="C63" s="40"/>
      <c r="E63" s="40"/>
      <c r="F63" s="40" t="s">
        <v>40</v>
      </c>
      <c r="I63" s="10" t="s">
        <v>5</v>
      </c>
      <c r="O63" s="91"/>
      <c r="P63" s="91"/>
      <c r="Q63" s="91"/>
      <c r="R63" s="91"/>
      <c r="S63" s="80"/>
    </row>
    <row r="64" spans="1:19">
      <c r="A64" s="9"/>
      <c r="B64" s="9"/>
      <c r="C64" s="40"/>
      <c r="D64" s="40"/>
      <c r="E64" s="40"/>
      <c r="O64" s="91"/>
      <c r="P64" s="91"/>
      <c r="Q64" s="91"/>
      <c r="R64" s="91"/>
      <c r="S64" s="80"/>
    </row>
    <row r="65" spans="1:30">
      <c r="A65" s="9"/>
      <c r="B65" s="9"/>
      <c r="C65" s="40"/>
      <c r="E65" s="81" t="str">
        <f t="shared" ref="E65:M65" si="9">E21</f>
        <v>2009/10</v>
      </c>
      <c r="F65" s="81" t="str">
        <f t="shared" si="9"/>
        <v>2010/11</v>
      </c>
      <c r="G65" s="81" t="str">
        <f t="shared" si="9"/>
        <v>2011/12</v>
      </c>
      <c r="H65" s="81" t="str">
        <f t="shared" si="9"/>
        <v>2012/13</v>
      </c>
      <c r="I65" s="81" t="str">
        <f t="shared" si="9"/>
        <v>2013/14</v>
      </c>
      <c r="J65" s="81" t="str">
        <f t="shared" si="9"/>
        <v>2014/15</v>
      </c>
      <c r="K65" s="81" t="str">
        <f t="shared" si="9"/>
        <v>2015/16</v>
      </c>
      <c r="L65" s="81" t="str">
        <f t="shared" si="9"/>
        <v>2016/17</v>
      </c>
      <c r="M65" s="81" t="str">
        <f t="shared" si="9"/>
        <v>2017/18</v>
      </c>
      <c r="O65" s="43"/>
      <c r="P65" s="43"/>
      <c r="Q65" s="43"/>
      <c r="R65" s="43"/>
    </row>
    <row r="66" spans="1:30">
      <c r="A66" s="9"/>
      <c r="B66" s="9"/>
      <c r="C66" s="98" t="s">
        <v>190</v>
      </c>
      <c r="E66" s="81"/>
      <c r="F66" s="81"/>
      <c r="G66" s="81"/>
      <c r="H66" s="81"/>
      <c r="I66" s="81"/>
      <c r="J66" s="81"/>
      <c r="K66" s="81"/>
      <c r="L66" s="81"/>
      <c r="M66" s="81"/>
      <c r="O66" s="43"/>
      <c r="P66" s="43"/>
      <c r="Q66" s="43"/>
      <c r="R66" s="43"/>
    </row>
    <row r="67" spans="1:30" ht="18">
      <c r="A67" s="9"/>
      <c r="B67" s="9"/>
      <c r="C67" s="40" t="s">
        <v>189</v>
      </c>
      <c r="E67" s="21"/>
      <c r="F67" s="17"/>
      <c r="G67" s="17"/>
      <c r="H67" s="175">
        <f>IF($G$1=4,IntraYr!D8,1)</f>
        <v>1</v>
      </c>
      <c r="I67" s="101">
        <f>IntraYr!$F$8</f>
        <v>1.0364307906539196</v>
      </c>
      <c r="J67" s="101">
        <f>IntraYr!$F$8</f>
        <v>1.0364307906539196</v>
      </c>
      <c r="K67" s="117">
        <f>IntraYr!$F$8</f>
        <v>1.0364307906539196</v>
      </c>
      <c r="L67" s="176">
        <f>IF($G$1=4,IntraYr!E8,IntraYr!$F$8)</f>
        <v>1.0364307906539196</v>
      </c>
      <c r="M67" s="101">
        <f>IF($G$1=4,1,IntraYr!C8)</f>
        <v>1.0090850449949973</v>
      </c>
      <c r="O67" s="43"/>
      <c r="P67" s="43"/>
      <c r="Q67" s="43"/>
      <c r="R67" s="43"/>
    </row>
    <row r="68" spans="1:30" ht="18">
      <c r="A68" s="9"/>
      <c r="B68" s="9"/>
      <c r="C68" s="40" t="s">
        <v>50</v>
      </c>
      <c r="E68" s="21"/>
      <c r="F68" s="17"/>
      <c r="G68" s="17"/>
      <c r="H68" s="175">
        <f>IF($G$1=4,IntraYr!D9,1)</f>
        <v>1</v>
      </c>
      <c r="I68" s="101">
        <f>IntraYr!$F$9</f>
        <v>1.0295256528345071</v>
      </c>
      <c r="J68" s="101">
        <f>IntraYr!$F$9</f>
        <v>1.0295256528345071</v>
      </c>
      <c r="K68" s="117">
        <f>IntraYr!$F$9</f>
        <v>1.0295256528345071</v>
      </c>
      <c r="L68" s="176">
        <f>IF($G$1=4,IntraYr!E9,IntraYr!$F$9)</f>
        <v>1.0295256528345071</v>
      </c>
      <c r="M68" s="101">
        <f>IF($G$1=4,1,IntraYr!C9)</f>
        <v>1.0019680262519974</v>
      </c>
      <c r="O68" s="43"/>
      <c r="P68" s="43"/>
      <c r="Q68" s="43"/>
      <c r="R68" s="43"/>
    </row>
    <row r="69" spans="1:30">
      <c r="A69" s="9"/>
      <c r="B69" s="9"/>
      <c r="C69" s="40"/>
      <c r="E69" s="21"/>
      <c r="F69" s="17"/>
      <c r="G69" s="17"/>
      <c r="H69" s="101"/>
      <c r="I69" s="101"/>
      <c r="J69" s="101"/>
      <c r="K69" s="102"/>
      <c r="L69" s="102"/>
      <c r="M69" s="102"/>
      <c r="O69" s="43"/>
      <c r="P69" s="43"/>
      <c r="Q69" s="43"/>
    </row>
    <row r="70" spans="1:30">
      <c r="A70" s="9"/>
      <c r="B70" s="9"/>
      <c r="C70" s="99" t="s">
        <v>191</v>
      </c>
      <c r="E70" s="21"/>
      <c r="F70" s="17"/>
      <c r="G70" s="17"/>
      <c r="H70" s="101"/>
      <c r="I70" s="101"/>
      <c r="J70" s="101"/>
      <c r="K70" s="102"/>
      <c r="L70" s="102"/>
      <c r="M70" s="102"/>
      <c r="O70" s="43"/>
      <c r="P70" s="43"/>
      <c r="Q70" s="43"/>
    </row>
    <row r="71" spans="1:30" ht="18">
      <c r="A71" s="9"/>
      <c r="B71" s="9"/>
      <c r="C71" s="40" t="s">
        <v>189</v>
      </c>
      <c r="E71" s="21"/>
      <c r="F71" s="17"/>
      <c r="G71" s="17"/>
      <c r="H71" s="175">
        <f>IF($G$1=4,1,IntraYr!C8)</f>
        <v>1.0090850449949973</v>
      </c>
      <c r="I71" s="101">
        <f>IntraYr!$F$8</f>
        <v>1.0364307906539196</v>
      </c>
      <c r="J71" s="101">
        <f>IntraYr!$F$8</f>
        <v>1.0364307906539196</v>
      </c>
      <c r="K71" s="101">
        <f>IntraYr!$F$8</f>
        <v>1.0364307906539196</v>
      </c>
      <c r="L71" s="175">
        <f>IntraYr!$F$8</f>
        <v>1.0364307906539196</v>
      </c>
      <c r="M71" s="101">
        <f>IF($G$1=4,IntraYr!C8,1)</f>
        <v>1</v>
      </c>
      <c r="O71" s="43"/>
      <c r="P71" s="43"/>
      <c r="Q71" s="43"/>
    </row>
    <row r="72" spans="1:30" ht="18">
      <c r="A72" s="9"/>
      <c r="B72" s="9"/>
      <c r="C72" s="40" t="s">
        <v>50</v>
      </c>
      <c r="E72" s="21"/>
      <c r="F72" s="17"/>
      <c r="G72" s="17"/>
      <c r="H72" s="175">
        <f>IF($G$1=4,1,IntraYr!C9)</f>
        <v>1.0019680262519974</v>
      </c>
      <c r="I72" s="101">
        <f>IntraYr!$F$9</f>
        <v>1.0295256528345071</v>
      </c>
      <c r="J72" s="101">
        <f>IntraYr!$F$9</f>
        <v>1.0295256528345071</v>
      </c>
      <c r="K72" s="101">
        <f>IntraYr!$F$9</f>
        <v>1.0295256528345071</v>
      </c>
      <c r="L72" s="175">
        <f>IntraYr!$F$9</f>
        <v>1.0295256528345071</v>
      </c>
      <c r="M72" s="101">
        <f>IF($G$1=4,IntraYr!C9,1)</f>
        <v>1</v>
      </c>
      <c r="O72" s="91"/>
      <c r="P72" s="91"/>
      <c r="Q72" s="91"/>
      <c r="R72" s="80"/>
      <c r="S72" s="80"/>
    </row>
    <row r="73" spans="1:30">
      <c r="A73" s="9"/>
      <c r="B73" s="9"/>
      <c r="D73" s="1"/>
      <c r="O73" s="80"/>
      <c r="P73" s="80"/>
      <c r="Q73" s="80"/>
      <c r="R73" s="80"/>
      <c r="S73" s="80"/>
    </row>
    <row r="74" spans="1:30" ht="23.25">
      <c r="C74" s="84" t="s">
        <v>4</v>
      </c>
      <c r="D74" s="85" t="s">
        <v>19</v>
      </c>
      <c r="E74" s="2"/>
      <c r="F74" s="85" t="s">
        <v>18</v>
      </c>
      <c r="G74" s="2"/>
      <c r="H74" s="2"/>
      <c r="I74" s="2"/>
      <c r="J74" s="2"/>
      <c r="K74" s="2"/>
      <c r="L74" s="2"/>
      <c r="M74" s="2"/>
      <c r="N74" s="2"/>
      <c r="O74" s="228"/>
      <c r="P74" s="228"/>
      <c r="Q74" s="228"/>
      <c r="R74" s="228"/>
      <c r="S74" s="228"/>
    </row>
    <row r="75" spans="1:30">
      <c r="E75" s="10" t="str">
        <f>E$21</f>
        <v>2009/10</v>
      </c>
      <c r="F75" s="10" t="str">
        <f t="shared" ref="F75:M75" si="10">F$21</f>
        <v>2010/11</v>
      </c>
      <c r="G75" s="10" t="str">
        <f t="shared" si="10"/>
        <v>2011/12</v>
      </c>
      <c r="H75" s="10" t="str">
        <f t="shared" si="10"/>
        <v>2012/13</v>
      </c>
      <c r="I75" s="10" t="str">
        <f t="shared" si="10"/>
        <v>2013/14</v>
      </c>
      <c r="J75" s="10" t="str">
        <f t="shared" si="10"/>
        <v>2014/15</v>
      </c>
      <c r="K75" s="10" t="str">
        <f t="shared" si="10"/>
        <v>2015/16</v>
      </c>
      <c r="L75" s="10" t="str">
        <f t="shared" si="10"/>
        <v>2016/17</v>
      </c>
      <c r="M75" s="10" t="str">
        <f t="shared" si="10"/>
        <v>2017/18</v>
      </c>
      <c r="N75" s="10"/>
      <c r="O75" s="213"/>
      <c r="P75" s="169"/>
      <c r="Q75" s="80"/>
      <c r="R75" s="80"/>
      <c r="S75" s="80"/>
    </row>
    <row r="76" spans="1:30"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37"/>
      <c r="P76" s="80"/>
      <c r="Q76" s="229"/>
      <c r="R76" s="229"/>
      <c r="S76" s="229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 ht="21">
      <c r="C77" s="3" t="s">
        <v>205</v>
      </c>
      <c r="D77" s="3"/>
      <c r="E77" s="3"/>
      <c r="F77" s="3"/>
      <c r="G77" s="3"/>
      <c r="H77" s="77"/>
      <c r="I77" s="77"/>
      <c r="J77" s="77"/>
      <c r="K77" s="77"/>
      <c r="L77" s="77"/>
      <c r="M77" s="77"/>
      <c r="N77" s="77"/>
      <c r="O77" s="37"/>
      <c r="P77" s="80"/>
      <c r="Q77" s="229"/>
      <c r="R77" s="229"/>
      <c r="S77" s="229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>
      <c r="C78" s="80" t="s">
        <v>437</v>
      </c>
      <c r="E78" s="77"/>
      <c r="F78" s="77"/>
      <c r="G78" s="77"/>
      <c r="H78" s="77"/>
      <c r="I78" s="77">
        <f t="shared" ref="I78:M78" si="11">IF($G$1=4,I57,I58)</f>
        <v>1.3574660633484115E-2</v>
      </c>
      <c r="J78" s="77">
        <f t="shared" si="11"/>
        <v>1.9119615478218499E-2</v>
      </c>
      <c r="K78" s="77">
        <f t="shared" si="11"/>
        <v>2.1680202356610057E-2</v>
      </c>
      <c r="L78" s="77">
        <f t="shared" si="11"/>
        <v>2.2144831398562603E-2</v>
      </c>
      <c r="M78" s="77">
        <f t="shared" si="11"/>
        <v>2.1072415699281422E-2</v>
      </c>
      <c r="N78" s="77"/>
      <c r="O78" s="37"/>
      <c r="P78" s="80"/>
      <c r="Q78" s="229"/>
      <c r="R78" s="229"/>
      <c r="S78" s="229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6" customHeight="1">
      <c r="C79" s="8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37"/>
      <c r="P79" s="80"/>
      <c r="Q79" s="229"/>
      <c r="R79" s="229"/>
      <c r="S79" s="229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ht="3" customHeight="1">
      <c r="A80" s="120"/>
      <c r="B80" s="120"/>
      <c r="C80" s="120"/>
      <c r="D80" s="1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37"/>
      <c r="P80" s="80"/>
      <c r="Q80" s="229"/>
      <c r="R80" s="229"/>
      <c r="S80" s="229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3:30" ht="21">
      <c r="C81" s="80"/>
      <c r="E81" s="123" t="str">
        <f>"All information below this line down to Row " &amp; ROW(E289) &amp; " is in " &amp; E38 &amp; " year-ends."</f>
        <v>All information below this line down to Row 289 is in June  year-ends.</v>
      </c>
      <c r="F81" s="77"/>
      <c r="G81" s="77"/>
      <c r="H81" s="77"/>
      <c r="I81" s="77"/>
      <c r="J81" s="77"/>
      <c r="K81" s="77"/>
      <c r="L81" s="77"/>
      <c r="M81" s="77"/>
      <c r="N81" s="77"/>
      <c r="O81" s="37"/>
      <c r="P81" s="80"/>
      <c r="Q81" s="229"/>
      <c r="R81" s="229"/>
      <c r="S81" s="229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3:30" ht="6" customHeight="1">
      <c r="C82" s="8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37"/>
      <c r="P82" s="80"/>
      <c r="Q82" s="229"/>
      <c r="R82" s="229"/>
      <c r="S82" s="229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3:30" ht="45">
      <c r="C83" s="129" t="s">
        <v>241</v>
      </c>
      <c r="D83" s="40"/>
      <c r="E83" s="127" t="str">
        <f t="shared" ref="E83:M83" si="12">E9</f>
        <v>01/07/09 to 30/06/10</v>
      </c>
      <c r="F83" s="127" t="str">
        <f t="shared" si="12"/>
        <v>01/07/10 to 30/06/11</v>
      </c>
      <c r="G83" s="127" t="str">
        <f t="shared" si="12"/>
        <v>01/07/11 to 30/06/12</v>
      </c>
      <c r="H83" s="127" t="str">
        <f t="shared" si="12"/>
        <v>01/07/12 to 30/06/13</v>
      </c>
      <c r="I83" s="127" t="str">
        <f t="shared" si="12"/>
        <v>01/07/13 to 30/06/14</v>
      </c>
      <c r="J83" s="127" t="str">
        <f t="shared" si="12"/>
        <v>01/07/14 to 30/06/15</v>
      </c>
      <c r="K83" s="127" t="str">
        <f t="shared" si="12"/>
        <v>01/07/15 to 30/06/16</v>
      </c>
      <c r="L83" s="127" t="str">
        <f t="shared" si="12"/>
        <v>01/07/16 to 30/06/17</v>
      </c>
      <c r="M83" s="127" t="str">
        <f t="shared" si="12"/>
        <v>01/07/17 to 30/06/18</v>
      </c>
      <c r="N83" s="77"/>
      <c r="O83" s="37"/>
      <c r="P83" s="80"/>
      <c r="Q83" s="229"/>
      <c r="R83" s="229"/>
      <c r="S83" s="229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3:30">
      <c r="C84" s="74" t="s">
        <v>89</v>
      </c>
      <c r="E84" s="35">
        <f t="shared" ref="E84:M84" si="13">IF($G$1=4,E56,E55)</f>
        <v>1.6651248843663202E-2</v>
      </c>
      <c r="F84" s="35">
        <f t="shared" si="13"/>
        <v>3.2132598262234913E-2</v>
      </c>
      <c r="G84" s="35">
        <f t="shared" si="13"/>
        <v>9.5073465859982775E-3</v>
      </c>
      <c r="H84" s="35">
        <f t="shared" si="13"/>
        <v>2.1404109589041154E-2</v>
      </c>
      <c r="I84" s="35">
        <f t="shared" si="13"/>
        <v>2.0117351215423351E-2</v>
      </c>
      <c r="J84" s="35">
        <f t="shared" si="13"/>
        <v>2.2144831398562603E-2</v>
      </c>
      <c r="K84" s="35">
        <f t="shared" si="13"/>
        <v>2.1072415699281422E-2</v>
      </c>
      <c r="L84" s="35">
        <f t="shared" si="13"/>
        <v>2.0000000000000018E-2</v>
      </c>
      <c r="M84" s="35">
        <f t="shared" si="13"/>
        <v>2.0000000000000018E-2</v>
      </c>
      <c r="N84" s="21"/>
      <c r="O84" s="37"/>
      <c r="P84" s="80"/>
      <c r="Q84" s="80"/>
      <c r="R84" s="80"/>
      <c r="S84" s="80"/>
    </row>
    <row r="85" spans="3:30">
      <c r="C85" s="74" t="s">
        <v>119</v>
      </c>
      <c r="E85" s="35"/>
      <c r="F85" s="35"/>
      <c r="G85" s="35">
        <f>IF($G$1=4,G56,G55)</f>
        <v>9.5073465859982775E-3</v>
      </c>
      <c r="H85" s="35">
        <f t="shared" ref="H85:M85" si="14">IF($G$1=4,H56,H55)</f>
        <v>2.1404109589041154E-2</v>
      </c>
      <c r="I85" s="35">
        <f t="shared" si="14"/>
        <v>2.0117351215423351E-2</v>
      </c>
      <c r="J85" s="35">
        <f t="shared" si="14"/>
        <v>2.2144831398562603E-2</v>
      </c>
      <c r="K85" s="35">
        <f t="shared" si="14"/>
        <v>2.1072415699281422E-2</v>
      </c>
      <c r="L85" s="35">
        <f t="shared" si="14"/>
        <v>2.0000000000000018E-2</v>
      </c>
      <c r="M85" s="35">
        <f t="shared" si="14"/>
        <v>2.0000000000000018E-2</v>
      </c>
      <c r="N85" s="21"/>
      <c r="O85" s="37"/>
      <c r="P85" s="80"/>
      <c r="Q85" s="80"/>
      <c r="R85" s="80"/>
      <c r="S85" s="80"/>
    </row>
    <row r="86" spans="3:30">
      <c r="C86" s="80" t="s">
        <v>85</v>
      </c>
      <c r="D86" s="80"/>
      <c r="E86" s="80"/>
      <c r="F86" s="174">
        <f>F32</f>
        <v>146.19932499999999</v>
      </c>
      <c r="G86" s="37">
        <f t="shared" ref="G86:M86" si="15">F86*(1+G85)</f>
        <v>147.58929265341399</v>
      </c>
      <c r="H86" s="37">
        <f t="shared" si="15"/>
        <v>150.74831004753673</v>
      </c>
      <c r="I86" s="37">
        <f t="shared" si="15"/>
        <v>153.78096674589457</v>
      </c>
      <c r="J86" s="37">
        <f t="shared" si="15"/>
        <v>157.18642032679037</v>
      </c>
      <c r="K86" s="37">
        <f t="shared" si="15"/>
        <v>160.49871791819848</v>
      </c>
      <c r="L86" s="37">
        <f t="shared" si="15"/>
        <v>163.70869227656246</v>
      </c>
      <c r="M86" s="37">
        <f t="shared" si="15"/>
        <v>166.98286612209372</v>
      </c>
      <c r="N86" s="80"/>
      <c r="O86" s="80"/>
      <c r="P86" s="80"/>
      <c r="Q86" s="80"/>
      <c r="R86" s="80"/>
      <c r="S86" s="80"/>
    </row>
    <row r="87" spans="3:30">
      <c r="N87" s="45"/>
      <c r="O87" s="80"/>
      <c r="P87" s="80"/>
      <c r="Q87" s="80"/>
      <c r="R87" s="80"/>
      <c r="S87" s="80"/>
    </row>
    <row r="88" spans="3:30" ht="23.25">
      <c r="C88" s="84" t="s">
        <v>71</v>
      </c>
      <c r="D88" s="85"/>
      <c r="E88" s="2"/>
      <c r="F88" s="85"/>
      <c r="G88" s="2"/>
      <c r="H88" s="2"/>
      <c r="I88" s="2"/>
      <c r="J88" s="2"/>
      <c r="K88" s="2"/>
      <c r="L88" s="2"/>
      <c r="M88" s="2"/>
      <c r="N88" s="2"/>
      <c r="O88" s="228"/>
      <c r="P88" s="228"/>
      <c r="Q88" s="228"/>
      <c r="R88" s="228"/>
      <c r="S88" s="228"/>
    </row>
    <row r="89" spans="3:30">
      <c r="N89" s="45"/>
      <c r="O89" s="80"/>
      <c r="P89" s="80"/>
      <c r="Q89" s="80"/>
      <c r="R89" s="80"/>
      <c r="S89" s="80"/>
    </row>
    <row r="90" spans="3:30" ht="15.75">
      <c r="C90" s="16" t="s">
        <v>20</v>
      </c>
      <c r="E90" s="13">
        <f>Inputs!D13</f>
        <v>0.3</v>
      </c>
      <c r="F90" s="13">
        <f>Inputs!E13</f>
        <v>0.3</v>
      </c>
      <c r="G90" s="13">
        <f>Inputs!F13</f>
        <v>0.28000000000000003</v>
      </c>
      <c r="H90" s="13">
        <f>Inputs!G13</f>
        <v>0.28000000000000003</v>
      </c>
      <c r="I90" s="13">
        <f>Inputs!H13</f>
        <v>0.28000000000000003</v>
      </c>
      <c r="J90" s="13">
        <f>Inputs!I13</f>
        <v>0.28000000000000003</v>
      </c>
      <c r="K90" s="13">
        <f>Inputs!J13</f>
        <v>0.28000000000000003</v>
      </c>
      <c r="L90" s="13">
        <f>Inputs!K13</f>
        <v>0.28000000000000003</v>
      </c>
      <c r="M90" s="13">
        <f>Inputs!L13</f>
        <v>0.28000000000000003</v>
      </c>
      <c r="N90" s="45"/>
      <c r="O90" s="80"/>
      <c r="P90" s="80"/>
      <c r="Q90" s="80"/>
      <c r="R90" s="80"/>
      <c r="S90" s="80"/>
    </row>
    <row r="91" spans="3:30">
      <c r="C91" s="74" t="s">
        <v>21</v>
      </c>
      <c r="E91" s="173">
        <f>F91+1</f>
        <v>42</v>
      </c>
      <c r="F91" s="177">
        <f>F26/F27</f>
        <v>41</v>
      </c>
      <c r="G91" s="18">
        <f t="shared" ref="G91:M91" si="16">F91-1</f>
        <v>40</v>
      </c>
      <c r="H91" s="18">
        <f t="shared" si="16"/>
        <v>39</v>
      </c>
      <c r="I91" s="18">
        <f t="shared" si="16"/>
        <v>38</v>
      </c>
      <c r="J91" s="18">
        <f t="shared" si="16"/>
        <v>37</v>
      </c>
      <c r="K91" s="18">
        <f t="shared" si="16"/>
        <v>36</v>
      </c>
      <c r="L91" s="18">
        <f t="shared" si="16"/>
        <v>35</v>
      </c>
      <c r="M91" s="18">
        <f t="shared" si="16"/>
        <v>34</v>
      </c>
      <c r="N91" s="45"/>
    </row>
    <row r="92" spans="3:30">
      <c r="C92" s="74" t="s">
        <v>114</v>
      </c>
      <c r="E92" s="80"/>
      <c r="F92" s="80"/>
      <c r="G92" s="35">
        <f>IF($G$1=4,G56,G55)</f>
        <v>9.5073465859982775E-3</v>
      </c>
      <c r="H92" s="35">
        <f t="shared" ref="H92:M92" si="17">IF($G$1=4,H56,H55)</f>
        <v>2.1404109589041154E-2</v>
      </c>
      <c r="I92" s="35">
        <f t="shared" si="17"/>
        <v>2.0117351215423351E-2</v>
      </c>
      <c r="J92" s="35">
        <f t="shared" si="17"/>
        <v>2.2144831398562603E-2</v>
      </c>
      <c r="K92" s="35">
        <f t="shared" si="17"/>
        <v>2.1072415699281422E-2</v>
      </c>
      <c r="L92" s="35">
        <f t="shared" si="17"/>
        <v>2.0000000000000018E-2</v>
      </c>
      <c r="M92" s="35">
        <f t="shared" si="17"/>
        <v>2.0000000000000018E-2</v>
      </c>
      <c r="N92" s="45"/>
    </row>
    <row r="93" spans="3:30">
      <c r="C93" s="74" t="s">
        <v>23</v>
      </c>
      <c r="E93" s="88">
        <f>E34</f>
        <v>0</v>
      </c>
      <c r="F93" s="179">
        <f>F28*0</f>
        <v>0</v>
      </c>
      <c r="G93" s="29">
        <f t="shared" ref="G93:M93" si="18">F93*(1+G92)</f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45"/>
    </row>
    <row r="94" spans="3:30">
      <c r="E94" s="63"/>
      <c r="F94" s="63"/>
      <c r="G94" s="29"/>
      <c r="H94" s="29"/>
      <c r="I94" s="29"/>
      <c r="J94" s="29"/>
      <c r="K94" s="29"/>
      <c r="L94" s="29"/>
      <c r="M94" s="29"/>
      <c r="N94" s="45"/>
    </row>
    <row r="95" spans="3:30" ht="21">
      <c r="C95" s="3" t="s">
        <v>224</v>
      </c>
      <c r="D95" s="75"/>
      <c r="N95" s="45"/>
    </row>
    <row r="96" spans="3:30" ht="15.75">
      <c r="C96" s="5" t="s">
        <v>196</v>
      </c>
      <c r="D96" s="78"/>
      <c r="E96" s="10" t="str">
        <f>E$21</f>
        <v>2009/10</v>
      </c>
      <c r="F96" s="10" t="str">
        <f t="shared" ref="F96:M96" si="19">F$21</f>
        <v>2010/11</v>
      </c>
      <c r="G96" s="10" t="str">
        <f t="shared" si="19"/>
        <v>2011/12</v>
      </c>
      <c r="H96" s="10" t="str">
        <f t="shared" si="19"/>
        <v>2012/13</v>
      </c>
      <c r="I96" s="10" t="str">
        <f t="shared" si="19"/>
        <v>2013/14</v>
      </c>
      <c r="J96" s="10" t="str">
        <f t="shared" si="19"/>
        <v>2014/15</v>
      </c>
      <c r="K96" s="10" t="str">
        <f t="shared" si="19"/>
        <v>2015/16</v>
      </c>
      <c r="L96" s="10" t="str">
        <f t="shared" si="19"/>
        <v>2016/17</v>
      </c>
      <c r="M96" s="10" t="str">
        <f t="shared" si="19"/>
        <v>2017/18</v>
      </c>
      <c r="N96" s="45"/>
      <c r="Q96" s="74" t="s">
        <v>169</v>
      </c>
    </row>
    <row r="97" spans="1:17">
      <c r="C97" s="74" t="s">
        <v>75</v>
      </c>
      <c r="E97" s="88">
        <f>E33</f>
        <v>312155</v>
      </c>
      <c r="F97" s="179">
        <f>F26</f>
        <v>320907</v>
      </c>
      <c r="G97" s="29">
        <f t="shared" ref="G97:M97" si="20">F101</f>
        <v>323381.26413482847</v>
      </c>
      <c r="H97" s="29">
        <f t="shared" si="20"/>
        <v>318368.15579124825</v>
      </c>
      <c r="I97" s="29">
        <f t="shared" si="20"/>
        <v>317012.44225463941</v>
      </c>
      <c r="J97" s="29">
        <f t="shared" si="20"/>
        <v>315041.08275358303</v>
      </c>
      <c r="K97" s="29">
        <f t="shared" si="20"/>
        <v>313496.01402491564</v>
      </c>
      <c r="L97" s="29">
        <f t="shared" si="20"/>
        <v>311387.3036223856</v>
      </c>
      <c r="M97" s="29">
        <f t="shared" si="20"/>
        <v>308712.04184526415</v>
      </c>
      <c r="N97" s="45"/>
    </row>
    <row r="98" spans="1:17">
      <c r="C98" s="74" t="s">
        <v>23</v>
      </c>
      <c r="D98" s="78"/>
      <c r="E98" s="29">
        <f>E93</f>
        <v>0</v>
      </c>
      <c r="F98" s="29">
        <f t="shared" ref="F98:M98" si="21">F93</f>
        <v>0</v>
      </c>
      <c r="G98" s="29">
        <f t="shared" si="21"/>
        <v>0</v>
      </c>
      <c r="H98" s="29">
        <f t="shared" si="21"/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29">
        <f t="shared" si="21"/>
        <v>0</v>
      </c>
      <c r="N98" s="45"/>
    </row>
    <row r="99" spans="1:17">
      <c r="C99" s="74" t="s">
        <v>24</v>
      </c>
      <c r="E99" s="29">
        <f>(E97*0.999-E98)*E84</f>
        <v>5192.5728122108931</v>
      </c>
      <c r="F99" s="29">
        <f t="shared" ref="F99:M99" si="22">(F97*0.999-F98)*F84</f>
        <v>10301.26413482848</v>
      </c>
      <c r="G99" s="29">
        <f t="shared" si="22"/>
        <v>3071.4232597905207</v>
      </c>
      <c r="H99" s="29">
        <f t="shared" si="22"/>
        <v>6807.5725093205874</v>
      </c>
      <c r="I99" s="29">
        <f t="shared" si="22"/>
        <v>6371.0731898551994</v>
      </c>
      <c r="J99" s="29">
        <f t="shared" si="22"/>
        <v>6969.5551295375062</v>
      </c>
      <c r="K99" s="29">
        <f t="shared" si="22"/>
        <v>6599.5122092731808</v>
      </c>
      <c r="L99" s="29">
        <f t="shared" si="22"/>
        <v>6221.5183263752697</v>
      </c>
      <c r="M99" s="29">
        <f t="shared" si="22"/>
        <v>6168.0665960683837</v>
      </c>
      <c r="N99" s="45"/>
    </row>
    <row r="100" spans="1:17">
      <c r="C100" s="74" t="s">
        <v>25</v>
      </c>
      <c r="E100" s="88"/>
      <c r="F100" s="29">
        <f t="shared" ref="F100:M100" si="23">F97/F91</f>
        <v>7827</v>
      </c>
      <c r="G100" s="29">
        <f t="shared" si="23"/>
        <v>8084.5316033707113</v>
      </c>
      <c r="H100" s="29">
        <f t="shared" si="23"/>
        <v>8163.2860459294425</v>
      </c>
      <c r="I100" s="29">
        <f t="shared" si="23"/>
        <v>8342.4326909115625</v>
      </c>
      <c r="J100" s="29">
        <f t="shared" si="23"/>
        <v>8514.6238582049464</v>
      </c>
      <c r="K100" s="29">
        <f t="shared" si="23"/>
        <v>8708.2226118032122</v>
      </c>
      <c r="L100" s="29">
        <f t="shared" si="23"/>
        <v>8896.7801034967324</v>
      </c>
      <c r="M100" s="29">
        <f t="shared" si="23"/>
        <v>9079.7659366254156</v>
      </c>
      <c r="N100" s="45"/>
    </row>
    <row r="101" spans="1:17">
      <c r="C101" s="74" t="s">
        <v>26</v>
      </c>
      <c r="E101" s="78"/>
      <c r="F101" s="78">
        <f>F97-F98+F99-F100</f>
        <v>323381.26413482847</v>
      </c>
      <c r="G101" s="78">
        <f t="shared" ref="G101:M101" si="24">G97-G98+G99-G100</f>
        <v>318368.15579124825</v>
      </c>
      <c r="H101" s="78">
        <f t="shared" si="24"/>
        <v>317012.44225463941</v>
      </c>
      <c r="I101" s="29">
        <f t="shared" si="24"/>
        <v>315041.08275358303</v>
      </c>
      <c r="J101" s="29">
        <f t="shared" si="24"/>
        <v>313496.01402491564</v>
      </c>
      <c r="K101" s="29">
        <f t="shared" si="24"/>
        <v>311387.3036223856</v>
      </c>
      <c r="L101" s="29">
        <f t="shared" si="24"/>
        <v>308712.04184526415</v>
      </c>
      <c r="M101" s="29">
        <f t="shared" si="24"/>
        <v>305800.34250470711</v>
      </c>
      <c r="N101" s="45"/>
    </row>
    <row r="102" spans="1:17">
      <c r="N102" s="45"/>
    </row>
    <row r="103" spans="1:17" ht="15.75">
      <c r="C103" s="5" t="s">
        <v>197</v>
      </c>
      <c r="E103" s="10" t="str">
        <f>E$21</f>
        <v>2009/10</v>
      </c>
      <c r="F103" s="10" t="str">
        <f t="shared" ref="F103:M103" si="25">F$21</f>
        <v>2010/11</v>
      </c>
      <c r="G103" s="10" t="str">
        <f t="shared" si="25"/>
        <v>2011/12</v>
      </c>
      <c r="H103" s="10" t="str">
        <f t="shared" si="25"/>
        <v>2012/13</v>
      </c>
      <c r="I103" s="10" t="str">
        <f t="shared" si="25"/>
        <v>2013/14</v>
      </c>
      <c r="J103" s="10" t="str">
        <f t="shared" si="25"/>
        <v>2014/15</v>
      </c>
      <c r="K103" s="10" t="str">
        <f t="shared" si="25"/>
        <v>2015/16</v>
      </c>
      <c r="L103" s="10" t="str">
        <f t="shared" si="25"/>
        <v>2016/17</v>
      </c>
      <c r="M103" s="10" t="str">
        <f t="shared" si="25"/>
        <v>2017/18</v>
      </c>
      <c r="N103" s="45"/>
      <c r="Q103" s="74" t="s">
        <v>169</v>
      </c>
    </row>
    <row r="104" spans="1:17">
      <c r="C104" s="20" t="s">
        <v>41</v>
      </c>
      <c r="E104" s="180">
        <v>1</v>
      </c>
      <c r="F104" s="20">
        <f>E104+1</f>
        <v>2</v>
      </c>
      <c r="G104" s="20">
        <f t="shared" ref="G104:M104" si="26">F104+1</f>
        <v>3</v>
      </c>
      <c r="H104" s="20">
        <f t="shared" si="26"/>
        <v>4</v>
      </c>
      <c r="I104" s="20">
        <f t="shared" si="26"/>
        <v>5</v>
      </c>
      <c r="J104" s="20">
        <f t="shared" si="26"/>
        <v>6</v>
      </c>
      <c r="K104" s="20">
        <f t="shared" si="26"/>
        <v>7</v>
      </c>
      <c r="L104" s="20">
        <f t="shared" si="26"/>
        <v>8</v>
      </c>
      <c r="M104" s="20">
        <f t="shared" si="26"/>
        <v>9</v>
      </c>
      <c r="N104" s="45"/>
    </row>
    <row r="105" spans="1:17">
      <c r="C105" s="74" t="s">
        <v>22</v>
      </c>
      <c r="D105" s="78"/>
      <c r="E105" s="181">
        <v>0</v>
      </c>
      <c r="F105" s="78">
        <f>F$48</f>
        <v>7776</v>
      </c>
      <c r="G105" s="78">
        <f t="shared" ref="G105:M105" si="27">G$48</f>
        <v>11477.60347864556</v>
      </c>
      <c r="H105" s="78">
        <f t="shared" si="27"/>
        <v>11316.56026369571</v>
      </c>
      <c r="I105" s="78">
        <f t="shared" si="27"/>
        <v>11378.473102374501</v>
      </c>
      <c r="J105" s="78">
        <f t="shared" si="27"/>
        <v>12750.448702763084</v>
      </c>
      <c r="K105" s="78">
        <f t="shared" si="27"/>
        <v>13154.476248724959</v>
      </c>
      <c r="L105" s="78">
        <f t="shared" si="27"/>
        <v>13550.417024109189</v>
      </c>
      <c r="M105" s="78">
        <f t="shared" si="27"/>
        <v>13816.674305301129</v>
      </c>
      <c r="N105" s="45"/>
    </row>
    <row r="106" spans="1:17">
      <c r="A106" s="74">
        <v>1</v>
      </c>
      <c r="C106" s="74" t="s">
        <v>350</v>
      </c>
      <c r="E106" s="181">
        <v>0</v>
      </c>
      <c r="F106" s="78">
        <f>E142</f>
        <v>0</v>
      </c>
      <c r="G106" s="78">
        <f t="shared" ref="G106:M114" si="28">F142</f>
        <v>0</v>
      </c>
      <c r="H106" s="78">
        <f t="shared" si="28"/>
        <v>0</v>
      </c>
      <c r="I106" s="78">
        <f t="shared" si="28"/>
        <v>0</v>
      </c>
      <c r="J106" s="78">
        <f t="shared" si="28"/>
        <v>0</v>
      </c>
      <c r="K106" s="78">
        <f t="shared" si="28"/>
        <v>0</v>
      </c>
      <c r="L106" s="78">
        <f t="shared" si="28"/>
        <v>0</v>
      </c>
      <c r="M106" s="78">
        <f t="shared" si="28"/>
        <v>0</v>
      </c>
      <c r="N106" s="45"/>
    </row>
    <row r="107" spans="1:17">
      <c r="A107" s="74">
        <v>2</v>
      </c>
      <c r="C107" s="74" t="s">
        <v>351</v>
      </c>
      <c r="E107" s="181">
        <v>0</v>
      </c>
      <c r="F107" s="78">
        <f t="shared" ref="F107:J110" si="29">E143</f>
        <v>0</v>
      </c>
      <c r="G107" s="78">
        <f t="shared" si="29"/>
        <v>7776</v>
      </c>
      <c r="H107" s="78">
        <f t="shared" si="29"/>
        <v>7677.1291270527227</v>
      </c>
      <c r="I107" s="78">
        <f t="shared" si="29"/>
        <v>7666.9710327843623</v>
      </c>
      <c r="J107" s="78">
        <f t="shared" si="29"/>
        <v>7642.9085298841446</v>
      </c>
      <c r="K107" s="78">
        <f t="shared" si="28"/>
        <v>7630.1854380567765</v>
      </c>
      <c r="L107" s="78">
        <f t="shared" si="28"/>
        <v>7604.8697936150693</v>
      </c>
      <c r="M107" s="78">
        <f t="shared" si="28"/>
        <v>7566.8454446469941</v>
      </c>
      <c r="N107" s="45"/>
    </row>
    <row r="108" spans="1:17">
      <c r="A108" s="74">
        <v>3</v>
      </c>
      <c r="C108" s="74" t="s">
        <v>352</v>
      </c>
      <c r="E108" s="181">
        <v>0</v>
      </c>
      <c r="F108" s="78">
        <f t="shared" si="29"/>
        <v>0</v>
      </c>
      <c r="G108" s="78">
        <f t="shared" si="29"/>
        <v>0</v>
      </c>
      <c r="H108" s="78">
        <f t="shared" si="29"/>
        <v>11477.60347864556</v>
      </c>
      <c r="I108" s="78">
        <f t="shared" si="29"/>
        <v>11468.213506241036</v>
      </c>
      <c r="J108" s="78">
        <f t="shared" si="29"/>
        <v>11438.282369108616</v>
      </c>
      <c r="K108" s="78">
        <f t="shared" si="28"/>
        <v>11425.574636938221</v>
      </c>
      <c r="L108" s="78">
        <f t="shared" si="28"/>
        <v>11394.301603935279</v>
      </c>
      <c r="M108" s="78">
        <f t="shared" si="28"/>
        <v>11344.27784079605</v>
      </c>
      <c r="N108" s="45"/>
    </row>
    <row r="109" spans="1:17">
      <c r="A109" s="74">
        <v>4</v>
      </c>
      <c r="C109" s="74" t="s">
        <v>353</v>
      </c>
      <c r="E109" s="181">
        <v>0</v>
      </c>
      <c r="F109" s="78">
        <f t="shared" si="29"/>
        <v>0</v>
      </c>
      <c r="G109" s="78">
        <f t="shared" si="29"/>
        <v>0</v>
      </c>
      <c r="H109" s="78">
        <f t="shared" si="29"/>
        <v>0</v>
      </c>
      <c r="I109" s="78">
        <f t="shared" si="29"/>
        <v>11316.56026369571</v>
      </c>
      <c r="J109" s="78">
        <f t="shared" si="29"/>
        <v>11292.740364099966</v>
      </c>
      <c r="K109" s="78">
        <f t="shared" si="28"/>
        <v>11286.16300539752</v>
      </c>
      <c r="L109" s="78">
        <f t="shared" si="28"/>
        <v>11261.52081679484</v>
      </c>
      <c r="M109" s="78">
        <f t="shared" si="28"/>
        <v>11218.619785111812</v>
      </c>
      <c r="N109" s="45"/>
    </row>
    <row r="110" spans="1:17">
      <c r="A110" s="74">
        <v>5</v>
      </c>
      <c r="C110" s="74" t="s">
        <v>354</v>
      </c>
      <c r="E110" s="181">
        <v>0</v>
      </c>
      <c r="F110" s="78">
        <f t="shared" si="29"/>
        <v>0</v>
      </c>
      <c r="G110" s="78">
        <f t="shared" si="29"/>
        <v>0</v>
      </c>
      <c r="H110" s="78">
        <f t="shared" si="29"/>
        <v>0</v>
      </c>
      <c r="I110" s="78">
        <f t="shared" si="29"/>
        <v>0</v>
      </c>
      <c r="J110" s="78">
        <f t="shared" si="29"/>
        <v>11378.473102374501</v>
      </c>
      <c r="K110" s="78">
        <f t="shared" si="28"/>
        <v>11377.592512969119</v>
      </c>
      <c r="L110" s="78">
        <f t="shared" si="28"/>
        <v>11358.76422403741</v>
      </c>
      <c r="M110" s="78">
        <f t="shared" si="28"/>
        <v>11321.782200982405</v>
      </c>
      <c r="N110" s="45"/>
    </row>
    <row r="111" spans="1:17">
      <c r="A111" s="74">
        <v>6</v>
      </c>
      <c r="C111" s="74" t="s">
        <v>355</v>
      </c>
      <c r="E111" s="181">
        <v>0</v>
      </c>
      <c r="F111" s="78">
        <f>E147</f>
        <v>0</v>
      </c>
      <c r="G111" s="78">
        <f>F147</f>
        <v>0</v>
      </c>
      <c r="H111" s="78">
        <f>G147</f>
        <v>0</v>
      </c>
      <c r="I111" s="78">
        <f>H147</f>
        <v>0</v>
      </c>
      <c r="J111" s="78">
        <f>I147</f>
        <v>0</v>
      </c>
      <c r="K111" s="78">
        <f t="shared" si="28"/>
        <v>12750.448702763084</v>
      </c>
      <c r="L111" s="78">
        <f t="shared" si="28"/>
        <v>12735.788153674224</v>
      </c>
      <c r="M111" s="78">
        <f t="shared" si="28"/>
        <v>12701.054185982386</v>
      </c>
      <c r="N111" s="45"/>
    </row>
    <row r="112" spans="1:17">
      <c r="A112" s="74">
        <v>7</v>
      </c>
      <c r="C112" s="74" t="s">
        <v>356</v>
      </c>
      <c r="E112" s="181">
        <v>0</v>
      </c>
      <c r="F112" s="78">
        <f t="shared" ref="F112:J114" si="30">E148</f>
        <v>0</v>
      </c>
      <c r="G112" s="78">
        <f t="shared" si="30"/>
        <v>0</v>
      </c>
      <c r="H112" s="78">
        <f t="shared" si="30"/>
        <v>0</v>
      </c>
      <c r="I112" s="78">
        <f t="shared" si="30"/>
        <v>0</v>
      </c>
      <c r="J112" s="78">
        <f t="shared" si="30"/>
        <v>0</v>
      </c>
      <c r="K112" s="78">
        <f t="shared" si="28"/>
        <v>0</v>
      </c>
      <c r="L112" s="78">
        <f t="shared" si="28"/>
        <v>13154.476248724959</v>
      </c>
      <c r="M112" s="78">
        <f t="shared" si="28"/>
        <v>13125.244079283348</v>
      </c>
      <c r="N112" s="45"/>
    </row>
    <row r="113" spans="1:14">
      <c r="A113" s="74">
        <v>8</v>
      </c>
      <c r="C113" s="74" t="s">
        <v>357</v>
      </c>
      <c r="E113" s="181">
        <v>0</v>
      </c>
      <c r="F113" s="78">
        <f t="shared" si="30"/>
        <v>0</v>
      </c>
      <c r="G113" s="78">
        <f t="shared" si="30"/>
        <v>0</v>
      </c>
      <c r="H113" s="78">
        <f t="shared" si="30"/>
        <v>0</v>
      </c>
      <c r="I113" s="78">
        <f t="shared" si="30"/>
        <v>0</v>
      </c>
      <c r="J113" s="78">
        <f t="shared" si="30"/>
        <v>0</v>
      </c>
      <c r="K113" s="78">
        <f t="shared" si="28"/>
        <v>0</v>
      </c>
      <c r="L113" s="78">
        <f t="shared" si="28"/>
        <v>0</v>
      </c>
      <c r="M113" s="78">
        <f t="shared" si="28"/>
        <v>13550.417024109189</v>
      </c>
      <c r="N113" s="45"/>
    </row>
    <row r="114" spans="1:14">
      <c r="A114" s="74">
        <v>9</v>
      </c>
      <c r="C114" s="74" t="s">
        <v>358</v>
      </c>
      <c r="E114" s="181">
        <v>0</v>
      </c>
      <c r="F114" s="78">
        <f t="shared" si="30"/>
        <v>0</v>
      </c>
      <c r="G114" s="78">
        <f t="shared" si="30"/>
        <v>0</v>
      </c>
      <c r="H114" s="78">
        <f t="shared" si="30"/>
        <v>0</v>
      </c>
      <c r="I114" s="78">
        <f t="shared" si="30"/>
        <v>0</v>
      </c>
      <c r="J114" s="78">
        <f t="shared" si="30"/>
        <v>0</v>
      </c>
      <c r="K114" s="78">
        <f t="shared" si="28"/>
        <v>0</v>
      </c>
      <c r="L114" s="78">
        <f t="shared" si="28"/>
        <v>0</v>
      </c>
      <c r="M114" s="78">
        <f t="shared" si="28"/>
        <v>0</v>
      </c>
      <c r="N114" s="45"/>
    </row>
    <row r="115" spans="1:14">
      <c r="A115" s="74">
        <v>1</v>
      </c>
      <c r="C115" s="74" t="s">
        <v>359</v>
      </c>
      <c r="E115" s="181">
        <f>Inputs!$C$7+$A115</f>
        <v>46</v>
      </c>
      <c r="F115" s="78">
        <f>E115-1</f>
        <v>45</v>
      </c>
      <c r="G115" s="78">
        <f t="shared" ref="G115:M123" si="31">F115-1</f>
        <v>44</v>
      </c>
      <c r="H115" s="78">
        <f t="shared" si="31"/>
        <v>43</v>
      </c>
      <c r="I115" s="78">
        <f t="shared" si="31"/>
        <v>42</v>
      </c>
      <c r="J115" s="78">
        <f t="shared" si="31"/>
        <v>41</v>
      </c>
      <c r="K115" s="78">
        <f t="shared" si="31"/>
        <v>40</v>
      </c>
      <c r="L115" s="78">
        <f t="shared" si="31"/>
        <v>39</v>
      </c>
      <c r="M115" s="78">
        <f t="shared" si="31"/>
        <v>38</v>
      </c>
      <c r="N115" s="45"/>
    </row>
    <row r="116" spans="1:14">
      <c r="A116" s="74">
        <v>2</v>
      </c>
      <c r="C116" s="74" t="s">
        <v>360</v>
      </c>
      <c r="E116" s="181">
        <f>Inputs!$C$7+$A116</f>
        <v>47</v>
      </c>
      <c r="F116" s="78">
        <f t="shared" ref="F116:J123" si="32">E116-1</f>
        <v>46</v>
      </c>
      <c r="G116" s="78">
        <f t="shared" si="32"/>
        <v>45</v>
      </c>
      <c r="H116" s="78">
        <f t="shared" si="32"/>
        <v>44</v>
      </c>
      <c r="I116" s="78">
        <f t="shared" si="32"/>
        <v>43</v>
      </c>
      <c r="J116" s="78">
        <f t="shared" si="32"/>
        <v>42</v>
      </c>
      <c r="K116" s="78">
        <f t="shared" si="31"/>
        <v>41</v>
      </c>
      <c r="L116" s="78">
        <f t="shared" si="31"/>
        <v>40</v>
      </c>
      <c r="M116" s="78">
        <f t="shared" si="31"/>
        <v>39</v>
      </c>
      <c r="N116" s="45"/>
    </row>
    <row r="117" spans="1:14">
      <c r="A117" s="74">
        <v>3</v>
      </c>
      <c r="C117" s="74" t="s">
        <v>361</v>
      </c>
      <c r="E117" s="181">
        <f>Inputs!$C$7+$A117</f>
        <v>48</v>
      </c>
      <c r="F117" s="78">
        <f t="shared" si="32"/>
        <v>47</v>
      </c>
      <c r="G117" s="78">
        <f t="shared" si="32"/>
        <v>46</v>
      </c>
      <c r="H117" s="78">
        <f t="shared" si="32"/>
        <v>45</v>
      </c>
      <c r="I117" s="78">
        <f t="shared" si="32"/>
        <v>44</v>
      </c>
      <c r="J117" s="78">
        <f t="shared" si="32"/>
        <v>43</v>
      </c>
      <c r="K117" s="78">
        <f t="shared" si="31"/>
        <v>42</v>
      </c>
      <c r="L117" s="78">
        <f t="shared" si="31"/>
        <v>41</v>
      </c>
      <c r="M117" s="78">
        <f t="shared" si="31"/>
        <v>40</v>
      </c>
      <c r="N117" s="45"/>
    </row>
    <row r="118" spans="1:14">
      <c r="A118" s="74">
        <v>4</v>
      </c>
      <c r="C118" s="74" t="s">
        <v>362</v>
      </c>
      <c r="E118" s="181">
        <f>Inputs!$C$7+$A118</f>
        <v>49</v>
      </c>
      <c r="F118" s="78">
        <f t="shared" si="32"/>
        <v>48</v>
      </c>
      <c r="G118" s="78">
        <f t="shared" si="32"/>
        <v>47</v>
      </c>
      <c r="H118" s="78">
        <f t="shared" si="32"/>
        <v>46</v>
      </c>
      <c r="I118" s="78">
        <f t="shared" si="32"/>
        <v>45</v>
      </c>
      <c r="J118" s="78">
        <f t="shared" si="32"/>
        <v>44</v>
      </c>
      <c r="K118" s="78">
        <f t="shared" si="31"/>
        <v>43</v>
      </c>
      <c r="L118" s="78">
        <f t="shared" si="31"/>
        <v>42</v>
      </c>
      <c r="M118" s="78">
        <f t="shared" si="31"/>
        <v>41</v>
      </c>
      <c r="N118" s="45"/>
    </row>
    <row r="119" spans="1:14">
      <c r="A119" s="74">
        <v>5</v>
      </c>
      <c r="C119" s="74" t="s">
        <v>363</v>
      </c>
      <c r="E119" s="181">
        <f>Inputs!$C$7+$A119</f>
        <v>50</v>
      </c>
      <c r="F119" s="78">
        <f t="shared" si="32"/>
        <v>49</v>
      </c>
      <c r="G119" s="78">
        <f t="shared" si="32"/>
        <v>48</v>
      </c>
      <c r="H119" s="78">
        <f t="shared" si="32"/>
        <v>47</v>
      </c>
      <c r="I119" s="78">
        <f t="shared" si="32"/>
        <v>46</v>
      </c>
      <c r="J119" s="78">
        <f t="shared" si="32"/>
        <v>45</v>
      </c>
      <c r="K119" s="78">
        <f t="shared" si="31"/>
        <v>44</v>
      </c>
      <c r="L119" s="78">
        <f t="shared" si="31"/>
        <v>43</v>
      </c>
      <c r="M119" s="78">
        <f t="shared" si="31"/>
        <v>42</v>
      </c>
      <c r="N119" s="45"/>
    </row>
    <row r="120" spans="1:14">
      <c r="A120" s="74">
        <v>6</v>
      </c>
      <c r="C120" s="74" t="s">
        <v>364</v>
      </c>
      <c r="E120" s="181">
        <f>Inputs!$C$7+$A120</f>
        <v>51</v>
      </c>
      <c r="F120" s="78">
        <f t="shared" si="32"/>
        <v>50</v>
      </c>
      <c r="G120" s="78">
        <f t="shared" si="32"/>
        <v>49</v>
      </c>
      <c r="H120" s="78">
        <f t="shared" si="32"/>
        <v>48</v>
      </c>
      <c r="I120" s="78">
        <f t="shared" si="32"/>
        <v>47</v>
      </c>
      <c r="J120" s="78">
        <f t="shared" si="32"/>
        <v>46</v>
      </c>
      <c r="K120" s="78">
        <f t="shared" si="31"/>
        <v>45</v>
      </c>
      <c r="L120" s="78">
        <f t="shared" si="31"/>
        <v>44</v>
      </c>
      <c r="M120" s="78">
        <f t="shared" si="31"/>
        <v>43</v>
      </c>
      <c r="N120" s="45"/>
    </row>
    <row r="121" spans="1:14">
      <c r="A121" s="74">
        <v>7</v>
      </c>
      <c r="C121" s="74" t="s">
        <v>365</v>
      </c>
      <c r="E121" s="181">
        <f>Inputs!$C$7+$A121</f>
        <v>52</v>
      </c>
      <c r="F121" s="78">
        <f t="shared" si="32"/>
        <v>51</v>
      </c>
      <c r="G121" s="78">
        <f t="shared" si="32"/>
        <v>50</v>
      </c>
      <c r="H121" s="78">
        <f t="shared" si="32"/>
        <v>49</v>
      </c>
      <c r="I121" s="78">
        <f t="shared" si="32"/>
        <v>48</v>
      </c>
      <c r="J121" s="78">
        <f t="shared" si="32"/>
        <v>47</v>
      </c>
      <c r="K121" s="78">
        <f t="shared" si="31"/>
        <v>46</v>
      </c>
      <c r="L121" s="78">
        <f t="shared" si="31"/>
        <v>45</v>
      </c>
      <c r="M121" s="78">
        <f t="shared" si="31"/>
        <v>44</v>
      </c>
      <c r="N121" s="45"/>
    </row>
    <row r="122" spans="1:14">
      <c r="A122" s="74">
        <v>8</v>
      </c>
      <c r="C122" s="74" t="s">
        <v>366</v>
      </c>
      <c r="E122" s="181">
        <f>Inputs!$C$7+$A122</f>
        <v>53</v>
      </c>
      <c r="F122" s="78">
        <f t="shared" si="32"/>
        <v>52</v>
      </c>
      <c r="G122" s="78">
        <f t="shared" si="32"/>
        <v>51</v>
      </c>
      <c r="H122" s="78">
        <f t="shared" si="32"/>
        <v>50</v>
      </c>
      <c r="I122" s="78">
        <f t="shared" si="32"/>
        <v>49</v>
      </c>
      <c r="J122" s="78">
        <f t="shared" si="32"/>
        <v>48</v>
      </c>
      <c r="K122" s="78">
        <f t="shared" si="31"/>
        <v>47</v>
      </c>
      <c r="L122" s="78">
        <f t="shared" si="31"/>
        <v>46</v>
      </c>
      <c r="M122" s="78">
        <f t="shared" si="31"/>
        <v>45</v>
      </c>
      <c r="N122" s="45"/>
    </row>
    <row r="123" spans="1:14">
      <c r="A123" s="74">
        <v>9</v>
      </c>
      <c r="C123" s="74" t="s">
        <v>367</v>
      </c>
      <c r="E123" s="181">
        <f>Inputs!$C$7+$A123</f>
        <v>54</v>
      </c>
      <c r="F123" s="78">
        <f t="shared" si="32"/>
        <v>53</v>
      </c>
      <c r="G123" s="78">
        <f t="shared" si="32"/>
        <v>52</v>
      </c>
      <c r="H123" s="78">
        <f t="shared" si="32"/>
        <v>51</v>
      </c>
      <c r="I123" s="78">
        <f t="shared" si="32"/>
        <v>50</v>
      </c>
      <c r="J123" s="78">
        <f t="shared" si="32"/>
        <v>49</v>
      </c>
      <c r="K123" s="78">
        <f t="shared" si="31"/>
        <v>48</v>
      </c>
      <c r="L123" s="78">
        <f t="shared" si="31"/>
        <v>47</v>
      </c>
      <c r="M123" s="78">
        <f t="shared" si="31"/>
        <v>46</v>
      </c>
      <c r="N123" s="45"/>
    </row>
    <row r="124" spans="1:14">
      <c r="A124" s="74">
        <v>1</v>
      </c>
      <c r="C124" s="74" t="s">
        <v>368</v>
      </c>
      <c r="E124" s="78">
        <f>E106*E$84</f>
        <v>0</v>
      </c>
      <c r="F124" s="78">
        <f t="shared" ref="F124:M132" si="33">F106*F$84</f>
        <v>0</v>
      </c>
      <c r="G124" s="78">
        <f t="shared" si="33"/>
        <v>0</v>
      </c>
      <c r="H124" s="78">
        <f t="shared" si="33"/>
        <v>0</v>
      </c>
      <c r="I124" s="78">
        <f t="shared" si="33"/>
        <v>0</v>
      </c>
      <c r="J124" s="78">
        <f t="shared" si="33"/>
        <v>0</v>
      </c>
      <c r="K124" s="78">
        <f t="shared" si="33"/>
        <v>0</v>
      </c>
      <c r="L124" s="78">
        <f t="shared" si="33"/>
        <v>0</v>
      </c>
      <c r="M124" s="78">
        <f t="shared" si="33"/>
        <v>0</v>
      </c>
      <c r="N124" s="45"/>
    </row>
    <row r="125" spans="1:14">
      <c r="A125" s="74">
        <v>2</v>
      </c>
      <c r="C125" s="74" t="s">
        <v>369</v>
      </c>
      <c r="E125" s="78">
        <f t="shared" ref="E125:J132" si="34">E107*E$84</f>
        <v>0</v>
      </c>
      <c r="F125" s="78">
        <f t="shared" si="34"/>
        <v>0</v>
      </c>
      <c r="G125" s="78">
        <f t="shared" si="34"/>
        <v>73.929127052722606</v>
      </c>
      <c r="H125" s="78">
        <f t="shared" si="34"/>
        <v>164.32211316465632</v>
      </c>
      <c r="I125" s="78">
        <f t="shared" si="34"/>
        <v>154.23914902500013</v>
      </c>
      <c r="J125" s="78">
        <f t="shared" si="34"/>
        <v>169.25092078892035</v>
      </c>
      <c r="K125" s="78">
        <f t="shared" si="33"/>
        <v>160.7864394133361</v>
      </c>
      <c r="L125" s="78">
        <f t="shared" si="33"/>
        <v>152.09739587230152</v>
      </c>
      <c r="M125" s="78">
        <f t="shared" si="33"/>
        <v>151.33690889294002</v>
      </c>
      <c r="N125" s="45"/>
    </row>
    <row r="126" spans="1:14">
      <c r="A126" s="74">
        <v>3</v>
      </c>
      <c r="C126" s="74" t="s">
        <v>370</v>
      </c>
      <c r="E126" s="78">
        <f t="shared" si="34"/>
        <v>0</v>
      </c>
      <c r="F126" s="78">
        <f t="shared" si="34"/>
        <v>0</v>
      </c>
      <c r="G126" s="78">
        <f t="shared" si="34"/>
        <v>0</v>
      </c>
      <c r="H126" s="78">
        <f t="shared" si="34"/>
        <v>245.66788267648954</v>
      </c>
      <c r="I126" s="78">
        <f t="shared" si="34"/>
        <v>230.71007891851261</v>
      </c>
      <c r="J126" s="78">
        <f t="shared" si="34"/>
        <v>253.29883455306151</v>
      </c>
      <c r="K126" s="78">
        <f t="shared" si="33"/>
        <v>240.76445835272861</v>
      </c>
      <c r="L126" s="78">
        <f t="shared" si="33"/>
        <v>227.88603207870577</v>
      </c>
      <c r="M126" s="78">
        <f t="shared" si="33"/>
        <v>226.88555681592121</v>
      </c>
      <c r="N126" s="45"/>
    </row>
    <row r="127" spans="1:14">
      <c r="A127" s="74">
        <v>4</v>
      </c>
      <c r="C127" s="74" t="s">
        <v>371</v>
      </c>
      <c r="E127" s="78">
        <f t="shared" si="34"/>
        <v>0</v>
      </c>
      <c r="F127" s="78">
        <f t="shared" si="34"/>
        <v>0</v>
      </c>
      <c r="G127" s="78">
        <f t="shared" si="34"/>
        <v>0</v>
      </c>
      <c r="H127" s="78">
        <f t="shared" si="34"/>
        <v>0</v>
      </c>
      <c r="I127" s="78">
        <f t="shared" si="34"/>
        <v>227.65921737527049</v>
      </c>
      <c r="J127" s="78">
        <f t="shared" si="34"/>
        <v>250.0758313907362</v>
      </c>
      <c r="K127" s="78">
        <f t="shared" si="33"/>
        <v>237.82671849958791</v>
      </c>
      <c r="L127" s="78">
        <f t="shared" si="33"/>
        <v>225.23041633589702</v>
      </c>
      <c r="M127" s="78">
        <f t="shared" si="33"/>
        <v>224.37239570223645</v>
      </c>
      <c r="N127" s="45"/>
    </row>
    <row r="128" spans="1:14">
      <c r="A128" s="74">
        <v>5</v>
      </c>
      <c r="C128" s="74" t="s">
        <v>372</v>
      </c>
      <c r="E128" s="78">
        <f t="shared" si="34"/>
        <v>0</v>
      </c>
      <c r="F128" s="78">
        <f t="shared" si="34"/>
        <v>0</v>
      </c>
      <c r="G128" s="78">
        <f t="shared" si="34"/>
        <v>0</v>
      </c>
      <c r="H128" s="78">
        <f t="shared" si="34"/>
        <v>0</v>
      </c>
      <c r="I128" s="78">
        <f t="shared" si="34"/>
        <v>0</v>
      </c>
      <c r="J128" s="78">
        <f t="shared" si="34"/>
        <v>251.97436842516288</v>
      </c>
      <c r="K128" s="78">
        <f t="shared" si="33"/>
        <v>239.75335909031722</v>
      </c>
      <c r="L128" s="78">
        <f t="shared" si="33"/>
        <v>227.17528448074839</v>
      </c>
      <c r="M128" s="78">
        <f t="shared" si="33"/>
        <v>226.43564401964829</v>
      </c>
      <c r="N128" s="45"/>
    </row>
    <row r="129" spans="1:14">
      <c r="A129" s="74">
        <v>6</v>
      </c>
      <c r="C129" s="74" t="s">
        <v>373</v>
      </c>
      <c r="E129" s="78">
        <f t="shared" si="34"/>
        <v>0</v>
      </c>
      <c r="F129" s="78">
        <f t="shared" si="34"/>
        <v>0</v>
      </c>
      <c r="G129" s="78">
        <f t="shared" si="34"/>
        <v>0</v>
      </c>
      <c r="H129" s="78">
        <f t="shared" si="34"/>
        <v>0</v>
      </c>
      <c r="I129" s="78">
        <f t="shared" si="34"/>
        <v>0</v>
      </c>
      <c r="J129" s="78">
        <f t="shared" si="34"/>
        <v>0</v>
      </c>
      <c r="K129" s="78">
        <f t="shared" si="33"/>
        <v>268.68275541698722</v>
      </c>
      <c r="L129" s="78">
        <f t="shared" si="33"/>
        <v>254.71576307348471</v>
      </c>
      <c r="M129" s="78">
        <f t="shared" si="33"/>
        <v>254.02108371964795</v>
      </c>
      <c r="N129" s="45"/>
    </row>
    <row r="130" spans="1:14">
      <c r="A130" s="74">
        <v>7</v>
      </c>
      <c r="C130" s="74" t="s">
        <v>374</v>
      </c>
      <c r="E130" s="78">
        <f t="shared" si="34"/>
        <v>0</v>
      </c>
      <c r="F130" s="78">
        <f t="shared" si="34"/>
        <v>0</v>
      </c>
      <c r="G130" s="78">
        <f t="shared" si="34"/>
        <v>0</v>
      </c>
      <c r="H130" s="78">
        <f t="shared" si="34"/>
        <v>0</v>
      </c>
      <c r="I130" s="78">
        <f t="shared" si="34"/>
        <v>0</v>
      </c>
      <c r="J130" s="78">
        <f t="shared" si="34"/>
        <v>0</v>
      </c>
      <c r="K130" s="78">
        <f t="shared" si="33"/>
        <v>0</v>
      </c>
      <c r="L130" s="78">
        <f t="shared" si="33"/>
        <v>263.0895249744994</v>
      </c>
      <c r="M130" s="78">
        <f t="shared" si="33"/>
        <v>262.50488158566719</v>
      </c>
      <c r="N130" s="45"/>
    </row>
    <row r="131" spans="1:14">
      <c r="A131" s="74">
        <v>8</v>
      </c>
      <c r="C131" s="74" t="s">
        <v>375</v>
      </c>
      <c r="E131" s="78">
        <f t="shared" si="34"/>
        <v>0</v>
      </c>
      <c r="F131" s="78">
        <f t="shared" si="34"/>
        <v>0</v>
      </c>
      <c r="G131" s="78">
        <f t="shared" si="34"/>
        <v>0</v>
      </c>
      <c r="H131" s="78">
        <f t="shared" si="34"/>
        <v>0</v>
      </c>
      <c r="I131" s="78">
        <f t="shared" si="34"/>
        <v>0</v>
      </c>
      <c r="J131" s="78">
        <f t="shared" si="34"/>
        <v>0</v>
      </c>
      <c r="K131" s="78">
        <f t="shared" si="33"/>
        <v>0</v>
      </c>
      <c r="L131" s="78">
        <f t="shared" si="33"/>
        <v>0</v>
      </c>
      <c r="M131" s="78">
        <f t="shared" si="33"/>
        <v>271.008340482184</v>
      </c>
      <c r="N131" s="45"/>
    </row>
    <row r="132" spans="1:14">
      <c r="A132" s="74">
        <v>9</v>
      </c>
      <c r="C132" s="74" t="s">
        <v>376</v>
      </c>
      <c r="E132" s="78">
        <f t="shared" si="34"/>
        <v>0</v>
      </c>
      <c r="F132" s="78">
        <f t="shared" si="34"/>
        <v>0</v>
      </c>
      <c r="G132" s="78">
        <f t="shared" si="34"/>
        <v>0</v>
      </c>
      <c r="H132" s="78">
        <f t="shared" si="34"/>
        <v>0</v>
      </c>
      <c r="I132" s="78">
        <f t="shared" si="34"/>
        <v>0</v>
      </c>
      <c r="J132" s="78">
        <f t="shared" si="34"/>
        <v>0</v>
      </c>
      <c r="K132" s="78">
        <f t="shared" si="33"/>
        <v>0</v>
      </c>
      <c r="L132" s="78">
        <f t="shared" si="33"/>
        <v>0</v>
      </c>
      <c r="M132" s="78">
        <f t="shared" si="33"/>
        <v>0</v>
      </c>
      <c r="N132" s="45"/>
    </row>
    <row r="133" spans="1:14">
      <c r="A133" s="74">
        <v>1</v>
      </c>
      <c r="C133" s="74" t="s">
        <v>377</v>
      </c>
      <c r="E133" s="29">
        <f t="shared" ref="E133:M141" si="35">E106/E115</f>
        <v>0</v>
      </c>
      <c r="F133" s="29">
        <f t="shared" si="35"/>
        <v>0</v>
      </c>
      <c r="G133" s="29">
        <f t="shared" si="35"/>
        <v>0</v>
      </c>
      <c r="H133" s="29">
        <f t="shared" si="35"/>
        <v>0</v>
      </c>
      <c r="I133" s="29">
        <f t="shared" si="35"/>
        <v>0</v>
      </c>
      <c r="J133" s="29">
        <f t="shared" si="35"/>
        <v>0</v>
      </c>
      <c r="K133" s="29">
        <f t="shared" si="35"/>
        <v>0</v>
      </c>
      <c r="L133" s="29">
        <f t="shared" si="35"/>
        <v>0</v>
      </c>
      <c r="M133" s="29">
        <f t="shared" si="35"/>
        <v>0</v>
      </c>
      <c r="N133" s="45"/>
    </row>
    <row r="134" spans="1:14">
      <c r="A134" s="74">
        <v>2</v>
      </c>
      <c r="C134" s="74" t="s">
        <v>378</v>
      </c>
      <c r="E134" s="29">
        <f t="shared" si="35"/>
        <v>0</v>
      </c>
      <c r="F134" s="29">
        <f t="shared" si="35"/>
        <v>0</v>
      </c>
      <c r="G134" s="29">
        <f t="shared" si="35"/>
        <v>172.8</v>
      </c>
      <c r="H134" s="29">
        <f t="shared" si="35"/>
        <v>174.48020743301643</v>
      </c>
      <c r="I134" s="29">
        <f t="shared" si="35"/>
        <v>178.30165192521773</v>
      </c>
      <c r="J134" s="29">
        <f t="shared" si="35"/>
        <v>181.97401261628914</v>
      </c>
      <c r="K134" s="29">
        <f t="shared" si="35"/>
        <v>186.10208385504333</v>
      </c>
      <c r="L134" s="29">
        <f t="shared" si="35"/>
        <v>190.12174484037672</v>
      </c>
      <c r="M134" s="29">
        <f t="shared" si="35"/>
        <v>194.02167806787165</v>
      </c>
      <c r="N134" s="45"/>
    </row>
    <row r="135" spans="1:14">
      <c r="A135" s="74">
        <v>3</v>
      </c>
      <c r="C135" s="74" t="s">
        <v>379</v>
      </c>
      <c r="E135" s="29">
        <f t="shared" si="35"/>
        <v>0</v>
      </c>
      <c r="F135" s="29">
        <f t="shared" si="35"/>
        <v>0</v>
      </c>
      <c r="G135" s="29">
        <f t="shared" si="35"/>
        <v>0</v>
      </c>
      <c r="H135" s="29">
        <f t="shared" si="35"/>
        <v>255.05785508101246</v>
      </c>
      <c r="I135" s="29">
        <f t="shared" si="35"/>
        <v>260.64121605093266</v>
      </c>
      <c r="J135" s="29">
        <f t="shared" si="35"/>
        <v>266.00656672345616</v>
      </c>
      <c r="K135" s="29">
        <f t="shared" si="35"/>
        <v>272.03749135567193</v>
      </c>
      <c r="L135" s="29">
        <f t="shared" si="35"/>
        <v>277.90979521793361</v>
      </c>
      <c r="M135" s="29">
        <f t="shared" si="35"/>
        <v>283.60694601990127</v>
      </c>
      <c r="N135" s="45"/>
    </row>
    <row r="136" spans="1:14">
      <c r="A136" s="74">
        <v>4</v>
      </c>
      <c r="C136" s="74" t="s">
        <v>380</v>
      </c>
      <c r="E136" s="29">
        <f t="shared" si="35"/>
        <v>0</v>
      </c>
      <c r="F136" s="29">
        <f t="shared" si="35"/>
        <v>0</v>
      </c>
      <c r="G136" s="29">
        <f t="shared" si="35"/>
        <v>0</v>
      </c>
      <c r="H136" s="29">
        <f t="shared" si="35"/>
        <v>0</v>
      </c>
      <c r="I136" s="29">
        <f t="shared" si="35"/>
        <v>251.47911697101577</v>
      </c>
      <c r="J136" s="29">
        <f t="shared" si="35"/>
        <v>256.65319009318102</v>
      </c>
      <c r="K136" s="29">
        <f t="shared" si="35"/>
        <v>262.46890710226791</v>
      </c>
      <c r="L136" s="29">
        <f t="shared" si="35"/>
        <v>268.13144801892474</v>
      </c>
      <c r="M136" s="29">
        <f t="shared" si="35"/>
        <v>273.62487280760519</v>
      </c>
      <c r="N136" s="45"/>
    </row>
    <row r="137" spans="1:14">
      <c r="A137" s="74">
        <v>5</v>
      </c>
      <c r="C137" s="74" t="s">
        <v>381</v>
      </c>
      <c r="E137" s="29">
        <f t="shared" si="35"/>
        <v>0</v>
      </c>
      <c r="F137" s="29">
        <f t="shared" si="35"/>
        <v>0</v>
      </c>
      <c r="G137" s="29">
        <f t="shared" si="35"/>
        <v>0</v>
      </c>
      <c r="H137" s="29">
        <f t="shared" si="35"/>
        <v>0</v>
      </c>
      <c r="I137" s="29">
        <f t="shared" si="35"/>
        <v>0</v>
      </c>
      <c r="J137" s="29">
        <f t="shared" si="35"/>
        <v>252.85495783054446</v>
      </c>
      <c r="K137" s="29">
        <f t="shared" si="35"/>
        <v>258.58164802202543</v>
      </c>
      <c r="L137" s="29">
        <f t="shared" si="35"/>
        <v>264.15730753575372</v>
      </c>
      <c r="M137" s="29">
        <f t="shared" si="35"/>
        <v>269.56624288053342</v>
      </c>
      <c r="N137" s="45"/>
    </row>
    <row r="138" spans="1:14">
      <c r="A138" s="74">
        <v>6</v>
      </c>
      <c r="C138" s="74" t="s">
        <v>382</v>
      </c>
      <c r="E138" s="29">
        <f t="shared" si="35"/>
        <v>0</v>
      </c>
      <c r="F138" s="29">
        <f t="shared" si="35"/>
        <v>0</v>
      </c>
      <c r="G138" s="29">
        <f t="shared" si="35"/>
        <v>0</v>
      </c>
      <c r="H138" s="29">
        <f t="shared" si="35"/>
        <v>0</v>
      </c>
      <c r="I138" s="29">
        <f t="shared" si="35"/>
        <v>0</v>
      </c>
      <c r="J138" s="29">
        <f t="shared" si="35"/>
        <v>0</v>
      </c>
      <c r="K138" s="29">
        <f t="shared" si="35"/>
        <v>283.34330450584633</v>
      </c>
      <c r="L138" s="29">
        <f t="shared" si="35"/>
        <v>289.4497307653233</v>
      </c>
      <c r="M138" s="29">
        <f t="shared" si="35"/>
        <v>295.37335316238108</v>
      </c>
      <c r="N138" s="45"/>
    </row>
    <row r="139" spans="1:14">
      <c r="A139" s="74">
        <v>7</v>
      </c>
      <c r="C139" s="74" t="s">
        <v>383</v>
      </c>
      <c r="E139" s="29">
        <f t="shared" si="35"/>
        <v>0</v>
      </c>
      <c r="F139" s="29">
        <f t="shared" si="35"/>
        <v>0</v>
      </c>
      <c r="G139" s="29">
        <f t="shared" si="35"/>
        <v>0</v>
      </c>
      <c r="H139" s="29">
        <f t="shared" si="35"/>
        <v>0</v>
      </c>
      <c r="I139" s="29">
        <f t="shared" si="35"/>
        <v>0</v>
      </c>
      <c r="J139" s="29">
        <f t="shared" si="35"/>
        <v>0</v>
      </c>
      <c r="K139" s="29">
        <f t="shared" si="35"/>
        <v>0</v>
      </c>
      <c r="L139" s="29">
        <f t="shared" si="35"/>
        <v>292.32169441611018</v>
      </c>
      <c r="M139" s="29">
        <f t="shared" si="35"/>
        <v>298.30100180189424</v>
      </c>
      <c r="N139" s="45"/>
    </row>
    <row r="140" spans="1:14">
      <c r="A140" s="74">
        <v>8</v>
      </c>
      <c r="C140" s="74" t="s">
        <v>384</v>
      </c>
      <c r="E140" s="29">
        <f t="shared" si="35"/>
        <v>0</v>
      </c>
      <c r="F140" s="29">
        <f t="shared" si="35"/>
        <v>0</v>
      </c>
      <c r="G140" s="29">
        <f t="shared" si="35"/>
        <v>0</v>
      </c>
      <c r="H140" s="29">
        <f t="shared" si="35"/>
        <v>0</v>
      </c>
      <c r="I140" s="29">
        <f t="shared" si="35"/>
        <v>0</v>
      </c>
      <c r="J140" s="29">
        <f t="shared" si="35"/>
        <v>0</v>
      </c>
      <c r="K140" s="29">
        <f t="shared" si="35"/>
        <v>0</v>
      </c>
      <c r="L140" s="29">
        <f t="shared" si="35"/>
        <v>0</v>
      </c>
      <c r="M140" s="29">
        <f t="shared" si="35"/>
        <v>301.12037831353751</v>
      </c>
      <c r="N140" s="45"/>
    </row>
    <row r="141" spans="1:14">
      <c r="A141" s="74">
        <v>9</v>
      </c>
      <c r="C141" s="74" t="s">
        <v>385</v>
      </c>
      <c r="E141" s="29">
        <f t="shared" si="35"/>
        <v>0</v>
      </c>
      <c r="F141" s="29">
        <f t="shared" si="35"/>
        <v>0</v>
      </c>
      <c r="G141" s="29">
        <f t="shared" si="35"/>
        <v>0</v>
      </c>
      <c r="H141" s="29">
        <f t="shared" si="35"/>
        <v>0</v>
      </c>
      <c r="I141" s="29">
        <f t="shared" si="35"/>
        <v>0</v>
      </c>
      <c r="J141" s="29">
        <f t="shared" si="35"/>
        <v>0</v>
      </c>
      <c r="K141" s="29">
        <f t="shared" si="35"/>
        <v>0</v>
      </c>
      <c r="L141" s="29">
        <f t="shared" si="35"/>
        <v>0</v>
      </c>
      <c r="M141" s="29">
        <f t="shared" si="35"/>
        <v>0</v>
      </c>
      <c r="N141" s="45"/>
    </row>
    <row r="142" spans="1:14">
      <c r="A142" s="74">
        <v>1</v>
      </c>
      <c r="C142" s="74" t="s">
        <v>386</v>
      </c>
      <c r="E142" s="78">
        <f t="shared" ref="E142:M150" si="36">E106+E124-E133+IF($A142=E$104,E$105,0)</f>
        <v>0</v>
      </c>
      <c r="F142" s="78">
        <f t="shared" si="36"/>
        <v>0</v>
      </c>
      <c r="G142" s="78">
        <f t="shared" si="36"/>
        <v>0</v>
      </c>
      <c r="H142" s="78">
        <f t="shared" si="36"/>
        <v>0</v>
      </c>
      <c r="I142" s="78">
        <f t="shared" si="36"/>
        <v>0</v>
      </c>
      <c r="J142" s="29">
        <f t="shared" si="36"/>
        <v>0</v>
      </c>
      <c r="K142" s="29">
        <f t="shared" si="36"/>
        <v>0</v>
      </c>
      <c r="L142" s="29">
        <f t="shared" si="36"/>
        <v>0</v>
      </c>
      <c r="M142" s="29">
        <f t="shared" si="36"/>
        <v>0</v>
      </c>
      <c r="N142" s="45"/>
    </row>
    <row r="143" spans="1:14">
      <c r="A143" s="74">
        <v>2</v>
      </c>
      <c r="C143" s="74" t="s">
        <v>387</v>
      </c>
      <c r="E143" s="78">
        <f t="shared" si="36"/>
        <v>0</v>
      </c>
      <c r="F143" s="78">
        <f t="shared" si="36"/>
        <v>7776</v>
      </c>
      <c r="G143" s="78">
        <f t="shared" si="36"/>
        <v>7677.1291270527227</v>
      </c>
      <c r="H143" s="78">
        <f t="shared" si="36"/>
        <v>7666.9710327843623</v>
      </c>
      <c r="I143" s="78">
        <f t="shared" si="36"/>
        <v>7642.9085298841446</v>
      </c>
      <c r="J143" s="29">
        <f t="shared" si="36"/>
        <v>7630.1854380567765</v>
      </c>
      <c r="K143" s="29">
        <f t="shared" si="36"/>
        <v>7604.8697936150693</v>
      </c>
      <c r="L143" s="29">
        <f t="shared" si="36"/>
        <v>7566.8454446469941</v>
      </c>
      <c r="M143" s="29">
        <f t="shared" si="36"/>
        <v>7524.1606754720624</v>
      </c>
      <c r="N143" s="45"/>
    </row>
    <row r="144" spans="1:14">
      <c r="A144" s="74">
        <v>3</v>
      </c>
      <c r="C144" s="74" t="s">
        <v>388</v>
      </c>
      <c r="E144" s="78">
        <f t="shared" si="36"/>
        <v>0</v>
      </c>
      <c r="F144" s="78">
        <f t="shared" si="36"/>
        <v>0</v>
      </c>
      <c r="G144" s="78">
        <f t="shared" si="36"/>
        <v>11477.60347864556</v>
      </c>
      <c r="H144" s="78">
        <f t="shared" si="36"/>
        <v>11468.213506241036</v>
      </c>
      <c r="I144" s="78">
        <f t="shared" si="36"/>
        <v>11438.282369108616</v>
      </c>
      <c r="J144" s="29">
        <f t="shared" si="36"/>
        <v>11425.574636938221</v>
      </c>
      <c r="K144" s="29">
        <f t="shared" si="36"/>
        <v>11394.301603935279</v>
      </c>
      <c r="L144" s="29">
        <f t="shared" si="36"/>
        <v>11344.27784079605</v>
      </c>
      <c r="M144" s="29">
        <f t="shared" si="36"/>
        <v>11287.556451592071</v>
      </c>
      <c r="N144" s="45"/>
    </row>
    <row r="145" spans="1:14">
      <c r="A145" s="74">
        <v>4</v>
      </c>
      <c r="C145" s="74" t="s">
        <v>389</v>
      </c>
      <c r="E145" s="78">
        <f t="shared" si="36"/>
        <v>0</v>
      </c>
      <c r="F145" s="78">
        <f t="shared" si="36"/>
        <v>0</v>
      </c>
      <c r="G145" s="78">
        <f t="shared" si="36"/>
        <v>0</v>
      </c>
      <c r="H145" s="78">
        <f t="shared" si="36"/>
        <v>11316.56026369571</v>
      </c>
      <c r="I145" s="78">
        <f t="shared" si="36"/>
        <v>11292.740364099966</v>
      </c>
      <c r="J145" s="29">
        <f t="shared" si="36"/>
        <v>11286.16300539752</v>
      </c>
      <c r="K145" s="29">
        <f t="shared" si="36"/>
        <v>11261.52081679484</v>
      </c>
      <c r="L145" s="29">
        <f t="shared" si="36"/>
        <v>11218.619785111812</v>
      </c>
      <c r="M145" s="29">
        <f t="shared" si="36"/>
        <v>11169.367308006444</v>
      </c>
      <c r="N145" s="45"/>
    </row>
    <row r="146" spans="1:14">
      <c r="A146" s="74">
        <v>5</v>
      </c>
      <c r="C146" s="74" t="s">
        <v>390</v>
      </c>
      <c r="E146" s="78">
        <f t="shared" si="36"/>
        <v>0</v>
      </c>
      <c r="F146" s="78">
        <f t="shared" si="36"/>
        <v>0</v>
      </c>
      <c r="G146" s="78">
        <f t="shared" si="36"/>
        <v>0</v>
      </c>
      <c r="H146" s="78">
        <f t="shared" si="36"/>
        <v>0</v>
      </c>
      <c r="I146" s="78">
        <f t="shared" si="36"/>
        <v>11378.473102374501</v>
      </c>
      <c r="J146" s="29">
        <f t="shared" si="36"/>
        <v>11377.592512969119</v>
      </c>
      <c r="K146" s="29">
        <f t="shared" si="36"/>
        <v>11358.76422403741</v>
      </c>
      <c r="L146" s="29">
        <f t="shared" si="36"/>
        <v>11321.782200982405</v>
      </c>
      <c r="M146" s="29">
        <f t="shared" si="36"/>
        <v>11278.651602121519</v>
      </c>
      <c r="N146" s="45"/>
    </row>
    <row r="147" spans="1:14">
      <c r="A147" s="74">
        <v>6</v>
      </c>
      <c r="C147" s="74" t="s">
        <v>391</v>
      </c>
      <c r="E147" s="78">
        <f t="shared" si="36"/>
        <v>0</v>
      </c>
      <c r="F147" s="78">
        <f t="shared" si="36"/>
        <v>0</v>
      </c>
      <c r="G147" s="78">
        <f t="shared" si="36"/>
        <v>0</v>
      </c>
      <c r="H147" s="78">
        <f t="shared" si="36"/>
        <v>0</v>
      </c>
      <c r="I147" s="78">
        <f t="shared" si="36"/>
        <v>0</v>
      </c>
      <c r="J147" s="29">
        <f t="shared" si="36"/>
        <v>12750.448702763084</v>
      </c>
      <c r="K147" s="29">
        <f t="shared" si="36"/>
        <v>12735.788153674224</v>
      </c>
      <c r="L147" s="29">
        <f t="shared" si="36"/>
        <v>12701.054185982386</v>
      </c>
      <c r="M147" s="29">
        <f t="shared" si="36"/>
        <v>12659.701916539654</v>
      </c>
      <c r="N147" s="45"/>
    </row>
    <row r="148" spans="1:14">
      <c r="A148" s="74">
        <v>7</v>
      </c>
      <c r="C148" s="74" t="s">
        <v>392</v>
      </c>
      <c r="E148" s="78">
        <f t="shared" si="36"/>
        <v>0</v>
      </c>
      <c r="F148" s="78">
        <f t="shared" si="36"/>
        <v>0</v>
      </c>
      <c r="G148" s="78">
        <f t="shared" si="36"/>
        <v>0</v>
      </c>
      <c r="H148" s="78">
        <f t="shared" si="36"/>
        <v>0</v>
      </c>
      <c r="I148" s="78">
        <f t="shared" si="36"/>
        <v>0</v>
      </c>
      <c r="J148" s="29">
        <f t="shared" si="36"/>
        <v>0</v>
      </c>
      <c r="K148" s="29">
        <f t="shared" si="36"/>
        <v>13154.476248724959</v>
      </c>
      <c r="L148" s="29">
        <f t="shared" si="36"/>
        <v>13125.244079283348</v>
      </c>
      <c r="M148" s="29">
        <f t="shared" si="36"/>
        <v>13089.447959067122</v>
      </c>
      <c r="N148" s="45"/>
    </row>
    <row r="149" spans="1:14">
      <c r="A149" s="74">
        <v>8</v>
      </c>
      <c r="C149" s="74" t="s">
        <v>393</v>
      </c>
      <c r="E149" s="78">
        <f t="shared" si="36"/>
        <v>0</v>
      </c>
      <c r="F149" s="78">
        <f t="shared" si="36"/>
        <v>0</v>
      </c>
      <c r="G149" s="78">
        <f t="shared" si="36"/>
        <v>0</v>
      </c>
      <c r="H149" s="78">
        <f t="shared" si="36"/>
        <v>0</v>
      </c>
      <c r="I149" s="78">
        <f t="shared" si="36"/>
        <v>0</v>
      </c>
      <c r="J149" s="29">
        <f t="shared" si="36"/>
        <v>0</v>
      </c>
      <c r="K149" s="29">
        <f t="shared" si="36"/>
        <v>0</v>
      </c>
      <c r="L149" s="29">
        <f t="shared" si="36"/>
        <v>13550.417024109189</v>
      </c>
      <c r="M149" s="29">
        <f t="shared" si="36"/>
        <v>13520.304986277835</v>
      </c>
      <c r="N149" s="45"/>
    </row>
    <row r="150" spans="1:14">
      <c r="A150" s="74">
        <v>9</v>
      </c>
      <c r="C150" s="74" t="s">
        <v>394</v>
      </c>
      <c r="E150" s="78">
        <f t="shared" si="36"/>
        <v>0</v>
      </c>
      <c r="F150" s="78">
        <f t="shared" si="36"/>
        <v>0</v>
      </c>
      <c r="G150" s="78">
        <f t="shared" si="36"/>
        <v>0</v>
      </c>
      <c r="H150" s="78">
        <f t="shared" si="36"/>
        <v>0</v>
      </c>
      <c r="I150" s="78">
        <f t="shared" si="36"/>
        <v>0</v>
      </c>
      <c r="J150" s="29">
        <f t="shared" si="36"/>
        <v>0</v>
      </c>
      <c r="K150" s="29">
        <f t="shared" si="36"/>
        <v>0</v>
      </c>
      <c r="L150" s="29">
        <f t="shared" si="36"/>
        <v>0</v>
      </c>
      <c r="M150" s="29">
        <f t="shared" si="36"/>
        <v>13816.674305301129</v>
      </c>
      <c r="N150" s="45"/>
    </row>
    <row r="151" spans="1:14">
      <c r="C151" s="74" t="s">
        <v>104</v>
      </c>
      <c r="E151" s="78">
        <f>SUM(E106:E114)</f>
        <v>0</v>
      </c>
      <c r="F151" s="78">
        <f t="shared" ref="F151:M151" si="37">SUM(F106:F114)</f>
        <v>0</v>
      </c>
      <c r="G151" s="78">
        <f t="shared" si="37"/>
        <v>7776</v>
      </c>
      <c r="H151" s="78">
        <f t="shared" si="37"/>
        <v>19154.732605698282</v>
      </c>
      <c r="I151" s="78">
        <f t="shared" si="37"/>
        <v>30451.744802721107</v>
      </c>
      <c r="J151" s="78">
        <f t="shared" si="37"/>
        <v>41752.404365467228</v>
      </c>
      <c r="K151" s="78">
        <f t="shared" si="37"/>
        <v>54469.964296124723</v>
      </c>
      <c r="L151" s="78">
        <f t="shared" si="37"/>
        <v>67509.720840781782</v>
      </c>
      <c r="M151" s="78">
        <f t="shared" si="37"/>
        <v>80828.240560912192</v>
      </c>
      <c r="N151" s="45"/>
    </row>
    <row r="152" spans="1:14">
      <c r="C152" s="74" t="s">
        <v>105</v>
      </c>
      <c r="E152" s="78">
        <f>SUM(E124:E132)</f>
        <v>0</v>
      </c>
      <c r="F152" s="78">
        <f t="shared" ref="F152:M152" si="38">SUM(F124:F132)</f>
        <v>0</v>
      </c>
      <c r="G152" s="78">
        <f t="shared" si="38"/>
        <v>73.929127052722606</v>
      </c>
      <c r="H152" s="78">
        <f t="shared" si="38"/>
        <v>409.98999584114586</v>
      </c>
      <c r="I152" s="78">
        <f t="shared" si="38"/>
        <v>612.6084453187832</v>
      </c>
      <c r="J152" s="78">
        <f t="shared" si="38"/>
        <v>924.59995515788091</v>
      </c>
      <c r="K152" s="78">
        <f t="shared" si="38"/>
        <v>1147.8137307729571</v>
      </c>
      <c r="L152" s="78">
        <f t="shared" si="38"/>
        <v>1350.1944168156369</v>
      </c>
      <c r="M152" s="78">
        <f t="shared" si="38"/>
        <v>1616.564811218245</v>
      </c>
      <c r="N152" s="45"/>
    </row>
    <row r="153" spans="1:14">
      <c r="C153" s="74" t="s">
        <v>49</v>
      </c>
      <c r="E153" s="78">
        <f>SUM(E133:E141)</f>
        <v>0</v>
      </c>
      <c r="F153" s="78">
        <f t="shared" ref="F153:M153" si="39">SUM(F133:F141)</f>
        <v>0</v>
      </c>
      <c r="G153" s="78">
        <f t="shared" si="39"/>
        <v>172.8</v>
      </c>
      <c r="H153" s="78">
        <f t="shared" si="39"/>
        <v>429.53806251402887</v>
      </c>
      <c r="I153" s="78">
        <f t="shared" si="39"/>
        <v>690.42198494716615</v>
      </c>
      <c r="J153" s="78">
        <f t="shared" si="39"/>
        <v>957.48872726347076</v>
      </c>
      <c r="K153" s="78">
        <f t="shared" si="39"/>
        <v>1262.5334348408549</v>
      </c>
      <c r="L153" s="78">
        <f t="shared" si="39"/>
        <v>1582.0917207944221</v>
      </c>
      <c r="M153" s="78">
        <f t="shared" si="39"/>
        <v>1915.6144730537242</v>
      </c>
      <c r="N153" s="45"/>
    </row>
    <row r="154" spans="1:14">
      <c r="C154" s="74" t="s">
        <v>106</v>
      </c>
      <c r="E154" s="78"/>
      <c r="F154" s="78">
        <f t="shared" ref="F154:M154" si="40">SUM(F142:F150)</f>
        <v>7776</v>
      </c>
      <c r="G154" s="78">
        <f t="shared" si="40"/>
        <v>19154.732605698282</v>
      </c>
      <c r="H154" s="78">
        <f t="shared" si="40"/>
        <v>30451.744802721107</v>
      </c>
      <c r="I154" s="78">
        <f t="shared" si="40"/>
        <v>41752.404365467228</v>
      </c>
      <c r="J154" s="78">
        <f t="shared" si="40"/>
        <v>54469.964296124723</v>
      </c>
      <c r="K154" s="78">
        <f t="shared" si="40"/>
        <v>67509.720840781782</v>
      </c>
      <c r="L154" s="78">
        <f t="shared" si="40"/>
        <v>80828.240560912192</v>
      </c>
      <c r="M154" s="78">
        <f t="shared" si="40"/>
        <v>94345.865204377827</v>
      </c>
      <c r="N154" s="45"/>
    </row>
    <row r="155" spans="1:14">
      <c r="E155" s="78"/>
      <c r="F155" s="78"/>
      <c r="G155" s="78"/>
      <c r="H155" s="78"/>
      <c r="I155" s="78"/>
      <c r="J155" s="78"/>
      <c r="K155" s="78"/>
      <c r="L155" s="78"/>
      <c r="M155" s="78"/>
      <c r="N155" s="45"/>
    </row>
    <row r="156" spans="1:14" ht="15.75">
      <c r="C156" s="5" t="s">
        <v>198</v>
      </c>
      <c r="E156" s="10" t="str">
        <f>E$21</f>
        <v>2009/10</v>
      </c>
      <c r="F156" s="10" t="str">
        <f t="shared" ref="F156:M156" si="41">F$21</f>
        <v>2010/11</v>
      </c>
      <c r="G156" s="10" t="str">
        <f t="shared" si="41"/>
        <v>2011/12</v>
      </c>
      <c r="H156" s="10" t="str">
        <f t="shared" si="41"/>
        <v>2012/13</v>
      </c>
      <c r="I156" s="10" t="str">
        <f t="shared" si="41"/>
        <v>2013/14</v>
      </c>
      <c r="J156" s="10" t="str">
        <f t="shared" si="41"/>
        <v>2014/15</v>
      </c>
      <c r="K156" s="10" t="str">
        <f t="shared" si="41"/>
        <v>2015/16</v>
      </c>
      <c r="L156" s="10" t="str">
        <f t="shared" si="41"/>
        <v>2016/17</v>
      </c>
      <c r="M156" s="10" t="str">
        <f t="shared" si="41"/>
        <v>2017/18</v>
      </c>
      <c r="N156" s="45"/>
    </row>
    <row r="157" spans="1:14">
      <c r="C157" s="20" t="s">
        <v>41</v>
      </c>
      <c r="E157" s="20">
        <v>1</v>
      </c>
      <c r="F157" s="20">
        <v>2</v>
      </c>
      <c r="G157" s="20">
        <v>3</v>
      </c>
      <c r="H157" s="20">
        <v>4</v>
      </c>
      <c r="I157" s="20">
        <v>5</v>
      </c>
      <c r="J157" s="20">
        <v>6</v>
      </c>
      <c r="K157" s="20">
        <v>7</v>
      </c>
      <c r="L157" s="20">
        <v>8</v>
      </c>
      <c r="M157" s="20">
        <v>9</v>
      </c>
      <c r="N157" s="45"/>
    </row>
    <row r="158" spans="1:14">
      <c r="C158" s="74" t="s">
        <v>22</v>
      </c>
      <c r="D158" s="78"/>
      <c r="E158" s="181">
        <v>0</v>
      </c>
      <c r="F158" s="78">
        <f t="shared" ref="F158:M158" si="42">F$48</f>
        <v>7776</v>
      </c>
      <c r="G158" s="78">
        <f t="shared" si="42"/>
        <v>11477.60347864556</v>
      </c>
      <c r="H158" s="78">
        <f t="shared" si="42"/>
        <v>11316.56026369571</v>
      </c>
      <c r="I158" s="78">
        <f t="shared" si="42"/>
        <v>11378.473102374501</v>
      </c>
      <c r="J158" s="78">
        <f t="shared" si="42"/>
        <v>12750.448702763084</v>
      </c>
      <c r="K158" s="78">
        <f t="shared" si="42"/>
        <v>13154.476248724959</v>
      </c>
      <c r="L158" s="78">
        <f t="shared" si="42"/>
        <v>13550.417024109189</v>
      </c>
      <c r="M158" s="78">
        <f t="shared" si="42"/>
        <v>13816.674305301129</v>
      </c>
      <c r="N158" s="45"/>
    </row>
    <row r="159" spans="1:14">
      <c r="A159" s="74">
        <v>1</v>
      </c>
      <c r="C159" s="74" t="s">
        <v>395</v>
      </c>
      <c r="E159" s="181">
        <v>0</v>
      </c>
      <c r="F159" s="78">
        <f>E186</f>
        <v>0</v>
      </c>
      <c r="G159" s="78">
        <f t="shared" ref="G159:M167" si="43">F186</f>
        <v>0</v>
      </c>
      <c r="H159" s="78">
        <f t="shared" si="43"/>
        <v>0</v>
      </c>
      <c r="I159" s="78">
        <f t="shared" si="43"/>
        <v>0</v>
      </c>
      <c r="J159" s="78">
        <f t="shared" si="43"/>
        <v>0</v>
      </c>
      <c r="K159" s="78">
        <f t="shared" si="43"/>
        <v>0</v>
      </c>
      <c r="L159" s="78">
        <f t="shared" si="43"/>
        <v>0</v>
      </c>
      <c r="M159" s="78">
        <f t="shared" si="43"/>
        <v>0</v>
      </c>
      <c r="N159" s="45"/>
    </row>
    <row r="160" spans="1:14">
      <c r="A160" s="74">
        <v>2</v>
      </c>
      <c r="C160" s="74" t="s">
        <v>396</v>
      </c>
      <c r="E160" s="181">
        <v>0</v>
      </c>
      <c r="F160" s="78">
        <f t="shared" ref="F160:J163" si="44">E187</f>
        <v>0</v>
      </c>
      <c r="G160" s="78">
        <f t="shared" si="44"/>
        <v>7776</v>
      </c>
      <c r="H160" s="78">
        <f t="shared" si="44"/>
        <v>7603.2</v>
      </c>
      <c r="I160" s="78">
        <f t="shared" si="44"/>
        <v>7430.4</v>
      </c>
      <c r="J160" s="78">
        <f t="shared" si="44"/>
        <v>7257.5999999999995</v>
      </c>
      <c r="K160" s="78">
        <f t="shared" si="43"/>
        <v>7084.7999999999993</v>
      </c>
      <c r="L160" s="78">
        <f t="shared" si="43"/>
        <v>6911.9999999999991</v>
      </c>
      <c r="M160" s="78">
        <f t="shared" si="43"/>
        <v>6739.1999999999989</v>
      </c>
      <c r="N160" s="45"/>
    </row>
    <row r="161" spans="1:14">
      <c r="A161" s="74">
        <v>3</v>
      </c>
      <c r="C161" s="74" t="s">
        <v>397</v>
      </c>
      <c r="E161" s="181">
        <v>0</v>
      </c>
      <c r="F161" s="78">
        <f t="shared" si="44"/>
        <v>0</v>
      </c>
      <c r="G161" s="78">
        <f t="shared" si="44"/>
        <v>0</v>
      </c>
      <c r="H161" s="78">
        <f t="shared" si="44"/>
        <v>11477.60347864556</v>
      </c>
      <c r="I161" s="78">
        <f t="shared" si="44"/>
        <v>11222.545623564547</v>
      </c>
      <c r="J161" s="78">
        <f t="shared" si="44"/>
        <v>10967.487768483534</v>
      </c>
      <c r="K161" s="78">
        <f t="shared" si="43"/>
        <v>10712.42991340252</v>
      </c>
      <c r="L161" s="78">
        <f t="shared" si="43"/>
        <v>10457.372058321507</v>
      </c>
      <c r="M161" s="78">
        <f t="shared" si="43"/>
        <v>10202.314203240494</v>
      </c>
      <c r="N161" s="45"/>
    </row>
    <row r="162" spans="1:14">
      <c r="A162" s="74">
        <v>4</v>
      </c>
      <c r="C162" s="74" t="s">
        <v>398</v>
      </c>
      <c r="E162" s="181">
        <v>0</v>
      </c>
      <c r="F162" s="78">
        <f t="shared" si="44"/>
        <v>0</v>
      </c>
      <c r="G162" s="78">
        <f t="shared" si="44"/>
        <v>0</v>
      </c>
      <c r="H162" s="78">
        <f t="shared" si="44"/>
        <v>0</v>
      </c>
      <c r="I162" s="78">
        <f t="shared" si="44"/>
        <v>11316.56026369571</v>
      </c>
      <c r="J162" s="78">
        <f t="shared" si="44"/>
        <v>11065.081146724695</v>
      </c>
      <c r="K162" s="78">
        <f t="shared" si="43"/>
        <v>10813.60202975368</v>
      </c>
      <c r="L162" s="78">
        <f t="shared" si="43"/>
        <v>10562.122912782665</v>
      </c>
      <c r="M162" s="78">
        <f t="shared" si="43"/>
        <v>10310.643795811649</v>
      </c>
      <c r="N162" s="45"/>
    </row>
    <row r="163" spans="1:14">
      <c r="A163" s="74">
        <v>5</v>
      </c>
      <c r="C163" s="74" t="s">
        <v>399</v>
      </c>
      <c r="E163" s="181">
        <v>0</v>
      </c>
      <c r="F163" s="78">
        <f t="shared" si="44"/>
        <v>0</v>
      </c>
      <c r="G163" s="78">
        <f t="shared" si="44"/>
        <v>0</v>
      </c>
      <c r="H163" s="78">
        <f t="shared" si="44"/>
        <v>0</v>
      </c>
      <c r="I163" s="78">
        <f t="shared" si="44"/>
        <v>0</v>
      </c>
      <c r="J163" s="78">
        <f t="shared" si="44"/>
        <v>11378.473102374501</v>
      </c>
      <c r="K163" s="78">
        <f t="shared" si="43"/>
        <v>11125.618144543956</v>
      </c>
      <c r="L163" s="78">
        <f t="shared" si="43"/>
        <v>10872.763186713411</v>
      </c>
      <c r="M163" s="78">
        <f t="shared" si="43"/>
        <v>10619.908228882867</v>
      </c>
      <c r="N163" s="45"/>
    </row>
    <row r="164" spans="1:14">
      <c r="A164" s="74">
        <v>6</v>
      </c>
      <c r="C164" s="74" t="s">
        <v>400</v>
      </c>
      <c r="E164" s="181">
        <v>0</v>
      </c>
      <c r="F164" s="78">
        <f>E191</f>
        <v>0</v>
      </c>
      <c r="G164" s="78">
        <f>F191</f>
        <v>0</v>
      </c>
      <c r="H164" s="78">
        <f>G191</f>
        <v>0</v>
      </c>
      <c r="I164" s="78">
        <f>H191</f>
        <v>0</v>
      </c>
      <c r="J164" s="78">
        <f>I191</f>
        <v>0</v>
      </c>
      <c r="K164" s="78">
        <f t="shared" si="43"/>
        <v>12750.448702763084</v>
      </c>
      <c r="L164" s="78">
        <f t="shared" si="43"/>
        <v>12467.105398257238</v>
      </c>
      <c r="M164" s="78">
        <f t="shared" si="43"/>
        <v>12183.762093751391</v>
      </c>
      <c r="N164" s="45"/>
    </row>
    <row r="165" spans="1:14">
      <c r="A165" s="74">
        <v>7</v>
      </c>
      <c r="C165" s="74" t="s">
        <v>401</v>
      </c>
      <c r="E165" s="181">
        <v>0</v>
      </c>
      <c r="F165" s="78">
        <f t="shared" ref="F165:J167" si="45">E192</f>
        <v>0</v>
      </c>
      <c r="G165" s="78">
        <f t="shared" si="45"/>
        <v>0</v>
      </c>
      <c r="H165" s="78">
        <f t="shared" si="45"/>
        <v>0</v>
      </c>
      <c r="I165" s="78">
        <f t="shared" si="45"/>
        <v>0</v>
      </c>
      <c r="J165" s="78">
        <f t="shared" si="45"/>
        <v>0</v>
      </c>
      <c r="K165" s="78">
        <f t="shared" si="43"/>
        <v>0</v>
      </c>
      <c r="L165" s="78">
        <f t="shared" si="43"/>
        <v>13154.476248724959</v>
      </c>
      <c r="M165" s="78">
        <f t="shared" si="43"/>
        <v>12862.154554308849</v>
      </c>
      <c r="N165" s="45"/>
    </row>
    <row r="166" spans="1:14">
      <c r="A166" s="74">
        <v>8</v>
      </c>
      <c r="C166" s="74" t="s">
        <v>402</v>
      </c>
      <c r="E166" s="181">
        <v>0</v>
      </c>
      <c r="F166" s="78">
        <f t="shared" si="45"/>
        <v>0</v>
      </c>
      <c r="G166" s="78">
        <f t="shared" si="45"/>
        <v>0</v>
      </c>
      <c r="H166" s="78">
        <f t="shared" si="45"/>
        <v>0</v>
      </c>
      <c r="I166" s="78">
        <f t="shared" si="45"/>
        <v>0</v>
      </c>
      <c r="J166" s="78">
        <f t="shared" si="45"/>
        <v>0</v>
      </c>
      <c r="K166" s="78">
        <f t="shared" si="43"/>
        <v>0</v>
      </c>
      <c r="L166" s="78">
        <f t="shared" si="43"/>
        <v>0</v>
      </c>
      <c r="M166" s="78">
        <f t="shared" si="43"/>
        <v>13550.417024109189</v>
      </c>
      <c r="N166" s="45"/>
    </row>
    <row r="167" spans="1:14">
      <c r="A167" s="74">
        <v>9</v>
      </c>
      <c r="C167" s="74" t="s">
        <v>403</v>
      </c>
      <c r="E167" s="181">
        <v>0</v>
      </c>
      <c r="F167" s="78">
        <f t="shared" si="45"/>
        <v>0</v>
      </c>
      <c r="G167" s="78">
        <f t="shared" si="45"/>
        <v>0</v>
      </c>
      <c r="H167" s="78">
        <f t="shared" si="45"/>
        <v>0</v>
      </c>
      <c r="I167" s="78">
        <f t="shared" si="45"/>
        <v>0</v>
      </c>
      <c r="J167" s="78">
        <f t="shared" si="45"/>
        <v>0</v>
      </c>
      <c r="K167" s="78">
        <f t="shared" si="43"/>
        <v>0</v>
      </c>
      <c r="L167" s="78">
        <f t="shared" si="43"/>
        <v>0</v>
      </c>
      <c r="M167" s="78">
        <f t="shared" si="43"/>
        <v>0</v>
      </c>
      <c r="N167" s="45"/>
    </row>
    <row r="168" spans="1:14">
      <c r="A168" s="74">
        <v>1</v>
      </c>
      <c r="C168" s="74" t="s">
        <v>359</v>
      </c>
      <c r="E168" s="181">
        <f>Inputs!$C$7+$A168</f>
        <v>46</v>
      </c>
      <c r="F168" s="78">
        <f>E168-1</f>
        <v>45</v>
      </c>
      <c r="G168" s="78">
        <f t="shared" ref="G168:M176" si="46">F168-1</f>
        <v>44</v>
      </c>
      <c r="H168" s="78">
        <f t="shared" si="46"/>
        <v>43</v>
      </c>
      <c r="I168" s="78">
        <f t="shared" si="46"/>
        <v>42</v>
      </c>
      <c r="J168" s="78">
        <f t="shared" si="46"/>
        <v>41</v>
      </c>
      <c r="K168" s="78">
        <f t="shared" si="46"/>
        <v>40</v>
      </c>
      <c r="L168" s="78">
        <f t="shared" si="46"/>
        <v>39</v>
      </c>
      <c r="M168" s="78">
        <f t="shared" si="46"/>
        <v>38</v>
      </c>
      <c r="N168" s="45"/>
    </row>
    <row r="169" spans="1:14">
      <c r="A169" s="74">
        <v>2</v>
      </c>
      <c r="C169" s="74" t="s">
        <v>360</v>
      </c>
      <c r="E169" s="181">
        <f>Inputs!$C$7+$A169</f>
        <v>47</v>
      </c>
      <c r="F169" s="78">
        <f t="shared" ref="F169:J176" si="47">E169-1</f>
        <v>46</v>
      </c>
      <c r="G169" s="78">
        <f t="shared" si="47"/>
        <v>45</v>
      </c>
      <c r="H169" s="78">
        <f t="shared" si="47"/>
        <v>44</v>
      </c>
      <c r="I169" s="78">
        <f t="shared" si="47"/>
        <v>43</v>
      </c>
      <c r="J169" s="78">
        <f t="shared" si="47"/>
        <v>42</v>
      </c>
      <c r="K169" s="78">
        <f t="shared" si="46"/>
        <v>41</v>
      </c>
      <c r="L169" s="78">
        <f t="shared" si="46"/>
        <v>40</v>
      </c>
      <c r="M169" s="78">
        <f t="shared" si="46"/>
        <v>39</v>
      </c>
      <c r="N169" s="45"/>
    </row>
    <row r="170" spans="1:14">
      <c r="A170" s="74">
        <v>3</v>
      </c>
      <c r="C170" s="74" t="s">
        <v>361</v>
      </c>
      <c r="E170" s="181">
        <f>Inputs!$C$7+$A170</f>
        <v>48</v>
      </c>
      <c r="F170" s="78">
        <f t="shared" si="47"/>
        <v>47</v>
      </c>
      <c r="G170" s="78">
        <f t="shared" si="47"/>
        <v>46</v>
      </c>
      <c r="H170" s="78">
        <f t="shared" si="47"/>
        <v>45</v>
      </c>
      <c r="I170" s="78">
        <f t="shared" si="47"/>
        <v>44</v>
      </c>
      <c r="J170" s="78">
        <f t="shared" si="47"/>
        <v>43</v>
      </c>
      <c r="K170" s="78">
        <f t="shared" si="46"/>
        <v>42</v>
      </c>
      <c r="L170" s="78">
        <f t="shared" si="46"/>
        <v>41</v>
      </c>
      <c r="M170" s="78">
        <f t="shared" si="46"/>
        <v>40</v>
      </c>
      <c r="N170" s="45"/>
    </row>
    <row r="171" spans="1:14">
      <c r="A171" s="74">
        <v>4</v>
      </c>
      <c r="C171" s="74" t="s">
        <v>362</v>
      </c>
      <c r="E171" s="181">
        <f>Inputs!$C$7+$A171</f>
        <v>49</v>
      </c>
      <c r="F171" s="78">
        <f t="shared" si="47"/>
        <v>48</v>
      </c>
      <c r="G171" s="78">
        <f t="shared" si="47"/>
        <v>47</v>
      </c>
      <c r="H171" s="78">
        <f t="shared" si="47"/>
        <v>46</v>
      </c>
      <c r="I171" s="78">
        <f t="shared" si="47"/>
        <v>45</v>
      </c>
      <c r="J171" s="78">
        <f t="shared" si="47"/>
        <v>44</v>
      </c>
      <c r="K171" s="78">
        <f t="shared" si="46"/>
        <v>43</v>
      </c>
      <c r="L171" s="78">
        <f t="shared" si="46"/>
        <v>42</v>
      </c>
      <c r="M171" s="78">
        <f t="shared" si="46"/>
        <v>41</v>
      </c>
      <c r="N171" s="45"/>
    </row>
    <row r="172" spans="1:14">
      <c r="A172" s="74">
        <v>5</v>
      </c>
      <c r="C172" s="74" t="s">
        <v>363</v>
      </c>
      <c r="E172" s="181">
        <f>Inputs!$C$7+$A172</f>
        <v>50</v>
      </c>
      <c r="F172" s="78">
        <f t="shared" si="47"/>
        <v>49</v>
      </c>
      <c r="G172" s="78">
        <f t="shared" si="47"/>
        <v>48</v>
      </c>
      <c r="H172" s="78">
        <f t="shared" si="47"/>
        <v>47</v>
      </c>
      <c r="I172" s="78">
        <f t="shared" si="47"/>
        <v>46</v>
      </c>
      <c r="J172" s="78">
        <f t="shared" si="47"/>
        <v>45</v>
      </c>
      <c r="K172" s="78">
        <f t="shared" si="46"/>
        <v>44</v>
      </c>
      <c r="L172" s="78">
        <f t="shared" si="46"/>
        <v>43</v>
      </c>
      <c r="M172" s="78">
        <f t="shared" si="46"/>
        <v>42</v>
      </c>
      <c r="N172" s="45"/>
    </row>
    <row r="173" spans="1:14">
      <c r="A173" s="74">
        <v>6</v>
      </c>
      <c r="C173" s="74" t="s">
        <v>364</v>
      </c>
      <c r="E173" s="181">
        <f>Inputs!$C$7+$A173</f>
        <v>51</v>
      </c>
      <c r="F173" s="78">
        <f t="shared" si="47"/>
        <v>50</v>
      </c>
      <c r="G173" s="78">
        <f t="shared" si="47"/>
        <v>49</v>
      </c>
      <c r="H173" s="78">
        <f t="shared" si="47"/>
        <v>48</v>
      </c>
      <c r="I173" s="78">
        <f t="shared" si="47"/>
        <v>47</v>
      </c>
      <c r="J173" s="78">
        <f t="shared" si="47"/>
        <v>46</v>
      </c>
      <c r="K173" s="78">
        <f t="shared" si="46"/>
        <v>45</v>
      </c>
      <c r="L173" s="78">
        <f t="shared" si="46"/>
        <v>44</v>
      </c>
      <c r="M173" s="78">
        <f t="shared" si="46"/>
        <v>43</v>
      </c>
      <c r="N173" s="45"/>
    </row>
    <row r="174" spans="1:14">
      <c r="A174" s="74">
        <v>7</v>
      </c>
      <c r="C174" s="74" t="s">
        <v>365</v>
      </c>
      <c r="E174" s="181">
        <f>Inputs!$C$7+$A174</f>
        <v>52</v>
      </c>
      <c r="F174" s="78">
        <f t="shared" si="47"/>
        <v>51</v>
      </c>
      <c r="G174" s="78">
        <f t="shared" si="47"/>
        <v>50</v>
      </c>
      <c r="H174" s="78">
        <f t="shared" si="47"/>
        <v>49</v>
      </c>
      <c r="I174" s="78">
        <f t="shared" si="47"/>
        <v>48</v>
      </c>
      <c r="J174" s="78">
        <f t="shared" si="47"/>
        <v>47</v>
      </c>
      <c r="K174" s="78">
        <f t="shared" si="46"/>
        <v>46</v>
      </c>
      <c r="L174" s="78">
        <f t="shared" si="46"/>
        <v>45</v>
      </c>
      <c r="M174" s="78">
        <f t="shared" si="46"/>
        <v>44</v>
      </c>
      <c r="N174" s="45"/>
    </row>
    <row r="175" spans="1:14">
      <c r="A175" s="74">
        <v>8</v>
      </c>
      <c r="C175" s="74" t="s">
        <v>366</v>
      </c>
      <c r="E175" s="181">
        <f>Inputs!$C$7+$A175</f>
        <v>53</v>
      </c>
      <c r="F175" s="78">
        <f t="shared" si="47"/>
        <v>52</v>
      </c>
      <c r="G175" s="78">
        <f t="shared" si="47"/>
        <v>51</v>
      </c>
      <c r="H175" s="78">
        <f t="shared" si="47"/>
        <v>50</v>
      </c>
      <c r="I175" s="78">
        <f t="shared" si="47"/>
        <v>49</v>
      </c>
      <c r="J175" s="78">
        <f t="shared" si="47"/>
        <v>48</v>
      </c>
      <c r="K175" s="78">
        <f t="shared" si="46"/>
        <v>47</v>
      </c>
      <c r="L175" s="78">
        <f t="shared" si="46"/>
        <v>46</v>
      </c>
      <c r="M175" s="78">
        <f t="shared" si="46"/>
        <v>45</v>
      </c>
      <c r="N175" s="45"/>
    </row>
    <row r="176" spans="1:14">
      <c r="A176" s="74">
        <v>9</v>
      </c>
      <c r="C176" s="74" t="s">
        <v>367</v>
      </c>
      <c r="E176" s="181">
        <f>Inputs!$C$7+$A176</f>
        <v>54</v>
      </c>
      <c r="F176" s="78">
        <f t="shared" si="47"/>
        <v>53</v>
      </c>
      <c r="G176" s="78">
        <f t="shared" si="47"/>
        <v>52</v>
      </c>
      <c r="H176" s="78">
        <f t="shared" si="47"/>
        <v>51</v>
      </c>
      <c r="I176" s="78">
        <f t="shared" si="47"/>
        <v>50</v>
      </c>
      <c r="J176" s="78">
        <f t="shared" si="47"/>
        <v>49</v>
      </c>
      <c r="K176" s="78">
        <f t="shared" si="46"/>
        <v>48</v>
      </c>
      <c r="L176" s="78">
        <f t="shared" si="46"/>
        <v>47</v>
      </c>
      <c r="M176" s="78">
        <f t="shared" si="46"/>
        <v>46</v>
      </c>
      <c r="N176" s="45"/>
    </row>
    <row r="177" spans="1:14">
      <c r="A177" s="74">
        <v>1</v>
      </c>
      <c r="C177" s="74" t="s">
        <v>404</v>
      </c>
      <c r="E177" s="78">
        <f t="shared" ref="E177:M185" si="48">E159/E168</f>
        <v>0</v>
      </c>
      <c r="F177" s="78">
        <f t="shared" si="48"/>
        <v>0</v>
      </c>
      <c r="G177" s="78">
        <f t="shared" si="48"/>
        <v>0</v>
      </c>
      <c r="H177" s="78">
        <f t="shared" si="48"/>
        <v>0</v>
      </c>
      <c r="I177" s="78">
        <f t="shared" si="48"/>
        <v>0</v>
      </c>
      <c r="J177" s="78">
        <f t="shared" si="48"/>
        <v>0</v>
      </c>
      <c r="K177" s="78">
        <f t="shared" si="48"/>
        <v>0</v>
      </c>
      <c r="L177" s="78">
        <f t="shared" si="48"/>
        <v>0</v>
      </c>
      <c r="M177" s="78">
        <f t="shared" si="48"/>
        <v>0</v>
      </c>
      <c r="N177" s="45"/>
    </row>
    <row r="178" spans="1:14">
      <c r="A178" s="74">
        <v>2</v>
      </c>
      <c r="C178" s="74" t="s">
        <v>405</v>
      </c>
      <c r="E178" s="78">
        <f t="shared" si="48"/>
        <v>0</v>
      </c>
      <c r="F178" s="78">
        <f t="shared" si="48"/>
        <v>0</v>
      </c>
      <c r="G178" s="78">
        <f t="shared" si="48"/>
        <v>172.8</v>
      </c>
      <c r="H178" s="78">
        <f t="shared" si="48"/>
        <v>172.79999999999998</v>
      </c>
      <c r="I178" s="78">
        <f t="shared" si="48"/>
        <v>172.79999999999998</v>
      </c>
      <c r="J178" s="78">
        <f t="shared" si="48"/>
        <v>172.79999999999998</v>
      </c>
      <c r="K178" s="78">
        <f t="shared" si="48"/>
        <v>172.79999999999998</v>
      </c>
      <c r="L178" s="78">
        <f t="shared" si="48"/>
        <v>172.79999999999998</v>
      </c>
      <c r="M178" s="78">
        <f t="shared" si="48"/>
        <v>172.79999999999998</v>
      </c>
      <c r="N178" s="45"/>
    </row>
    <row r="179" spans="1:14">
      <c r="A179" s="74">
        <v>3</v>
      </c>
      <c r="C179" s="74" t="s">
        <v>406</v>
      </c>
      <c r="E179" s="78">
        <f t="shared" si="48"/>
        <v>0</v>
      </c>
      <c r="F179" s="78">
        <f t="shared" si="48"/>
        <v>0</v>
      </c>
      <c r="G179" s="78">
        <f t="shared" si="48"/>
        <v>0</v>
      </c>
      <c r="H179" s="78">
        <f t="shared" si="48"/>
        <v>255.05785508101246</v>
      </c>
      <c r="I179" s="78">
        <f t="shared" si="48"/>
        <v>255.05785508101243</v>
      </c>
      <c r="J179" s="78">
        <f t="shared" si="48"/>
        <v>255.05785508101241</v>
      </c>
      <c r="K179" s="78">
        <f t="shared" si="48"/>
        <v>255.05785508101241</v>
      </c>
      <c r="L179" s="78">
        <f t="shared" si="48"/>
        <v>255.05785508101238</v>
      </c>
      <c r="M179" s="78">
        <f t="shared" si="48"/>
        <v>255.05785508101235</v>
      </c>
      <c r="N179" s="45"/>
    </row>
    <row r="180" spans="1:14">
      <c r="A180" s="74">
        <v>4</v>
      </c>
      <c r="C180" s="74" t="s">
        <v>407</v>
      </c>
      <c r="E180" s="78">
        <f t="shared" si="48"/>
        <v>0</v>
      </c>
      <c r="F180" s="78">
        <f t="shared" si="48"/>
        <v>0</v>
      </c>
      <c r="G180" s="78">
        <f t="shared" si="48"/>
        <v>0</v>
      </c>
      <c r="H180" s="78">
        <f t="shared" si="48"/>
        <v>0</v>
      </c>
      <c r="I180" s="78">
        <f t="shared" si="48"/>
        <v>251.47911697101577</v>
      </c>
      <c r="J180" s="78">
        <f t="shared" si="48"/>
        <v>251.4791169710158</v>
      </c>
      <c r="K180" s="78">
        <f t="shared" si="48"/>
        <v>251.4791169710158</v>
      </c>
      <c r="L180" s="78">
        <f t="shared" si="48"/>
        <v>251.47911697101583</v>
      </c>
      <c r="M180" s="78">
        <f t="shared" si="48"/>
        <v>251.47911697101583</v>
      </c>
      <c r="N180" s="45"/>
    </row>
    <row r="181" spans="1:14">
      <c r="A181" s="74">
        <v>5</v>
      </c>
      <c r="C181" s="74" t="s">
        <v>408</v>
      </c>
      <c r="E181" s="78">
        <f t="shared" si="48"/>
        <v>0</v>
      </c>
      <c r="F181" s="78">
        <f t="shared" si="48"/>
        <v>0</v>
      </c>
      <c r="G181" s="78">
        <f t="shared" si="48"/>
        <v>0</v>
      </c>
      <c r="H181" s="78">
        <f t="shared" si="48"/>
        <v>0</v>
      </c>
      <c r="I181" s="78">
        <f t="shared" si="48"/>
        <v>0</v>
      </c>
      <c r="J181" s="78">
        <f t="shared" si="48"/>
        <v>252.85495783054446</v>
      </c>
      <c r="K181" s="78">
        <f t="shared" si="48"/>
        <v>252.85495783054446</v>
      </c>
      <c r="L181" s="78">
        <f t="shared" si="48"/>
        <v>252.85495783054446</v>
      </c>
      <c r="M181" s="78">
        <f t="shared" si="48"/>
        <v>252.85495783054444</v>
      </c>
      <c r="N181" s="45"/>
    </row>
    <row r="182" spans="1:14">
      <c r="A182" s="74">
        <v>6</v>
      </c>
      <c r="C182" s="74" t="s">
        <v>409</v>
      </c>
      <c r="E182" s="78">
        <f t="shared" si="48"/>
        <v>0</v>
      </c>
      <c r="F182" s="78">
        <f t="shared" si="48"/>
        <v>0</v>
      </c>
      <c r="G182" s="78">
        <f t="shared" si="48"/>
        <v>0</v>
      </c>
      <c r="H182" s="78">
        <f t="shared" si="48"/>
        <v>0</v>
      </c>
      <c r="I182" s="78">
        <f t="shared" si="48"/>
        <v>0</v>
      </c>
      <c r="J182" s="78">
        <f t="shared" si="48"/>
        <v>0</v>
      </c>
      <c r="K182" s="78">
        <f t="shared" si="48"/>
        <v>283.34330450584633</v>
      </c>
      <c r="L182" s="78">
        <f t="shared" si="48"/>
        <v>283.34330450584633</v>
      </c>
      <c r="M182" s="78">
        <f t="shared" si="48"/>
        <v>283.34330450584633</v>
      </c>
      <c r="N182" s="45"/>
    </row>
    <row r="183" spans="1:14">
      <c r="A183" s="74">
        <v>7</v>
      </c>
      <c r="C183" s="74" t="s">
        <v>410</v>
      </c>
      <c r="E183" s="78">
        <f t="shared" si="48"/>
        <v>0</v>
      </c>
      <c r="F183" s="78">
        <f t="shared" si="48"/>
        <v>0</v>
      </c>
      <c r="G183" s="78">
        <f t="shared" si="48"/>
        <v>0</v>
      </c>
      <c r="H183" s="78">
        <f t="shared" si="48"/>
        <v>0</v>
      </c>
      <c r="I183" s="78">
        <f t="shared" si="48"/>
        <v>0</v>
      </c>
      <c r="J183" s="78">
        <f t="shared" si="48"/>
        <v>0</v>
      </c>
      <c r="K183" s="78">
        <f t="shared" si="48"/>
        <v>0</v>
      </c>
      <c r="L183" s="78">
        <f t="shared" si="48"/>
        <v>292.32169441611018</v>
      </c>
      <c r="M183" s="78">
        <f t="shared" si="48"/>
        <v>292.32169441611018</v>
      </c>
      <c r="N183" s="45"/>
    </row>
    <row r="184" spans="1:14">
      <c r="A184" s="74">
        <v>8</v>
      </c>
      <c r="C184" s="74" t="s">
        <v>411</v>
      </c>
      <c r="E184" s="78">
        <f t="shared" si="48"/>
        <v>0</v>
      </c>
      <c r="F184" s="78">
        <f t="shared" si="48"/>
        <v>0</v>
      </c>
      <c r="G184" s="78">
        <f t="shared" si="48"/>
        <v>0</v>
      </c>
      <c r="H184" s="78">
        <f t="shared" si="48"/>
        <v>0</v>
      </c>
      <c r="I184" s="78">
        <f t="shared" si="48"/>
        <v>0</v>
      </c>
      <c r="J184" s="78">
        <f t="shared" si="48"/>
        <v>0</v>
      </c>
      <c r="K184" s="78">
        <f t="shared" si="48"/>
        <v>0</v>
      </c>
      <c r="L184" s="78">
        <f t="shared" si="48"/>
        <v>0</v>
      </c>
      <c r="M184" s="78">
        <f t="shared" si="48"/>
        <v>301.12037831353751</v>
      </c>
      <c r="N184" s="45"/>
    </row>
    <row r="185" spans="1:14">
      <c r="A185" s="74">
        <v>9</v>
      </c>
      <c r="C185" s="74" t="s">
        <v>412</v>
      </c>
      <c r="E185" s="78">
        <f t="shared" si="48"/>
        <v>0</v>
      </c>
      <c r="F185" s="78">
        <f t="shared" si="48"/>
        <v>0</v>
      </c>
      <c r="G185" s="78">
        <f t="shared" si="48"/>
        <v>0</v>
      </c>
      <c r="H185" s="78">
        <f t="shared" si="48"/>
        <v>0</v>
      </c>
      <c r="I185" s="78">
        <f t="shared" si="48"/>
        <v>0</v>
      </c>
      <c r="J185" s="78">
        <f t="shared" si="48"/>
        <v>0</v>
      </c>
      <c r="K185" s="78">
        <f t="shared" si="48"/>
        <v>0</v>
      </c>
      <c r="L185" s="78">
        <f t="shared" si="48"/>
        <v>0</v>
      </c>
      <c r="M185" s="78">
        <f t="shared" si="48"/>
        <v>0</v>
      </c>
      <c r="N185" s="45"/>
    </row>
    <row r="186" spans="1:14">
      <c r="A186" s="74">
        <v>1</v>
      </c>
      <c r="C186" s="74" t="s">
        <v>413</v>
      </c>
      <c r="E186" s="78">
        <f t="shared" ref="E186:M194" si="49">E159-E177+IF($A186=E$157,E$158,0)</f>
        <v>0</v>
      </c>
      <c r="F186" s="78">
        <f t="shared" si="49"/>
        <v>0</v>
      </c>
      <c r="G186" s="78">
        <f t="shared" si="49"/>
        <v>0</v>
      </c>
      <c r="H186" s="78">
        <f t="shared" si="49"/>
        <v>0</v>
      </c>
      <c r="I186" s="78">
        <f t="shared" si="49"/>
        <v>0</v>
      </c>
      <c r="J186" s="78">
        <f t="shared" si="49"/>
        <v>0</v>
      </c>
      <c r="K186" s="78">
        <f t="shared" si="49"/>
        <v>0</v>
      </c>
      <c r="L186" s="78">
        <f t="shared" si="49"/>
        <v>0</v>
      </c>
      <c r="M186" s="78">
        <f t="shared" si="49"/>
        <v>0</v>
      </c>
      <c r="N186" s="45"/>
    </row>
    <row r="187" spans="1:14">
      <c r="A187" s="74">
        <v>2</v>
      </c>
      <c r="C187" s="74" t="s">
        <v>414</v>
      </c>
      <c r="E187" s="78">
        <f t="shared" si="49"/>
        <v>0</v>
      </c>
      <c r="F187" s="78">
        <f t="shared" si="49"/>
        <v>7776</v>
      </c>
      <c r="G187" s="78">
        <f t="shared" si="49"/>
        <v>7603.2</v>
      </c>
      <c r="H187" s="78">
        <f t="shared" si="49"/>
        <v>7430.4</v>
      </c>
      <c r="I187" s="78">
        <f t="shared" si="49"/>
        <v>7257.5999999999995</v>
      </c>
      <c r="J187" s="78">
        <f t="shared" si="49"/>
        <v>7084.7999999999993</v>
      </c>
      <c r="K187" s="78">
        <f t="shared" si="49"/>
        <v>6911.9999999999991</v>
      </c>
      <c r="L187" s="78">
        <f t="shared" si="49"/>
        <v>6739.1999999999989</v>
      </c>
      <c r="M187" s="78">
        <f t="shared" si="49"/>
        <v>6566.3999999999987</v>
      </c>
      <c r="N187" s="45"/>
    </row>
    <row r="188" spans="1:14">
      <c r="A188" s="74">
        <v>3</v>
      </c>
      <c r="C188" s="74" t="s">
        <v>415</v>
      </c>
      <c r="E188" s="78">
        <f t="shared" si="49"/>
        <v>0</v>
      </c>
      <c r="F188" s="78">
        <f t="shared" si="49"/>
        <v>0</v>
      </c>
      <c r="G188" s="78">
        <f t="shared" si="49"/>
        <v>11477.60347864556</v>
      </c>
      <c r="H188" s="78">
        <f t="shared" si="49"/>
        <v>11222.545623564547</v>
      </c>
      <c r="I188" s="78">
        <f t="shared" si="49"/>
        <v>10967.487768483534</v>
      </c>
      <c r="J188" s="78">
        <f t="shared" si="49"/>
        <v>10712.42991340252</v>
      </c>
      <c r="K188" s="78">
        <f t="shared" si="49"/>
        <v>10457.372058321507</v>
      </c>
      <c r="L188" s="78">
        <f t="shared" si="49"/>
        <v>10202.314203240494</v>
      </c>
      <c r="M188" s="78">
        <f t="shared" si="49"/>
        <v>9947.2563481594807</v>
      </c>
      <c r="N188" s="45"/>
    </row>
    <row r="189" spans="1:14">
      <c r="A189" s="74">
        <v>4</v>
      </c>
      <c r="C189" s="74" t="s">
        <v>416</v>
      </c>
      <c r="E189" s="78">
        <f t="shared" si="49"/>
        <v>0</v>
      </c>
      <c r="F189" s="78">
        <f t="shared" si="49"/>
        <v>0</v>
      </c>
      <c r="G189" s="78">
        <f t="shared" si="49"/>
        <v>0</v>
      </c>
      <c r="H189" s="78">
        <f t="shared" si="49"/>
        <v>11316.56026369571</v>
      </c>
      <c r="I189" s="78">
        <f t="shared" si="49"/>
        <v>11065.081146724695</v>
      </c>
      <c r="J189" s="78">
        <f t="shared" si="49"/>
        <v>10813.60202975368</v>
      </c>
      <c r="K189" s="78">
        <f t="shared" si="49"/>
        <v>10562.122912782665</v>
      </c>
      <c r="L189" s="78">
        <f t="shared" si="49"/>
        <v>10310.643795811649</v>
      </c>
      <c r="M189" s="78">
        <f t="shared" si="49"/>
        <v>10059.164678840634</v>
      </c>
      <c r="N189" s="45"/>
    </row>
    <row r="190" spans="1:14">
      <c r="A190" s="74">
        <v>5</v>
      </c>
      <c r="C190" s="74" t="s">
        <v>417</v>
      </c>
      <c r="E190" s="78">
        <f t="shared" si="49"/>
        <v>0</v>
      </c>
      <c r="F190" s="78">
        <f t="shared" si="49"/>
        <v>0</v>
      </c>
      <c r="G190" s="78">
        <f t="shared" si="49"/>
        <v>0</v>
      </c>
      <c r="H190" s="78">
        <f t="shared" si="49"/>
        <v>0</v>
      </c>
      <c r="I190" s="78">
        <f t="shared" si="49"/>
        <v>11378.473102374501</v>
      </c>
      <c r="J190" s="78">
        <f t="shared" si="49"/>
        <v>11125.618144543956</v>
      </c>
      <c r="K190" s="78">
        <f t="shared" si="49"/>
        <v>10872.763186713411</v>
      </c>
      <c r="L190" s="78">
        <f t="shared" si="49"/>
        <v>10619.908228882867</v>
      </c>
      <c r="M190" s="78">
        <f t="shared" si="49"/>
        <v>10367.053271052322</v>
      </c>
      <c r="N190" s="45"/>
    </row>
    <row r="191" spans="1:14">
      <c r="A191" s="74">
        <v>6</v>
      </c>
      <c r="C191" s="74" t="s">
        <v>418</v>
      </c>
      <c r="E191" s="78">
        <f t="shared" si="49"/>
        <v>0</v>
      </c>
      <c r="F191" s="78">
        <f t="shared" si="49"/>
        <v>0</v>
      </c>
      <c r="G191" s="78">
        <f t="shared" si="49"/>
        <v>0</v>
      </c>
      <c r="H191" s="78">
        <f t="shared" si="49"/>
        <v>0</v>
      </c>
      <c r="I191" s="78">
        <f t="shared" si="49"/>
        <v>0</v>
      </c>
      <c r="J191" s="78">
        <f t="shared" si="49"/>
        <v>12750.448702763084</v>
      </c>
      <c r="K191" s="78">
        <f t="shared" si="49"/>
        <v>12467.105398257238</v>
      </c>
      <c r="L191" s="78">
        <f t="shared" si="49"/>
        <v>12183.762093751391</v>
      </c>
      <c r="M191" s="78">
        <f t="shared" si="49"/>
        <v>11900.418789245545</v>
      </c>
      <c r="N191" s="45"/>
    </row>
    <row r="192" spans="1:14">
      <c r="A192" s="74">
        <v>7</v>
      </c>
      <c r="C192" s="74" t="s">
        <v>419</v>
      </c>
      <c r="E192" s="78">
        <f t="shared" si="49"/>
        <v>0</v>
      </c>
      <c r="F192" s="78">
        <f t="shared" si="49"/>
        <v>0</v>
      </c>
      <c r="G192" s="78">
        <f t="shared" si="49"/>
        <v>0</v>
      </c>
      <c r="H192" s="78">
        <f t="shared" si="49"/>
        <v>0</v>
      </c>
      <c r="I192" s="78">
        <f t="shared" si="49"/>
        <v>0</v>
      </c>
      <c r="J192" s="78">
        <f t="shared" si="49"/>
        <v>0</v>
      </c>
      <c r="K192" s="78">
        <f t="shared" si="49"/>
        <v>13154.476248724959</v>
      </c>
      <c r="L192" s="78">
        <f t="shared" si="49"/>
        <v>12862.154554308849</v>
      </c>
      <c r="M192" s="78">
        <f t="shared" si="49"/>
        <v>12569.832859892738</v>
      </c>
      <c r="N192" s="45"/>
    </row>
    <row r="193" spans="1:14">
      <c r="A193" s="74">
        <v>8</v>
      </c>
      <c r="C193" s="74" t="s">
        <v>420</v>
      </c>
      <c r="E193" s="78">
        <f t="shared" si="49"/>
        <v>0</v>
      </c>
      <c r="F193" s="78">
        <f t="shared" si="49"/>
        <v>0</v>
      </c>
      <c r="G193" s="78">
        <f t="shared" si="49"/>
        <v>0</v>
      </c>
      <c r="H193" s="78">
        <f t="shared" si="49"/>
        <v>0</v>
      </c>
      <c r="I193" s="78">
        <f t="shared" si="49"/>
        <v>0</v>
      </c>
      <c r="J193" s="78">
        <f t="shared" si="49"/>
        <v>0</v>
      </c>
      <c r="K193" s="78">
        <f t="shared" si="49"/>
        <v>0</v>
      </c>
      <c r="L193" s="78">
        <f t="shared" si="49"/>
        <v>13550.417024109189</v>
      </c>
      <c r="M193" s="78">
        <f t="shared" si="49"/>
        <v>13249.296645795652</v>
      </c>
      <c r="N193" s="45"/>
    </row>
    <row r="194" spans="1:14">
      <c r="A194" s="74">
        <v>9</v>
      </c>
      <c r="C194" s="74" t="s">
        <v>421</v>
      </c>
      <c r="E194" s="78">
        <f t="shared" si="49"/>
        <v>0</v>
      </c>
      <c r="F194" s="78">
        <f t="shared" si="49"/>
        <v>0</v>
      </c>
      <c r="G194" s="78">
        <f t="shared" si="49"/>
        <v>0</v>
      </c>
      <c r="H194" s="78">
        <f t="shared" si="49"/>
        <v>0</v>
      </c>
      <c r="I194" s="78">
        <f t="shared" si="49"/>
        <v>0</v>
      </c>
      <c r="J194" s="78">
        <f t="shared" si="49"/>
        <v>0</v>
      </c>
      <c r="K194" s="78">
        <f t="shared" si="49"/>
        <v>0</v>
      </c>
      <c r="L194" s="78">
        <f t="shared" si="49"/>
        <v>0</v>
      </c>
      <c r="M194" s="78">
        <f t="shared" si="49"/>
        <v>13816.674305301129</v>
      </c>
      <c r="N194" s="45"/>
    </row>
    <row r="195" spans="1:14">
      <c r="C195" s="74" t="s">
        <v>47</v>
      </c>
      <c r="E195" s="78">
        <f>SUM(E159:E167)</f>
        <v>0</v>
      </c>
      <c r="F195" s="78">
        <f t="shared" ref="F195:M195" si="50">SUM(F159:F167)</f>
        <v>0</v>
      </c>
      <c r="G195" s="78">
        <f t="shared" si="50"/>
        <v>7776</v>
      </c>
      <c r="H195" s="78">
        <f>SUM(H159:H167)</f>
        <v>19080.803478645561</v>
      </c>
      <c r="I195" s="78">
        <f t="shared" si="50"/>
        <v>29969.50588726026</v>
      </c>
      <c r="J195" s="78">
        <f t="shared" si="50"/>
        <v>40668.642017582722</v>
      </c>
      <c r="K195" s="78">
        <f t="shared" si="50"/>
        <v>52486.898790463238</v>
      </c>
      <c r="L195" s="78">
        <f t="shared" si="50"/>
        <v>64425.839804799783</v>
      </c>
      <c r="M195" s="78">
        <f t="shared" si="50"/>
        <v>76468.399900104443</v>
      </c>
      <c r="N195" s="45"/>
    </row>
    <row r="196" spans="1:14">
      <c r="C196" s="74" t="s">
        <v>43</v>
      </c>
      <c r="E196" s="78">
        <f>SUM(E177:E185)</f>
        <v>0</v>
      </c>
      <c r="F196" s="78">
        <f t="shared" ref="F196:M196" si="51">SUM(F177:F185)</f>
        <v>0</v>
      </c>
      <c r="G196" s="78">
        <f t="shared" si="51"/>
        <v>172.8</v>
      </c>
      <c r="H196" s="78">
        <f t="shared" si="51"/>
        <v>427.85785508101242</v>
      </c>
      <c r="I196" s="78">
        <f t="shared" si="51"/>
        <v>679.33697205202816</v>
      </c>
      <c r="J196" s="78">
        <f t="shared" si="51"/>
        <v>932.19192988257259</v>
      </c>
      <c r="K196" s="78">
        <f t="shared" si="51"/>
        <v>1215.535234388419</v>
      </c>
      <c r="L196" s="78">
        <f t="shared" si="51"/>
        <v>1507.8569288045292</v>
      </c>
      <c r="M196" s="78">
        <f t="shared" si="51"/>
        <v>1808.9773071180666</v>
      </c>
      <c r="N196" s="45"/>
    </row>
    <row r="197" spans="1:14" s="40" customFormat="1">
      <c r="C197" s="40" t="s">
        <v>48</v>
      </c>
      <c r="E197" s="63">
        <f>SUM(E186:E194)</f>
        <v>0</v>
      </c>
      <c r="F197" s="63">
        <f t="shared" ref="F197:M197" si="52">SUM(F186:F194)</f>
        <v>7776</v>
      </c>
      <c r="G197" s="63">
        <f t="shared" si="52"/>
        <v>19080.803478645561</v>
      </c>
      <c r="H197" s="63">
        <f t="shared" si="52"/>
        <v>29969.50588726026</v>
      </c>
      <c r="I197" s="63">
        <f t="shared" si="52"/>
        <v>40668.642017582722</v>
      </c>
      <c r="J197" s="63">
        <f t="shared" si="52"/>
        <v>52486.898790463238</v>
      </c>
      <c r="K197" s="63">
        <f t="shared" si="52"/>
        <v>64425.839804799783</v>
      </c>
      <c r="L197" s="63">
        <f t="shared" si="52"/>
        <v>76468.399900104443</v>
      </c>
      <c r="M197" s="63">
        <f t="shared" si="52"/>
        <v>88476.096898287506</v>
      </c>
      <c r="N197" s="70"/>
    </row>
    <row r="198" spans="1:14" s="40" customFormat="1">
      <c r="E198" s="63"/>
      <c r="F198" s="63"/>
      <c r="G198" s="63"/>
      <c r="H198" s="63"/>
      <c r="I198" s="63"/>
      <c r="J198" s="63"/>
      <c r="K198" s="63"/>
      <c r="L198" s="63"/>
      <c r="M198" s="63"/>
      <c r="N198" s="70"/>
    </row>
    <row r="199" spans="1:14" ht="15.75">
      <c r="C199" s="5" t="s">
        <v>199</v>
      </c>
      <c r="N199" s="45"/>
    </row>
    <row r="200" spans="1:14">
      <c r="C200" s="74" t="s">
        <v>45</v>
      </c>
      <c r="E200" s="63">
        <f>E97</f>
        <v>312155</v>
      </c>
      <c r="F200" s="182">
        <f>F26-E99</f>
        <v>315714.42718778912</v>
      </c>
      <c r="G200" s="78">
        <f t="shared" ref="G200:M200" si="53">F203</f>
        <v>308014.07530516014</v>
      </c>
      <c r="H200" s="78">
        <f t="shared" si="53"/>
        <v>300313.72342253115</v>
      </c>
      <c r="I200" s="78">
        <f t="shared" si="53"/>
        <v>292613.37153990217</v>
      </c>
      <c r="J200" s="78">
        <f t="shared" si="53"/>
        <v>284913.01965727319</v>
      </c>
      <c r="K200" s="78">
        <f t="shared" si="53"/>
        <v>277212.66777464421</v>
      </c>
      <c r="L200" s="78">
        <f t="shared" si="53"/>
        <v>269512.31589201523</v>
      </c>
      <c r="M200" s="78">
        <f t="shared" si="53"/>
        <v>261811.96400938623</v>
      </c>
      <c r="N200" s="45"/>
    </row>
    <row r="201" spans="1:14">
      <c r="C201" s="74" t="s">
        <v>23</v>
      </c>
      <c r="E201" s="78">
        <f t="shared" ref="E201:M201" si="54">E93</f>
        <v>0</v>
      </c>
      <c r="F201" s="78">
        <f t="shared" si="54"/>
        <v>0</v>
      </c>
      <c r="G201" s="78">
        <f t="shared" si="54"/>
        <v>0</v>
      </c>
      <c r="H201" s="78">
        <f t="shared" si="54"/>
        <v>0</v>
      </c>
      <c r="I201" s="78">
        <f t="shared" si="54"/>
        <v>0</v>
      </c>
      <c r="J201" s="78">
        <f t="shared" si="54"/>
        <v>0</v>
      </c>
      <c r="K201" s="78">
        <f t="shared" si="54"/>
        <v>0</v>
      </c>
      <c r="L201" s="78">
        <f t="shared" si="54"/>
        <v>0</v>
      </c>
      <c r="M201" s="78">
        <f t="shared" si="54"/>
        <v>0</v>
      </c>
      <c r="N201" s="45"/>
    </row>
    <row r="202" spans="1:14">
      <c r="C202" s="80" t="s">
        <v>44</v>
      </c>
      <c r="E202" s="78">
        <f t="shared" ref="E202:M202" si="55">E200/E$91</f>
        <v>7432.2619047619046</v>
      </c>
      <c r="F202" s="78">
        <f t="shared" si="55"/>
        <v>7700.3518826290028</v>
      </c>
      <c r="G202" s="78">
        <f t="shared" si="55"/>
        <v>7700.3518826290037</v>
      </c>
      <c r="H202" s="78">
        <f t="shared" si="55"/>
        <v>7700.3518826290037</v>
      </c>
      <c r="I202" s="78">
        <f t="shared" si="55"/>
        <v>7700.3518826290046</v>
      </c>
      <c r="J202" s="78">
        <f t="shared" si="55"/>
        <v>7700.3518826290056</v>
      </c>
      <c r="K202" s="78">
        <f t="shared" si="55"/>
        <v>7700.3518826290056</v>
      </c>
      <c r="L202" s="78">
        <f t="shared" si="55"/>
        <v>7700.3518826290065</v>
      </c>
      <c r="M202" s="78">
        <f t="shared" si="55"/>
        <v>7700.3518826290065</v>
      </c>
      <c r="N202" s="45"/>
    </row>
    <row r="203" spans="1:14">
      <c r="C203" s="74" t="s">
        <v>42</v>
      </c>
      <c r="E203" s="78"/>
      <c r="F203" s="78">
        <f t="shared" ref="F203:M203" si="56">F200-F201-F202</f>
        <v>308014.07530516014</v>
      </c>
      <c r="G203" s="78">
        <f t="shared" si="56"/>
        <v>300313.72342253115</v>
      </c>
      <c r="H203" s="78">
        <f t="shared" si="56"/>
        <v>292613.37153990217</v>
      </c>
      <c r="I203" s="78">
        <f t="shared" si="56"/>
        <v>284913.01965727319</v>
      </c>
      <c r="J203" s="78">
        <f t="shared" si="56"/>
        <v>277212.66777464421</v>
      </c>
      <c r="K203" s="78">
        <f t="shared" si="56"/>
        <v>269512.31589201523</v>
      </c>
      <c r="L203" s="78">
        <f t="shared" si="56"/>
        <v>261811.96400938623</v>
      </c>
      <c r="M203" s="78">
        <f t="shared" si="56"/>
        <v>254111.61212675722</v>
      </c>
      <c r="N203" s="45"/>
    </row>
    <row r="204" spans="1:14">
      <c r="E204" s="78"/>
      <c r="F204" s="78"/>
      <c r="G204" s="78"/>
      <c r="H204" s="78"/>
      <c r="I204" s="78"/>
      <c r="J204" s="78"/>
      <c r="K204" s="78"/>
      <c r="L204" s="78"/>
      <c r="M204" s="78"/>
      <c r="N204" s="45"/>
    </row>
    <row r="205" spans="1:14" ht="15.75">
      <c r="C205" s="5" t="s">
        <v>46</v>
      </c>
      <c r="E205" s="109"/>
      <c r="F205" s="109"/>
      <c r="G205" s="109"/>
      <c r="H205" s="109"/>
      <c r="I205" s="109"/>
      <c r="J205" s="109"/>
      <c r="K205" s="109"/>
      <c r="L205" s="109"/>
      <c r="M205" s="109"/>
      <c r="N205" s="45"/>
    </row>
    <row r="206" spans="1:14">
      <c r="C206" s="74" t="s">
        <v>111</v>
      </c>
      <c r="E206" s="63">
        <f>E97</f>
        <v>312155</v>
      </c>
      <c r="F206" s="181">
        <f>F97</f>
        <v>320907</v>
      </c>
      <c r="G206" s="78">
        <f t="shared" ref="G206:M206" si="57">G97+G151</f>
        <v>331157.26413482847</v>
      </c>
      <c r="H206" s="78">
        <f t="shared" si="57"/>
        <v>337522.88839694654</v>
      </c>
      <c r="I206" s="78">
        <f t="shared" si="57"/>
        <v>347464.18705736054</v>
      </c>
      <c r="J206" s="78">
        <f t="shared" si="57"/>
        <v>356793.48711905023</v>
      </c>
      <c r="K206" s="78">
        <f t="shared" si="57"/>
        <v>367965.97832104034</v>
      </c>
      <c r="L206" s="78">
        <f t="shared" si="57"/>
        <v>378897.02446316741</v>
      </c>
      <c r="M206" s="78">
        <f t="shared" si="57"/>
        <v>389540.28240617632</v>
      </c>
      <c r="N206" s="45"/>
    </row>
    <row r="207" spans="1:14">
      <c r="C207" s="74" t="s">
        <v>110</v>
      </c>
      <c r="E207" s="78">
        <f t="shared" ref="E207:M209" si="58">E99+E152</f>
        <v>5192.5728122108931</v>
      </c>
      <c r="F207" s="78">
        <f t="shared" si="58"/>
        <v>10301.26413482848</v>
      </c>
      <c r="G207" s="78">
        <f t="shared" si="58"/>
        <v>3145.352386843243</v>
      </c>
      <c r="H207" s="78">
        <f t="shared" si="58"/>
        <v>7217.5625051617335</v>
      </c>
      <c r="I207" s="78">
        <f t="shared" si="58"/>
        <v>6983.6816351739826</v>
      </c>
      <c r="J207" s="78">
        <f t="shared" si="58"/>
        <v>7894.1550846953869</v>
      </c>
      <c r="K207" s="78">
        <f t="shared" si="58"/>
        <v>7747.3259400461375</v>
      </c>
      <c r="L207" s="78">
        <f t="shared" si="58"/>
        <v>7571.7127431909066</v>
      </c>
      <c r="M207" s="78">
        <f t="shared" si="58"/>
        <v>7784.6314072866289</v>
      </c>
      <c r="N207" s="45"/>
    </row>
    <row r="208" spans="1:14">
      <c r="C208" s="74" t="s">
        <v>109</v>
      </c>
      <c r="E208" s="78"/>
      <c r="F208" s="78">
        <f t="shared" si="58"/>
        <v>7827</v>
      </c>
      <c r="G208" s="78">
        <f t="shared" si="58"/>
        <v>8257.3316033707106</v>
      </c>
      <c r="H208" s="78">
        <f t="shared" si="58"/>
        <v>8592.8241084434721</v>
      </c>
      <c r="I208" s="78">
        <f t="shared" si="58"/>
        <v>9032.854675858729</v>
      </c>
      <c r="J208" s="78">
        <f t="shared" si="58"/>
        <v>9472.1125854684178</v>
      </c>
      <c r="K208" s="78">
        <f t="shared" si="58"/>
        <v>9970.7560466440664</v>
      </c>
      <c r="L208" s="78">
        <f t="shared" si="58"/>
        <v>10478.871824291155</v>
      </c>
      <c r="M208" s="78">
        <f t="shared" si="58"/>
        <v>10995.380409679139</v>
      </c>
      <c r="N208" s="45"/>
    </row>
    <row r="209" spans="3:15">
      <c r="C209" s="74" t="s">
        <v>112</v>
      </c>
      <c r="E209" s="78"/>
      <c r="F209" s="78">
        <f t="shared" si="58"/>
        <v>331157.26413482847</v>
      </c>
      <c r="G209" s="78">
        <f t="shared" si="58"/>
        <v>337522.88839694654</v>
      </c>
      <c r="H209" s="78">
        <f t="shared" si="58"/>
        <v>347464.18705736054</v>
      </c>
      <c r="I209" s="78">
        <f t="shared" si="58"/>
        <v>356793.48711905023</v>
      </c>
      <c r="J209" s="29">
        <f t="shared" si="58"/>
        <v>367965.97832104034</v>
      </c>
      <c r="K209" s="29">
        <f t="shared" si="58"/>
        <v>378897.02446316741</v>
      </c>
      <c r="L209" s="29">
        <f t="shared" si="58"/>
        <v>389540.28240617632</v>
      </c>
      <c r="M209" s="29">
        <f t="shared" si="58"/>
        <v>400146.20770908496</v>
      </c>
      <c r="N209" s="45"/>
    </row>
    <row r="210" spans="3:15">
      <c r="C210" s="74" t="s">
        <v>28</v>
      </c>
      <c r="E210" s="78">
        <f t="shared" ref="E210:M210" si="59">E196+E202</f>
        <v>7432.2619047619046</v>
      </c>
      <c r="F210" s="78">
        <f t="shared" si="59"/>
        <v>7700.3518826290028</v>
      </c>
      <c r="G210" s="78">
        <f t="shared" si="59"/>
        <v>7873.1518826290039</v>
      </c>
      <c r="H210" s="78">
        <f t="shared" si="59"/>
        <v>8128.2097377100163</v>
      </c>
      <c r="I210" s="78">
        <f t="shared" si="59"/>
        <v>8379.6888546810333</v>
      </c>
      <c r="J210" s="78">
        <f t="shared" si="59"/>
        <v>8632.5438125115779</v>
      </c>
      <c r="K210" s="78">
        <f t="shared" si="59"/>
        <v>8915.8871170174243</v>
      </c>
      <c r="L210" s="78">
        <f t="shared" si="59"/>
        <v>9208.2088114335347</v>
      </c>
      <c r="M210" s="78">
        <f t="shared" si="59"/>
        <v>9509.3291897470735</v>
      </c>
      <c r="N210" s="45"/>
    </row>
    <row r="211" spans="3:15">
      <c r="C211" s="74" t="s">
        <v>134</v>
      </c>
      <c r="E211" s="82"/>
      <c r="F211" s="82">
        <f>F206+F158+F207-F208-F93-F209</f>
        <v>0</v>
      </c>
      <c r="G211" s="82">
        <f>G206+G158+G207-G208-G93-G209</f>
        <v>0</v>
      </c>
      <c r="H211" s="82">
        <f>H206+H158+H207-H208-H93-H209</f>
        <v>0</v>
      </c>
      <c r="I211" s="82">
        <f>I206+I158+I207-I208-I93-I209</f>
        <v>0</v>
      </c>
      <c r="J211" s="82">
        <f>J206+J158+J207-J208-J93-J209</f>
        <v>0</v>
      </c>
      <c r="K211" s="82">
        <f t="shared" ref="K211:M211" si="60">K206+K158+K207-K208-K93-K209</f>
        <v>0</v>
      </c>
      <c r="L211" s="82">
        <f t="shared" si="60"/>
        <v>0</v>
      </c>
      <c r="M211" s="82">
        <f t="shared" si="60"/>
        <v>0</v>
      </c>
      <c r="N211" s="45"/>
    </row>
    <row r="212" spans="3:15">
      <c r="F212" s="78"/>
      <c r="G212" s="78"/>
      <c r="N212" s="45"/>
    </row>
    <row r="213" spans="3:15" ht="15.75">
      <c r="C213" s="5" t="s">
        <v>56</v>
      </c>
      <c r="N213" s="45"/>
    </row>
    <row r="214" spans="3:15" ht="15.75">
      <c r="C214" s="16" t="s">
        <v>115</v>
      </c>
      <c r="E214" s="63"/>
      <c r="F214" s="116">
        <f>F206/$F$206</f>
        <v>1</v>
      </c>
      <c r="G214" s="116">
        <f t="shared" ref="G214:M214" si="61">G206/$F$206</f>
        <v>1.0319415411157391</v>
      </c>
      <c r="H214" s="116">
        <f t="shared" si="61"/>
        <v>1.0517778932742088</v>
      </c>
      <c r="I214" s="116">
        <f t="shared" si="61"/>
        <v>1.0827566461852205</v>
      </c>
      <c r="J214" s="116">
        <f t="shared" si="61"/>
        <v>1.1118283088840388</v>
      </c>
      <c r="K214" s="116">
        <f t="shared" si="61"/>
        <v>1.1466436641177673</v>
      </c>
      <c r="L214" s="116">
        <f t="shared" si="61"/>
        <v>1.180706636075771</v>
      </c>
      <c r="M214" s="116">
        <f t="shared" si="61"/>
        <v>1.2138728117684447</v>
      </c>
      <c r="N214" s="45"/>
    </row>
    <row r="215" spans="3:15">
      <c r="C215" s="74" t="s">
        <v>56</v>
      </c>
      <c r="F215" s="181">
        <f>IF(F40&gt;0,F40,0)</f>
        <v>0</v>
      </c>
      <c r="G215" s="78">
        <f t="shared" ref="G215:M215" si="62">$F215*G214</f>
        <v>0</v>
      </c>
      <c r="H215" s="78">
        <f t="shared" si="62"/>
        <v>0</v>
      </c>
      <c r="I215" s="78">
        <f t="shared" si="62"/>
        <v>0</v>
      </c>
      <c r="J215" s="78">
        <f t="shared" si="62"/>
        <v>0</v>
      </c>
      <c r="K215" s="78">
        <f t="shared" si="62"/>
        <v>0</v>
      </c>
      <c r="L215" s="78">
        <f t="shared" si="62"/>
        <v>0</v>
      </c>
      <c r="M215" s="78">
        <f t="shared" si="62"/>
        <v>0</v>
      </c>
      <c r="N215" s="45"/>
    </row>
    <row r="216" spans="3:15">
      <c r="N216" s="45"/>
    </row>
    <row r="217" spans="3:15" ht="15.75">
      <c r="C217" s="5" t="s">
        <v>29</v>
      </c>
      <c r="N217" s="45"/>
    </row>
    <row r="218" spans="3:15">
      <c r="C218" s="74" t="s">
        <v>166</v>
      </c>
      <c r="D218" s="35">
        <f>F30/F31</f>
        <v>9.9179981818319288E-2</v>
      </c>
      <c r="N218" s="45"/>
    </row>
    <row r="219" spans="3:15">
      <c r="C219" s="74" t="s">
        <v>122</v>
      </c>
      <c r="D219" s="78"/>
      <c r="E219" s="88">
        <f>E35</f>
        <v>246115</v>
      </c>
      <c r="F219" s="179">
        <f>F31</f>
        <v>227938.067667247</v>
      </c>
      <c r="G219" s="78">
        <f t="shared" ref="G219:M219" si="63">F223</f>
        <v>213107.17426030661</v>
      </c>
      <c r="H219" s="78">
        <f t="shared" si="63"/>
        <v>203448.81207046154</v>
      </c>
      <c r="I219" s="78">
        <f t="shared" si="63"/>
        <v>194587.32285205022</v>
      </c>
      <c r="J219" s="78">
        <f t="shared" si="63"/>
        <v>186666.62881188295</v>
      </c>
      <c r="K219" s="78">
        <f t="shared" si="63"/>
        <v>180903.48466299655</v>
      </c>
      <c r="L219" s="78">
        <f t="shared" si="63"/>
        <v>176115.95659197491</v>
      </c>
      <c r="M219" s="78">
        <f t="shared" si="63"/>
        <v>172199.19624337612</v>
      </c>
      <c r="N219" s="45"/>
    </row>
    <row r="220" spans="3:15">
      <c r="C220" s="74" t="s">
        <v>17</v>
      </c>
      <c r="E220" s="181">
        <f>E36</f>
        <v>24426</v>
      </c>
      <c r="F220" s="78">
        <f t="shared" ref="F220:M220" si="64">F219*$D218</f>
        <v>22606.893406940388</v>
      </c>
      <c r="G220" s="78">
        <f t="shared" si="64"/>
        <v>21135.965668490611</v>
      </c>
      <c r="H220" s="78">
        <f t="shared" si="64"/>
        <v>20178.049482107035</v>
      </c>
      <c r="I220" s="78">
        <f t="shared" si="64"/>
        <v>19299.167142541766</v>
      </c>
      <c r="J220" s="78">
        <f t="shared" si="64"/>
        <v>18513.592851649508</v>
      </c>
      <c r="K220" s="78">
        <f t="shared" si="64"/>
        <v>17942.0043197466</v>
      </c>
      <c r="L220" s="78">
        <f t="shared" si="64"/>
        <v>17467.177372707982</v>
      </c>
      <c r="M220" s="78">
        <f t="shared" si="64"/>
        <v>17078.71315254724</v>
      </c>
      <c r="N220" s="45"/>
    </row>
    <row r="221" spans="3:15">
      <c r="C221" s="74" t="s">
        <v>65</v>
      </c>
      <c r="E221" s="97"/>
      <c r="F221" s="78">
        <f t="shared" ref="F221:M221" si="65">F48</f>
        <v>7776</v>
      </c>
      <c r="G221" s="78">
        <f t="shared" si="65"/>
        <v>11477.60347864556</v>
      </c>
      <c r="H221" s="78">
        <f t="shared" si="65"/>
        <v>11316.56026369571</v>
      </c>
      <c r="I221" s="78">
        <f t="shared" si="65"/>
        <v>11378.473102374501</v>
      </c>
      <c r="J221" s="78">
        <f t="shared" si="65"/>
        <v>12750.448702763084</v>
      </c>
      <c r="K221" s="78">
        <f t="shared" si="65"/>
        <v>13154.476248724959</v>
      </c>
      <c r="L221" s="78">
        <f t="shared" si="65"/>
        <v>13550.417024109189</v>
      </c>
      <c r="M221" s="78">
        <f t="shared" si="65"/>
        <v>13816.674305301129</v>
      </c>
      <c r="N221" s="45"/>
      <c r="O221" s="15"/>
    </row>
    <row r="222" spans="3:15">
      <c r="C222" s="74" t="s">
        <v>23</v>
      </c>
      <c r="E222" s="97"/>
      <c r="F222" s="78">
        <f t="shared" ref="F222:M222" si="66">F93</f>
        <v>0</v>
      </c>
      <c r="G222" s="78">
        <f t="shared" si="66"/>
        <v>0</v>
      </c>
      <c r="H222" s="78">
        <f t="shared" si="66"/>
        <v>0</v>
      </c>
      <c r="I222" s="78">
        <f t="shared" si="66"/>
        <v>0</v>
      </c>
      <c r="J222" s="78">
        <f t="shared" si="66"/>
        <v>0</v>
      </c>
      <c r="K222" s="78">
        <f t="shared" si="66"/>
        <v>0</v>
      </c>
      <c r="L222" s="78">
        <f t="shared" si="66"/>
        <v>0</v>
      </c>
      <c r="M222" s="78">
        <f t="shared" si="66"/>
        <v>0</v>
      </c>
      <c r="N222" s="45"/>
      <c r="O222" s="15"/>
    </row>
    <row r="223" spans="3:15">
      <c r="C223" s="74" t="s">
        <v>87</v>
      </c>
      <c r="E223" s="97"/>
      <c r="F223" s="78">
        <f t="shared" ref="F223:M223" si="67">F219-F220+F221-F222</f>
        <v>213107.17426030661</v>
      </c>
      <c r="G223" s="78">
        <f t="shared" si="67"/>
        <v>203448.81207046154</v>
      </c>
      <c r="H223" s="78">
        <f t="shared" si="67"/>
        <v>194587.32285205022</v>
      </c>
      <c r="I223" s="78">
        <f t="shared" si="67"/>
        <v>186666.62881188295</v>
      </c>
      <c r="J223" s="78">
        <f t="shared" si="67"/>
        <v>180903.48466299655</v>
      </c>
      <c r="K223" s="78">
        <f t="shared" si="67"/>
        <v>176115.95659197491</v>
      </c>
      <c r="L223" s="78">
        <f t="shared" si="67"/>
        <v>172199.19624337612</v>
      </c>
      <c r="M223" s="78">
        <f t="shared" si="67"/>
        <v>168937.15739613</v>
      </c>
      <c r="N223" s="45"/>
      <c r="O223" s="15"/>
    </row>
    <row r="224" spans="3:15">
      <c r="E224" s="97"/>
      <c r="F224" s="78"/>
      <c r="G224" s="78"/>
      <c r="H224" s="78"/>
      <c r="I224" s="78"/>
      <c r="J224" s="78"/>
      <c r="K224" s="78"/>
      <c r="L224" s="78"/>
      <c r="M224" s="78"/>
      <c r="N224" s="45"/>
      <c r="O224" s="15"/>
    </row>
    <row r="225" spans="1:15" ht="21">
      <c r="C225" s="3" t="s">
        <v>226</v>
      </c>
      <c r="D225" s="3"/>
      <c r="E225" s="3"/>
      <c r="F225" s="3"/>
      <c r="G225" s="3"/>
      <c r="N225" s="45"/>
      <c r="O225" s="15"/>
    </row>
    <row r="226" spans="1:15" ht="15.75">
      <c r="C226" s="5" t="s">
        <v>88</v>
      </c>
      <c r="N226" s="45"/>
      <c r="O226" s="15"/>
    </row>
    <row r="227" spans="1:15">
      <c r="A227" s="80"/>
      <c r="B227" s="80"/>
      <c r="C227" s="74" t="s">
        <v>238</v>
      </c>
      <c r="E227" s="78">
        <f t="shared" ref="E227:M227" si="68">E210-E220</f>
        <v>-16993.738095238095</v>
      </c>
      <c r="F227" s="78">
        <f t="shared" si="68"/>
        <v>-14906.541524311386</v>
      </c>
      <c r="G227" s="78">
        <f t="shared" si="68"/>
        <v>-13262.813785861606</v>
      </c>
      <c r="H227" s="78">
        <f t="shared" si="68"/>
        <v>-12049.839744397019</v>
      </c>
      <c r="I227" s="78">
        <f t="shared" si="68"/>
        <v>-10919.478287860733</v>
      </c>
      <c r="J227" s="78">
        <f t="shared" si="68"/>
        <v>-9881.0490391379299</v>
      </c>
      <c r="K227" s="78">
        <f t="shared" si="68"/>
        <v>-9026.1172027291759</v>
      </c>
      <c r="L227" s="78">
        <f t="shared" si="68"/>
        <v>-8258.968561274447</v>
      </c>
      <c r="M227" s="78">
        <f t="shared" si="68"/>
        <v>-7569.383962800166</v>
      </c>
      <c r="N227" s="45"/>
      <c r="O227" s="15"/>
    </row>
    <row r="228" spans="1:15">
      <c r="A228" s="80"/>
      <c r="B228" s="80"/>
      <c r="C228" s="74" t="s">
        <v>239</v>
      </c>
      <c r="E228" s="97"/>
      <c r="F228" s="97"/>
      <c r="G228" s="78">
        <f t="shared" ref="G228:M228" si="69">G208-G220</f>
        <v>-12878.634065119901</v>
      </c>
      <c r="H228" s="78">
        <f t="shared" si="69"/>
        <v>-11585.225373663563</v>
      </c>
      <c r="I228" s="78">
        <f t="shared" si="69"/>
        <v>-10266.312466683037</v>
      </c>
      <c r="J228" s="78">
        <f t="shared" si="69"/>
        <v>-9041.48026618109</v>
      </c>
      <c r="K228" s="78">
        <f t="shared" si="69"/>
        <v>-7971.2482731025339</v>
      </c>
      <c r="L228" s="78">
        <f t="shared" si="69"/>
        <v>-6988.3055484168272</v>
      </c>
      <c r="M228" s="78">
        <f t="shared" si="69"/>
        <v>-6083.3327428681005</v>
      </c>
      <c r="N228" s="45"/>
      <c r="O228" s="15"/>
    </row>
    <row r="229" spans="1:15">
      <c r="N229" s="45"/>
      <c r="O229" s="15"/>
    </row>
    <row r="230" spans="1:15" ht="15.75">
      <c r="A230" s="110"/>
      <c r="C230" s="5" t="s">
        <v>215</v>
      </c>
      <c r="N230" s="45"/>
      <c r="O230" s="15"/>
    </row>
    <row r="231" spans="1:15">
      <c r="A231" s="110"/>
      <c r="C231" s="74" t="s">
        <v>107</v>
      </c>
      <c r="E231" s="186">
        <v>0</v>
      </c>
      <c r="F231" s="22">
        <f>E234</f>
        <v>-5569.8357142857139</v>
      </c>
      <c r="G231" s="22">
        <f t="shared" ref="G231:M231" si="70">F234</f>
        <v>-10513.512457293415</v>
      </c>
      <c r="H231" s="22">
        <f t="shared" si="70"/>
        <v>-14667.366984001332</v>
      </c>
      <c r="I231" s="22">
        <f t="shared" si="70"/>
        <v>-18481.588779099166</v>
      </c>
      <c r="J231" s="22">
        <f t="shared" si="70"/>
        <v>-21979.309366366837</v>
      </c>
      <c r="K231" s="22">
        <f t="shared" si="70"/>
        <v>-25186.269763992124</v>
      </c>
      <c r="L231" s="22">
        <f t="shared" si="70"/>
        <v>-28153.849247422961</v>
      </c>
      <c r="M231" s="22">
        <f t="shared" si="70"/>
        <v>-30906.627111246475</v>
      </c>
      <c r="N231" s="45"/>
      <c r="O231" s="15"/>
    </row>
    <row r="232" spans="1:15">
      <c r="A232" s="110"/>
      <c r="C232" s="74" t="s">
        <v>86</v>
      </c>
      <c r="E232" s="78">
        <f t="shared" ref="E232:M232" si="71">E227</f>
        <v>-16993.738095238095</v>
      </c>
      <c r="F232" s="78">
        <f t="shared" si="71"/>
        <v>-14906.541524311386</v>
      </c>
      <c r="G232" s="78">
        <f t="shared" si="71"/>
        <v>-13262.813785861606</v>
      </c>
      <c r="H232" s="78">
        <f t="shared" si="71"/>
        <v>-12049.839744397019</v>
      </c>
      <c r="I232" s="78">
        <f t="shared" si="71"/>
        <v>-10919.478287860733</v>
      </c>
      <c r="J232" s="78">
        <f t="shared" si="71"/>
        <v>-9881.0490391379299</v>
      </c>
      <c r="K232" s="78">
        <f t="shared" si="71"/>
        <v>-9026.1172027291759</v>
      </c>
      <c r="L232" s="78">
        <f t="shared" si="71"/>
        <v>-8258.968561274447</v>
      </c>
      <c r="M232" s="78">
        <f t="shared" si="71"/>
        <v>-7569.383962800166</v>
      </c>
      <c r="N232" s="45"/>
      <c r="O232" s="15"/>
    </row>
    <row r="233" spans="1:15">
      <c r="A233" s="110"/>
      <c r="C233" s="74" t="s">
        <v>30</v>
      </c>
      <c r="E233" s="178">
        <f>(E33-E35)/E37</f>
        <v>1572.3809523809523</v>
      </c>
      <c r="F233" s="78">
        <f>E233</f>
        <v>1572.3809523809523</v>
      </c>
      <c r="G233" s="78">
        <f t="shared" ref="G233:M233" si="72">F233</f>
        <v>1572.3809523809523</v>
      </c>
      <c r="H233" s="78">
        <f t="shared" si="72"/>
        <v>1572.3809523809523</v>
      </c>
      <c r="I233" s="78">
        <f t="shared" si="72"/>
        <v>1572.3809523809523</v>
      </c>
      <c r="J233" s="78">
        <f t="shared" si="72"/>
        <v>1572.3809523809523</v>
      </c>
      <c r="K233" s="78">
        <f t="shared" si="72"/>
        <v>1572.3809523809523</v>
      </c>
      <c r="L233" s="78">
        <f t="shared" si="72"/>
        <v>1572.3809523809523</v>
      </c>
      <c r="M233" s="78">
        <f t="shared" si="72"/>
        <v>1572.3809523809523</v>
      </c>
      <c r="N233" s="45"/>
      <c r="O233" s="15"/>
    </row>
    <row r="234" spans="1:15">
      <c r="A234" s="110"/>
      <c r="C234" s="74" t="s">
        <v>108</v>
      </c>
      <c r="E234" s="22">
        <f t="shared" ref="E234:M234" si="73">E231+(E232-E233)*E90</f>
        <v>-5569.8357142857139</v>
      </c>
      <c r="F234" s="22">
        <f t="shared" si="73"/>
        <v>-10513.512457293415</v>
      </c>
      <c r="G234" s="22">
        <f t="shared" si="73"/>
        <v>-14667.366984001332</v>
      </c>
      <c r="H234" s="22">
        <f t="shared" si="73"/>
        <v>-18481.588779099166</v>
      </c>
      <c r="I234" s="22">
        <f t="shared" si="73"/>
        <v>-21979.309366366837</v>
      </c>
      <c r="J234" s="22">
        <f t="shared" si="73"/>
        <v>-25186.269763992124</v>
      </c>
      <c r="K234" s="22">
        <f t="shared" si="73"/>
        <v>-28153.849247422961</v>
      </c>
      <c r="L234" s="22">
        <f t="shared" si="73"/>
        <v>-30906.627111246475</v>
      </c>
      <c r="M234" s="22">
        <f t="shared" si="73"/>
        <v>-33466.321287497187</v>
      </c>
      <c r="N234" s="45"/>
      <c r="O234" s="15"/>
    </row>
    <row r="235" spans="1:15">
      <c r="E235" s="22"/>
      <c r="F235" s="22"/>
      <c r="G235" s="22"/>
      <c r="H235" s="22"/>
      <c r="I235" s="22"/>
      <c r="J235" s="22"/>
      <c r="K235" s="22"/>
      <c r="L235" s="22"/>
      <c r="M235" s="22"/>
      <c r="N235" s="45"/>
      <c r="O235" s="15"/>
    </row>
    <row r="236" spans="1:15" ht="21">
      <c r="C236" s="3" t="s">
        <v>225</v>
      </c>
      <c r="D236" s="3"/>
      <c r="E236" s="3"/>
      <c r="F236" s="3"/>
      <c r="G236" s="3"/>
      <c r="H236" s="22"/>
      <c r="I236" s="22"/>
      <c r="J236" s="22"/>
      <c r="K236" s="22"/>
      <c r="L236" s="22"/>
      <c r="M236" s="22"/>
      <c r="N236" s="45"/>
      <c r="O236" s="15"/>
    </row>
    <row r="237" spans="1:15" ht="15.75">
      <c r="C237" s="5" t="s">
        <v>31</v>
      </c>
      <c r="E237" s="97"/>
      <c r="F237" s="97"/>
      <c r="G237" s="97"/>
      <c r="N237" s="45"/>
      <c r="O237" s="15"/>
    </row>
    <row r="238" spans="1:15">
      <c r="C238" s="80" t="s">
        <v>32</v>
      </c>
      <c r="D238" s="80"/>
      <c r="E238" s="207"/>
      <c r="F238" s="97"/>
      <c r="G238" s="97"/>
      <c r="H238" s="22">
        <f t="shared" ref="H238:M238" si="74">(H260*Leverage*Debt+H215)/SQRT(1+Debt)</f>
        <v>7586.2784875342095</v>
      </c>
      <c r="I238" s="22">
        <f t="shared" si="74"/>
        <v>7586.2784875342095</v>
      </c>
      <c r="J238" s="22">
        <f t="shared" si="74"/>
        <v>7720.753642593123</v>
      </c>
      <c r="K238" s="22">
        <f t="shared" si="74"/>
        <v>7904.4373246456071</v>
      </c>
      <c r="L238" s="22">
        <f t="shared" si="74"/>
        <v>8088.0734078768673</v>
      </c>
      <c r="M238" s="22">
        <f t="shared" si="74"/>
        <v>8270.0264339466867</v>
      </c>
      <c r="N238" s="45"/>
      <c r="O238" s="15"/>
    </row>
    <row r="239" spans="1:15">
      <c r="C239" s="74" t="s">
        <v>33</v>
      </c>
      <c r="E239" s="97"/>
      <c r="F239" s="97"/>
      <c r="G239" s="97"/>
      <c r="H239" s="22">
        <f t="shared" ref="H239:M239" si="75">H208-H210</f>
        <v>464.61437073345587</v>
      </c>
      <c r="I239" s="22">
        <f t="shared" si="75"/>
        <v>653.16582117769576</v>
      </c>
      <c r="J239" s="22">
        <f t="shared" si="75"/>
        <v>839.56877295683989</v>
      </c>
      <c r="K239" s="22">
        <f t="shared" si="75"/>
        <v>1054.8689296266421</v>
      </c>
      <c r="L239" s="22">
        <f t="shared" si="75"/>
        <v>1270.6630128576198</v>
      </c>
      <c r="M239" s="22">
        <f t="shared" si="75"/>
        <v>1486.0512199320656</v>
      </c>
      <c r="N239" s="45"/>
      <c r="O239" s="15"/>
    </row>
    <row r="240" spans="1:15">
      <c r="A240" s="110"/>
      <c r="C240" s="74" t="s">
        <v>34</v>
      </c>
      <c r="E240" s="97"/>
      <c r="F240" s="97"/>
      <c r="G240" s="97"/>
      <c r="H240" s="22">
        <f t="shared" ref="H240:M240" si="76">H233+H239-H238</f>
        <v>-5549.2831644198013</v>
      </c>
      <c r="I240" s="22">
        <f t="shared" si="76"/>
        <v>-5360.7317139755614</v>
      </c>
      <c r="J240" s="22">
        <f t="shared" si="76"/>
        <v>-5308.8039172553308</v>
      </c>
      <c r="K240" s="22">
        <f t="shared" si="76"/>
        <v>-5277.1874426380127</v>
      </c>
      <c r="L240" s="22">
        <f t="shared" si="76"/>
        <v>-5245.0294426382952</v>
      </c>
      <c r="M240" s="22">
        <f t="shared" si="76"/>
        <v>-5211.5942616336688</v>
      </c>
      <c r="N240" s="45"/>
      <c r="O240" s="15"/>
    </row>
    <row r="241" spans="1:15">
      <c r="E241" s="97"/>
      <c r="F241" s="97"/>
      <c r="G241" s="97"/>
      <c r="H241" s="78"/>
      <c r="I241" s="78"/>
      <c r="J241" s="78"/>
      <c r="K241" s="78"/>
      <c r="L241" s="78"/>
      <c r="M241" s="78"/>
      <c r="N241" s="45"/>
      <c r="O241" s="15"/>
    </row>
    <row r="242" spans="1:15" ht="15.75">
      <c r="C242" s="5" t="s">
        <v>73</v>
      </c>
      <c r="E242" s="97"/>
      <c r="F242" s="97"/>
      <c r="G242" s="97"/>
      <c r="H242" s="78"/>
      <c r="I242" s="78"/>
      <c r="J242" s="78"/>
      <c r="K242" s="78"/>
      <c r="L242" s="78"/>
      <c r="M242" s="78"/>
      <c r="N242" s="45"/>
      <c r="O242" s="15"/>
    </row>
    <row r="243" spans="1:15">
      <c r="C243" s="74" t="s">
        <v>109</v>
      </c>
      <c r="E243" s="97"/>
      <c r="F243" s="97"/>
      <c r="G243" s="97"/>
      <c r="H243" s="78">
        <f t="shared" ref="H243:M243" si="77">H208</f>
        <v>8592.8241084434721</v>
      </c>
      <c r="I243" s="78">
        <f t="shared" si="77"/>
        <v>9032.854675858729</v>
      </c>
      <c r="J243" s="78">
        <f t="shared" si="77"/>
        <v>9472.1125854684178</v>
      </c>
      <c r="K243" s="78">
        <f t="shared" si="77"/>
        <v>9970.7560466440664</v>
      </c>
      <c r="L243" s="78">
        <f t="shared" si="77"/>
        <v>10478.871824291155</v>
      </c>
      <c r="M243" s="78">
        <f t="shared" si="77"/>
        <v>10995.380409679139</v>
      </c>
      <c r="N243" s="45"/>
      <c r="O243" s="15"/>
    </row>
    <row r="244" spans="1:15">
      <c r="C244" s="74" t="s">
        <v>116</v>
      </c>
      <c r="E244" s="97"/>
      <c r="F244" s="97"/>
      <c r="G244" s="97"/>
      <c r="H244" s="78">
        <f t="shared" ref="H244:M244" si="78">H93</f>
        <v>0</v>
      </c>
      <c r="I244" s="78">
        <f t="shared" si="78"/>
        <v>0</v>
      </c>
      <c r="J244" s="78">
        <f t="shared" si="78"/>
        <v>0</v>
      </c>
      <c r="K244" s="78">
        <f t="shared" si="78"/>
        <v>0</v>
      </c>
      <c r="L244" s="78">
        <f t="shared" si="78"/>
        <v>0</v>
      </c>
      <c r="M244" s="78">
        <f t="shared" si="78"/>
        <v>0</v>
      </c>
      <c r="N244" s="45"/>
      <c r="O244" s="15"/>
    </row>
    <row r="245" spans="1:15" ht="15.75" thickBot="1">
      <c r="C245" s="74" t="s">
        <v>73</v>
      </c>
      <c r="E245" s="97"/>
      <c r="F245" s="97"/>
      <c r="G245" s="97"/>
      <c r="H245" s="48">
        <f t="shared" ref="H245:M245" si="79">H243+H244</f>
        <v>8592.8241084434721</v>
      </c>
      <c r="I245" s="48">
        <f t="shared" si="79"/>
        <v>9032.854675858729</v>
      </c>
      <c r="J245" s="48">
        <f t="shared" si="79"/>
        <v>9472.1125854684178</v>
      </c>
      <c r="K245" s="48">
        <f t="shared" si="79"/>
        <v>9970.7560466440664</v>
      </c>
      <c r="L245" s="48">
        <f t="shared" si="79"/>
        <v>10478.871824291155</v>
      </c>
      <c r="M245" s="48">
        <f t="shared" si="79"/>
        <v>10995.380409679139</v>
      </c>
      <c r="N245" s="45"/>
      <c r="O245" s="15"/>
    </row>
    <row r="246" spans="1:15" ht="15.75" thickTop="1">
      <c r="E246" s="97"/>
      <c r="F246" s="97"/>
      <c r="G246" s="97"/>
      <c r="H246" s="49"/>
      <c r="I246" s="49"/>
      <c r="J246" s="49"/>
      <c r="K246" s="49"/>
      <c r="L246" s="49"/>
      <c r="M246" s="49"/>
      <c r="N246" s="45"/>
      <c r="O246" s="15"/>
    </row>
    <row r="247" spans="1:15" ht="15.75">
      <c r="C247" s="79" t="s">
        <v>85</v>
      </c>
      <c r="E247" s="97"/>
      <c r="F247" s="97"/>
      <c r="G247" s="97"/>
      <c r="H247" s="49"/>
      <c r="I247" s="49"/>
      <c r="J247" s="49"/>
      <c r="K247" s="49"/>
      <c r="L247" s="49"/>
      <c r="M247" s="49"/>
      <c r="N247" s="45"/>
      <c r="O247" s="15"/>
    </row>
    <row r="248" spans="1:15">
      <c r="C248" s="74" t="s">
        <v>85</v>
      </c>
      <c r="E248" s="97"/>
      <c r="F248" s="97"/>
      <c r="G248" s="97"/>
      <c r="H248" s="78">
        <f t="shared" ref="H248:M248" si="80">H86</f>
        <v>150.74831004753673</v>
      </c>
      <c r="I248" s="78">
        <f t="shared" si="80"/>
        <v>153.78096674589457</v>
      </c>
      <c r="J248" s="78">
        <f t="shared" si="80"/>
        <v>157.18642032679037</v>
      </c>
      <c r="K248" s="78">
        <f t="shared" si="80"/>
        <v>160.49871791819848</v>
      </c>
      <c r="L248" s="78">
        <f t="shared" si="80"/>
        <v>163.70869227656246</v>
      </c>
      <c r="M248" s="78">
        <f t="shared" si="80"/>
        <v>166.98286612209372</v>
      </c>
      <c r="N248" s="45"/>
      <c r="O248" s="15"/>
    </row>
    <row r="249" spans="1:15">
      <c r="E249" s="97"/>
      <c r="F249" s="97"/>
      <c r="G249" s="97"/>
      <c r="H249" s="49"/>
      <c r="I249" s="49"/>
      <c r="J249" s="49"/>
      <c r="K249" s="49"/>
      <c r="L249" s="49"/>
      <c r="M249" s="49"/>
      <c r="N249" s="45"/>
      <c r="O249" s="15"/>
    </row>
    <row r="250" spans="1:15" ht="15.75">
      <c r="C250" s="5" t="s">
        <v>135</v>
      </c>
      <c r="E250" s="97"/>
      <c r="F250" s="97"/>
      <c r="G250" s="97"/>
      <c r="H250" s="78">
        <f t="shared" ref="H250:M250" si="81">H47</f>
        <v>16282.009601288903</v>
      </c>
      <c r="I250" s="78">
        <f t="shared" si="81"/>
        <v>16791.474568849135</v>
      </c>
      <c r="J250" s="78">
        <f t="shared" si="81"/>
        <v>17318.257545390392</v>
      </c>
      <c r="K250" s="78">
        <f t="shared" si="81"/>
        <v>17927.597030479908</v>
      </c>
      <c r="L250" s="78">
        <f t="shared" si="81"/>
        <v>18467.45646978126</v>
      </c>
      <c r="M250" s="78">
        <f t="shared" si="81"/>
        <v>19058.295637106814</v>
      </c>
      <c r="N250" s="45"/>
      <c r="O250" s="15"/>
    </row>
    <row r="251" spans="1:15">
      <c r="C251" s="74" t="s">
        <v>136</v>
      </c>
      <c r="E251" s="97"/>
      <c r="F251" s="97"/>
      <c r="G251" s="97"/>
      <c r="H251" s="78">
        <f>H250*H67</f>
        <v>16282.009601288903</v>
      </c>
      <c r="I251" s="78">
        <f>I250*I67</f>
        <v>17403.201263637493</v>
      </c>
      <c r="J251" s="78">
        <f>J250*J67</f>
        <v>17949.175360517173</v>
      </c>
      <c r="K251" s="78">
        <f>K250*K67</f>
        <v>18580.713564825153</v>
      </c>
      <c r="L251" s="181">
        <f>L250*L67</f>
        <v>19140.240510342235</v>
      </c>
      <c r="M251" s="78">
        <f>M250*IF(ISNUMBER(M67),M67,0)</f>
        <v>19231.44111049789</v>
      </c>
      <c r="N251" s="45"/>
      <c r="O251" s="15"/>
    </row>
    <row r="252" spans="1:15">
      <c r="E252" s="97"/>
      <c r="F252" s="97"/>
      <c r="G252" s="97"/>
      <c r="H252" s="78"/>
      <c r="I252" s="78"/>
      <c r="J252" s="78"/>
      <c r="K252" s="78"/>
      <c r="L252" s="78"/>
      <c r="M252" s="78"/>
      <c r="N252" s="45"/>
      <c r="O252" s="15"/>
    </row>
    <row r="253" spans="1:15" ht="15.75">
      <c r="A253" s="110"/>
      <c r="C253" s="5" t="s">
        <v>124</v>
      </c>
      <c r="E253" s="97"/>
      <c r="F253" s="97"/>
      <c r="G253" s="97"/>
      <c r="O253" s="15"/>
    </row>
    <row r="254" spans="1:15" ht="46.5" customHeight="1">
      <c r="A254" s="110"/>
      <c r="C254" s="125" t="s">
        <v>234</v>
      </c>
      <c r="E254" s="97"/>
      <c r="F254" s="97"/>
      <c r="G254" s="126"/>
      <c r="H254" s="127" t="str">
        <f t="shared" ref="H254:M254" si="82">H13</f>
        <v/>
      </c>
      <c r="I254" s="127" t="str">
        <f t="shared" si="82"/>
        <v>01/07/13 to 30/06/14</v>
      </c>
      <c r="J254" s="127" t="str">
        <f t="shared" si="82"/>
        <v>01/07/14 to 30/06/15</v>
      </c>
      <c r="K254" s="127" t="str">
        <f t="shared" si="82"/>
        <v>01/07/15 to 30/06/16</v>
      </c>
      <c r="L254" s="127" t="str">
        <f t="shared" si="82"/>
        <v>01/07/16 to 30/06/17</v>
      </c>
      <c r="M254" s="127" t="str">
        <f t="shared" si="82"/>
        <v>01/07/17 to 30/09/17</v>
      </c>
      <c r="O254" s="15"/>
    </row>
    <row r="255" spans="1:15">
      <c r="A255" s="110"/>
      <c r="C255" s="133" t="s">
        <v>250</v>
      </c>
      <c r="E255" s="97"/>
      <c r="F255" s="97"/>
      <c r="G255" s="126"/>
      <c r="H255" s="118"/>
      <c r="I255" s="118"/>
      <c r="J255" s="118"/>
      <c r="K255" s="118"/>
      <c r="L255" s="118"/>
      <c r="M255" s="118"/>
      <c r="O255" s="15"/>
    </row>
    <row r="256" spans="1:15">
      <c r="A256" s="110"/>
      <c r="C256" s="74" t="s">
        <v>193</v>
      </c>
      <c r="E256" s="97"/>
      <c r="F256" s="97"/>
      <c r="G256" s="126"/>
      <c r="H256" s="17">
        <f t="shared" ref="H256:M256" si="83">H50/12</f>
        <v>0</v>
      </c>
      <c r="I256" s="17">
        <f t="shared" si="83"/>
        <v>1</v>
      </c>
      <c r="J256" s="17">
        <f t="shared" si="83"/>
        <v>1</v>
      </c>
      <c r="K256" s="17">
        <f t="shared" si="83"/>
        <v>1</v>
      </c>
      <c r="L256" s="17">
        <f t="shared" si="83"/>
        <v>1</v>
      </c>
      <c r="M256" s="17">
        <f t="shared" si="83"/>
        <v>0.25</v>
      </c>
      <c r="O256" s="15"/>
    </row>
    <row r="257" spans="1:62" ht="18">
      <c r="C257" s="74" t="s">
        <v>263</v>
      </c>
      <c r="E257" s="97"/>
      <c r="F257" s="97"/>
      <c r="G257" s="126"/>
      <c r="H257" s="44">
        <f t="shared" ref="H257:M257" si="84">(1+WACC)^H256-1</f>
        <v>0</v>
      </c>
      <c r="I257" s="44">
        <f t="shared" si="84"/>
        <v>7.4400000000000022E-2</v>
      </c>
      <c r="J257" s="44">
        <f t="shared" si="84"/>
        <v>7.4400000000000022E-2</v>
      </c>
      <c r="K257" s="44">
        <f t="shared" si="84"/>
        <v>7.4400000000000022E-2</v>
      </c>
      <c r="L257" s="44">
        <f t="shared" si="84"/>
        <v>7.4400000000000022E-2</v>
      </c>
      <c r="M257" s="44">
        <f t="shared" si="84"/>
        <v>1.8102490709061669E-2</v>
      </c>
      <c r="O257" s="15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</row>
    <row r="258" spans="1:62">
      <c r="E258" s="97"/>
      <c r="F258" s="97"/>
      <c r="G258" s="97"/>
      <c r="H258" s="77"/>
      <c r="I258" s="77"/>
      <c r="J258" s="77"/>
      <c r="K258" s="77"/>
      <c r="L258" s="77"/>
      <c r="M258" s="77"/>
      <c r="O258" s="15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</row>
    <row r="259" spans="1:62" ht="15.75">
      <c r="C259" s="5" t="s">
        <v>149</v>
      </c>
      <c r="N259" s="45"/>
      <c r="O259" s="15"/>
    </row>
    <row r="260" spans="1:62">
      <c r="A260" s="110"/>
      <c r="C260" s="74" t="s">
        <v>72</v>
      </c>
      <c r="E260" s="97"/>
      <c r="F260" s="97"/>
      <c r="G260" s="97"/>
      <c r="H260" s="181">
        <f>H206+(1-H256)*(H209-H206)+H231+(1-H256)*(H234-H231)</f>
        <v>328982.59827826137</v>
      </c>
      <c r="I260" s="63">
        <f>I206+I231</f>
        <v>328982.59827826137</v>
      </c>
      <c r="J260" s="63">
        <f>J206+J231</f>
        <v>334814.1777526834</v>
      </c>
      <c r="K260" s="63">
        <f>K206+K231</f>
        <v>342779.70855704823</v>
      </c>
      <c r="L260" s="63">
        <f>L206+L231</f>
        <v>350743.17521574447</v>
      </c>
      <c r="M260" s="63">
        <f>M206+M231</f>
        <v>358633.65529492986</v>
      </c>
      <c r="N260" s="45"/>
      <c r="O260" s="15"/>
    </row>
    <row r="261" spans="1:62">
      <c r="C261" s="74" t="s">
        <v>65</v>
      </c>
      <c r="E261" s="97"/>
      <c r="F261" s="97"/>
      <c r="G261" s="97"/>
      <c r="H261" s="78">
        <f t="shared" ref="H261:M261" si="85">H48*H256</f>
        <v>0</v>
      </c>
      <c r="I261" s="78">
        <f t="shared" si="85"/>
        <v>11378.473102374501</v>
      </c>
      <c r="J261" s="78">
        <f t="shared" si="85"/>
        <v>12750.448702763084</v>
      </c>
      <c r="K261" s="78">
        <f t="shared" si="85"/>
        <v>13154.476248724959</v>
      </c>
      <c r="L261" s="78">
        <f t="shared" si="85"/>
        <v>13550.417024109189</v>
      </c>
      <c r="M261" s="78">
        <f t="shared" si="85"/>
        <v>3454.1685763252822</v>
      </c>
      <c r="N261" s="45"/>
      <c r="O261" s="15"/>
    </row>
    <row r="262" spans="1:62">
      <c r="C262" s="74" t="s">
        <v>76</v>
      </c>
      <c r="E262" s="97"/>
      <c r="F262" s="97"/>
      <c r="G262" s="97"/>
      <c r="H262" s="47">
        <f t="shared" ref="H262:M262" si="86">H215*H256</f>
        <v>0</v>
      </c>
      <c r="I262" s="47">
        <f t="shared" si="86"/>
        <v>0</v>
      </c>
      <c r="J262" s="47">
        <f t="shared" si="86"/>
        <v>0</v>
      </c>
      <c r="K262" s="47">
        <f t="shared" si="86"/>
        <v>0</v>
      </c>
      <c r="L262" s="47">
        <f t="shared" si="86"/>
        <v>0</v>
      </c>
      <c r="M262" s="47">
        <f t="shared" si="86"/>
        <v>0</v>
      </c>
      <c r="N262" s="45"/>
      <c r="O262" s="15"/>
    </row>
    <row r="263" spans="1:62">
      <c r="C263" s="74" t="s">
        <v>27</v>
      </c>
      <c r="E263" s="97"/>
      <c r="F263" s="97"/>
      <c r="G263" s="97"/>
      <c r="H263" s="47">
        <f t="shared" ref="H263:M263" si="87">H207*H256</f>
        <v>0</v>
      </c>
      <c r="I263" s="47">
        <f t="shared" si="87"/>
        <v>6983.6816351739826</v>
      </c>
      <c r="J263" s="47">
        <f t="shared" si="87"/>
        <v>7894.1550846953869</v>
      </c>
      <c r="K263" s="47">
        <f t="shared" si="87"/>
        <v>7747.3259400461375</v>
      </c>
      <c r="L263" s="47">
        <f t="shared" si="87"/>
        <v>7571.7127431909066</v>
      </c>
      <c r="M263" s="47">
        <f t="shared" si="87"/>
        <v>1946.1578518216572</v>
      </c>
      <c r="N263" s="45"/>
      <c r="O263" s="15"/>
    </row>
    <row r="264" spans="1:62" ht="15.75" thickBot="1">
      <c r="C264" s="74" t="s">
        <v>149</v>
      </c>
      <c r="E264" s="97"/>
      <c r="F264" s="97"/>
      <c r="G264" s="97"/>
      <c r="H264" s="28">
        <f t="shared" ref="H264:M264" si="88">H260*H257+H261*(H67-1)+H262-H263</f>
        <v>0</v>
      </c>
      <c r="I264" s="28">
        <f t="shared" si="88"/>
        <v>17907.150448282529</v>
      </c>
      <c r="J264" s="28">
        <f t="shared" si="88"/>
        <v>17480.528667538169</v>
      </c>
      <c r="K264" s="28">
        <f t="shared" si="88"/>
        <v>18234.712346977511</v>
      </c>
      <c r="L264" s="28">
        <f t="shared" si="88"/>
        <v>19017.231898739119</v>
      </c>
      <c r="M264" s="28">
        <f t="shared" si="88"/>
        <v>4577.3858380478569</v>
      </c>
      <c r="N264" s="45"/>
      <c r="O264" s="15"/>
    </row>
    <row r="265" spans="1:62" ht="15.75" thickTop="1"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15"/>
      <c r="AY265" s="92"/>
      <c r="AZ265" s="92"/>
      <c r="BA265" s="92"/>
    </row>
    <row r="266" spans="1:62">
      <c r="A266" s="110"/>
      <c r="C266" s="40" t="s">
        <v>214</v>
      </c>
      <c r="D266" s="40"/>
      <c r="E266" s="40"/>
      <c r="F266" s="40"/>
      <c r="G266" s="40"/>
      <c r="H266" s="134">
        <f t="shared" ref="H266:M266" si="89">H256*(H234-H231)</f>
        <v>0</v>
      </c>
      <c r="I266" s="134">
        <f t="shared" si="89"/>
        <v>-3497.7205872676714</v>
      </c>
      <c r="J266" s="134">
        <f t="shared" si="89"/>
        <v>-3206.9603976252874</v>
      </c>
      <c r="K266" s="134">
        <f t="shared" si="89"/>
        <v>-2967.5794834308363</v>
      </c>
      <c r="L266" s="134">
        <f t="shared" si="89"/>
        <v>-2752.7778638235141</v>
      </c>
      <c r="M266" s="134">
        <f t="shared" si="89"/>
        <v>-639.92354406267805</v>
      </c>
      <c r="O266" s="15"/>
    </row>
    <row r="267" spans="1:62">
      <c r="A267" s="110"/>
      <c r="C267" s="74" t="s">
        <v>73</v>
      </c>
      <c r="H267" s="78">
        <f t="shared" ref="H267:L267" si="90">H256*H245</f>
        <v>0</v>
      </c>
      <c r="I267" s="78">
        <f t="shared" si="90"/>
        <v>9032.854675858729</v>
      </c>
      <c r="J267" s="78">
        <f t="shared" si="90"/>
        <v>9472.1125854684178</v>
      </c>
      <c r="K267" s="78">
        <f t="shared" si="90"/>
        <v>9970.7560466440664</v>
      </c>
      <c r="L267" s="78">
        <f t="shared" si="90"/>
        <v>10478.871824291155</v>
      </c>
      <c r="M267" s="78">
        <f>M256*M245</f>
        <v>2748.8451024197848</v>
      </c>
      <c r="O267" s="15"/>
    </row>
    <row r="268" spans="1:62">
      <c r="A268" s="110"/>
      <c r="C268" s="74" t="s">
        <v>135</v>
      </c>
      <c r="H268" s="78">
        <f t="shared" ref="H268:L268" si="91">H256*H250</f>
        <v>0</v>
      </c>
      <c r="I268" s="78">
        <f t="shared" si="91"/>
        <v>16791.474568849135</v>
      </c>
      <c r="J268" s="78">
        <f t="shared" si="91"/>
        <v>17318.257545390392</v>
      </c>
      <c r="K268" s="78">
        <f t="shared" si="91"/>
        <v>17927.597030479908</v>
      </c>
      <c r="L268" s="78">
        <f t="shared" si="91"/>
        <v>18467.45646978126</v>
      </c>
      <c r="M268" s="78">
        <f>M256*M250</f>
        <v>4764.5739092767035</v>
      </c>
      <c r="O268" s="15"/>
    </row>
    <row r="269" spans="1:62">
      <c r="A269" s="110"/>
      <c r="C269" s="74" t="s">
        <v>136</v>
      </c>
      <c r="H269" s="78">
        <f t="shared" ref="H269:L269" si="92">H256*H251</f>
        <v>0</v>
      </c>
      <c r="I269" s="78">
        <f t="shared" si="92"/>
        <v>17403.201263637493</v>
      </c>
      <c r="J269" s="78">
        <f t="shared" si="92"/>
        <v>17949.175360517173</v>
      </c>
      <c r="K269" s="78">
        <f t="shared" si="92"/>
        <v>18580.713564825153</v>
      </c>
      <c r="L269" s="78">
        <f t="shared" si="92"/>
        <v>19140.240510342235</v>
      </c>
      <c r="M269" s="78">
        <f>M256*M251</f>
        <v>4807.8602776244725</v>
      </c>
      <c r="O269" s="15"/>
    </row>
    <row r="270" spans="1:62">
      <c r="A270" s="110"/>
      <c r="C270" s="74" t="s">
        <v>85</v>
      </c>
      <c r="H270" s="78">
        <f t="shared" ref="H270:L270" si="93">H256*H248</f>
        <v>0</v>
      </c>
      <c r="I270" s="78">
        <f t="shared" si="93"/>
        <v>153.78096674589457</v>
      </c>
      <c r="J270" s="78">
        <f t="shared" si="93"/>
        <v>157.18642032679037</v>
      </c>
      <c r="K270" s="78">
        <f t="shared" si="93"/>
        <v>160.49871791819848</v>
      </c>
      <c r="L270" s="78">
        <f t="shared" si="93"/>
        <v>163.70869227656246</v>
      </c>
      <c r="M270" s="78">
        <f>M256*M248</f>
        <v>41.745716530523431</v>
      </c>
      <c r="O270" s="15"/>
    </row>
    <row r="271" spans="1:62">
      <c r="A271" s="110"/>
      <c r="C271" s="74" t="s">
        <v>34</v>
      </c>
      <c r="H271" s="22">
        <f t="shared" ref="H271:L271" si="94">H256*H240</f>
        <v>0</v>
      </c>
      <c r="I271" s="22">
        <f t="shared" si="94"/>
        <v>-5360.7317139755614</v>
      </c>
      <c r="J271" s="22">
        <f t="shared" si="94"/>
        <v>-5308.8039172553308</v>
      </c>
      <c r="K271" s="22">
        <f t="shared" si="94"/>
        <v>-5277.1874426380127</v>
      </c>
      <c r="L271" s="22">
        <f t="shared" si="94"/>
        <v>-5245.0294426382952</v>
      </c>
      <c r="M271" s="22">
        <f>M256*M240</f>
        <v>-1302.8985654084172</v>
      </c>
      <c r="O271" s="15"/>
    </row>
    <row r="272" spans="1:62">
      <c r="A272" s="110"/>
      <c r="C272" s="74" t="s">
        <v>244</v>
      </c>
      <c r="H272" s="78">
        <f t="shared" ref="H272:M272" si="95">H256*H208</f>
        <v>0</v>
      </c>
      <c r="I272" s="78">
        <f t="shared" si="95"/>
        <v>9032.854675858729</v>
      </c>
      <c r="J272" s="78">
        <f t="shared" si="95"/>
        <v>9472.1125854684178</v>
      </c>
      <c r="K272" s="78">
        <f t="shared" si="95"/>
        <v>9970.7560466440664</v>
      </c>
      <c r="L272" s="78">
        <f t="shared" si="95"/>
        <v>10478.871824291155</v>
      </c>
      <c r="M272" s="78">
        <f t="shared" si="95"/>
        <v>2748.8451024197848</v>
      </c>
      <c r="O272" s="15"/>
    </row>
    <row r="273" spans="1:16">
      <c r="A273" s="110"/>
      <c r="C273" s="74" t="s">
        <v>246</v>
      </c>
      <c r="H273" s="73"/>
      <c r="I273" s="73"/>
      <c r="J273" s="73"/>
      <c r="K273" s="73"/>
      <c r="L273" s="73"/>
      <c r="M273" s="73"/>
      <c r="O273" s="15"/>
    </row>
    <row r="274" spans="1:16">
      <c r="A274" s="110"/>
      <c r="C274" s="80" t="s">
        <v>125</v>
      </c>
      <c r="H274" s="22">
        <f t="shared" ref="H274:M274" si="96">(H264+H267+H269+((H270-H268-H272+H271)*H90+H266)*H67-H266-H270*H67)/(H68-H90*H67)</f>
        <v>0</v>
      </c>
      <c r="I274" s="22">
        <f t="shared" si="96"/>
        <v>47409.596733877966</v>
      </c>
      <c r="J274" s="22">
        <f t="shared" si="96"/>
        <v>47817.246140774638</v>
      </c>
      <c r="K274" s="22">
        <f t="shared" si="96"/>
        <v>49951.966539048903</v>
      </c>
      <c r="L274" s="22">
        <f t="shared" si="96"/>
        <v>52063.083347063301</v>
      </c>
      <c r="M274" s="22">
        <f t="shared" si="96"/>
        <v>13353.667190966597</v>
      </c>
      <c r="O274" s="15"/>
      <c r="P274" s="128"/>
    </row>
    <row r="275" spans="1:16">
      <c r="A275" s="110"/>
      <c r="C275" s="74" t="s">
        <v>133</v>
      </c>
      <c r="E275" s="97"/>
      <c r="F275" s="97"/>
      <c r="G275" s="97"/>
      <c r="H275" s="22">
        <f t="shared" ref="H275:M275" si="97">(H274+H270-H268-H272+H271)*H90</f>
        <v>0</v>
      </c>
      <c r="I275" s="22">
        <f t="shared" si="97"/>
        <v>4585.9286877433224</v>
      </c>
      <c r="J275" s="138">
        <f t="shared" si="97"/>
        <v>4445.0723836364414</v>
      </c>
      <c r="K275" s="138">
        <f t="shared" si="97"/>
        <v>4742.338926417432</v>
      </c>
      <c r="L275" s="22">
        <f t="shared" si="97"/>
        <v>5049.9216047361615</v>
      </c>
      <c r="M275" s="22">
        <f t="shared" si="97"/>
        <v>1282.1466925098205</v>
      </c>
      <c r="O275" s="15"/>
      <c r="P275" s="128"/>
    </row>
    <row r="276" spans="1:16">
      <c r="A276" s="110"/>
      <c r="C276" s="74" t="s">
        <v>118</v>
      </c>
      <c r="E276" s="97"/>
      <c r="F276" s="97"/>
      <c r="G276" s="97"/>
      <c r="H276" s="22">
        <f t="shared" ref="H276" si="98">IF(H275&lt;0,#N/A,H275)</f>
        <v>0</v>
      </c>
      <c r="I276" s="22">
        <f>IF(I275&lt;0,#N/A,I275)</f>
        <v>4585.9286877433224</v>
      </c>
      <c r="J276" s="22">
        <f t="shared" ref="J276:M276" si="99">IF(J275&lt;0,#N/A,J275)</f>
        <v>4445.0723836364414</v>
      </c>
      <c r="K276" s="22">
        <f t="shared" si="99"/>
        <v>4742.338926417432</v>
      </c>
      <c r="L276" s="22">
        <f t="shared" si="99"/>
        <v>5049.9216047361615</v>
      </c>
      <c r="M276" s="22">
        <f t="shared" si="99"/>
        <v>1282.1466925098205</v>
      </c>
      <c r="O276" s="15"/>
      <c r="P276" s="128"/>
    </row>
    <row r="277" spans="1:16">
      <c r="A277" s="110"/>
      <c r="C277" s="74" t="s">
        <v>126</v>
      </c>
      <c r="E277" s="97"/>
      <c r="F277" s="97"/>
      <c r="G277" s="97"/>
      <c r="H277" s="22">
        <f t="shared" ref="H277:M277" si="100">H264+H267+H269+(H276+H266)*H67-H266-H270*H67</f>
        <v>0</v>
      </c>
      <c r="I277" s="22">
        <f t="shared" si="100"/>
        <v>48809.396028066432</v>
      </c>
      <c r="J277" s="22">
        <f t="shared" si="100"/>
        <v>49229.081549829316</v>
      </c>
      <c r="K277" s="22">
        <f t="shared" si="100"/>
        <v>51426.830961481777</v>
      </c>
      <c r="L277" s="22">
        <f t="shared" si="100"/>
        <v>53600.279871462706</v>
      </c>
      <c r="M277" s="22">
        <f t="shared" si="100"/>
        <v>13379.947558558855</v>
      </c>
      <c r="O277" s="15"/>
      <c r="P277" s="128"/>
    </row>
    <row r="278" spans="1:16">
      <c r="A278" s="110"/>
      <c r="C278" s="74" t="s">
        <v>127</v>
      </c>
      <c r="E278" s="97"/>
      <c r="F278" s="97"/>
      <c r="G278" s="97"/>
      <c r="H278" s="22">
        <f t="shared" ref="H278:M278" si="101">H277/H68</f>
        <v>0</v>
      </c>
      <c r="I278" s="22">
        <f t="shared" si="101"/>
        <v>47409.596733877966</v>
      </c>
      <c r="J278" s="22">
        <f t="shared" si="101"/>
        <v>47817.24614077463</v>
      </c>
      <c r="K278" s="22">
        <f t="shared" si="101"/>
        <v>49951.966539048903</v>
      </c>
      <c r="L278" s="22">
        <f t="shared" si="101"/>
        <v>52063.083347063308</v>
      </c>
      <c r="M278" s="22">
        <f t="shared" si="101"/>
        <v>13353.667190966597</v>
      </c>
      <c r="O278" s="15"/>
      <c r="P278" s="128"/>
    </row>
    <row r="279" spans="1:16">
      <c r="A279" s="110"/>
      <c r="C279" s="74" t="s">
        <v>128</v>
      </c>
      <c r="E279" s="97"/>
      <c r="F279" s="97"/>
      <c r="G279" s="97"/>
      <c r="H279" s="69">
        <f t="shared" ref="H279:M279" si="102">H274-H278</f>
        <v>0</v>
      </c>
      <c r="I279" s="69">
        <f t="shared" si="102"/>
        <v>0</v>
      </c>
      <c r="J279" s="69">
        <f t="shared" si="102"/>
        <v>0</v>
      </c>
      <c r="K279" s="69">
        <f t="shared" si="102"/>
        <v>0</v>
      </c>
      <c r="L279" s="69">
        <f t="shared" si="102"/>
        <v>0</v>
      </c>
      <c r="M279" s="69">
        <f t="shared" si="102"/>
        <v>0</v>
      </c>
      <c r="O279" s="15"/>
      <c r="P279" s="128"/>
    </row>
    <row r="280" spans="1:16">
      <c r="E280" s="97"/>
      <c r="F280" s="97"/>
      <c r="G280" s="97"/>
      <c r="H280" s="22"/>
      <c r="I280" s="22"/>
      <c r="J280" s="22"/>
      <c r="K280" s="22"/>
      <c r="L280" s="22"/>
      <c r="M280" s="22"/>
      <c r="N280" s="97"/>
      <c r="O280" s="15"/>
      <c r="P280" s="128"/>
    </row>
    <row r="281" spans="1:16">
      <c r="E281" s="97"/>
      <c r="F281" s="97"/>
      <c r="G281" s="97"/>
      <c r="O281" s="15"/>
    </row>
    <row r="282" spans="1:16" ht="15.75">
      <c r="C282" s="113" t="s">
        <v>129</v>
      </c>
      <c r="E282" s="97"/>
      <c r="F282" s="97"/>
      <c r="G282" s="97"/>
      <c r="H282" s="83"/>
      <c r="I282" s="22"/>
      <c r="N282" s="45"/>
      <c r="O282" s="15"/>
    </row>
    <row r="283" spans="1:16">
      <c r="C283" s="74" t="s">
        <v>206</v>
      </c>
      <c r="D283" s="80"/>
      <c r="E283" s="97"/>
      <c r="F283" s="97"/>
      <c r="G283" s="97"/>
      <c r="H283" s="115">
        <f>I283-1</f>
        <v>0</v>
      </c>
      <c r="I283" s="183">
        <f>IF($G$1 = 4,1.5,1)</f>
        <v>1</v>
      </c>
      <c r="J283" s="65">
        <f>I283+J256</f>
        <v>2</v>
      </c>
      <c r="K283" s="65">
        <f>J283+K256</f>
        <v>3</v>
      </c>
      <c r="L283" s="65">
        <f>K283+L256</f>
        <v>4</v>
      </c>
      <c r="M283" s="65">
        <f>L283+M256</f>
        <v>4.25</v>
      </c>
      <c r="N283" s="45"/>
      <c r="O283" s="15"/>
    </row>
    <row r="284" spans="1:16">
      <c r="C284" s="74" t="s">
        <v>94</v>
      </c>
      <c r="D284" s="80"/>
      <c r="E284" s="97"/>
      <c r="F284" s="97"/>
      <c r="G284" s="97"/>
      <c r="H284" s="46">
        <f>H277</f>
        <v>0</v>
      </c>
      <c r="I284" s="46">
        <f t="shared" ref="I284:M284" si="103">I277</f>
        <v>48809.396028066432</v>
      </c>
      <c r="J284" s="46">
        <f t="shared" si="103"/>
        <v>49229.081549829316</v>
      </c>
      <c r="K284" s="46">
        <f t="shared" si="103"/>
        <v>51426.830961481777</v>
      </c>
      <c r="L284" s="46">
        <f t="shared" si="103"/>
        <v>53600.279871462706</v>
      </c>
      <c r="M284" s="46">
        <f t="shared" si="103"/>
        <v>13379.947558558855</v>
      </c>
      <c r="N284" s="45"/>
      <c r="O284" s="15"/>
    </row>
    <row r="285" spans="1:16">
      <c r="C285" s="74" t="s">
        <v>95</v>
      </c>
      <c r="D285" s="80"/>
      <c r="E285" s="80"/>
      <c r="F285" s="46"/>
      <c r="G285" s="46"/>
      <c r="H285" s="46">
        <f t="shared" ref="H285:M285" si="104">H284/(1+WACC)^H$283</f>
        <v>0</v>
      </c>
      <c r="I285" s="46">
        <f t="shared" si="104"/>
        <v>45429.445297902486</v>
      </c>
      <c r="J285" s="46">
        <f t="shared" si="104"/>
        <v>42647.122539700518</v>
      </c>
      <c r="K285" s="46">
        <f t="shared" si="104"/>
        <v>41465.963774843774</v>
      </c>
      <c r="L285" s="46">
        <f t="shared" si="104"/>
        <v>40225.648905264985</v>
      </c>
      <c r="M285" s="46">
        <f t="shared" si="104"/>
        <v>9862.7701638677045</v>
      </c>
      <c r="N285" s="45"/>
      <c r="O285" s="15"/>
    </row>
    <row r="286" spans="1:16">
      <c r="C286" s="74" t="s">
        <v>68</v>
      </c>
      <c r="D286" s="46">
        <f>SUM(H285:M285)</f>
        <v>179630.9506815795</v>
      </c>
      <c r="E286" s="80"/>
      <c r="F286" s="46"/>
      <c r="G286" s="46"/>
      <c r="H286" s="46"/>
      <c r="I286" s="46"/>
      <c r="J286" s="46"/>
      <c r="K286" s="46"/>
      <c r="L286" s="46"/>
      <c r="M286" s="46"/>
      <c r="N286" s="45"/>
      <c r="O286" s="15"/>
    </row>
    <row r="287" spans="1:16" ht="21">
      <c r="D287" s="46"/>
      <c r="E287" s="123" t="str">
        <f>"All information above this line is in " &amp; E38 &amp; " year-ends."</f>
        <v>All information above this line is in June  year-ends.</v>
      </c>
      <c r="G287" s="46"/>
      <c r="H287" s="46"/>
      <c r="I287" s="46"/>
      <c r="J287" s="46"/>
      <c r="K287" s="46"/>
      <c r="L287" s="46"/>
      <c r="M287" s="46"/>
      <c r="N287" s="45"/>
      <c r="O287" s="15"/>
    </row>
    <row r="288" spans="1:16" ht="3" customHeight="1">
      <c r="A288" s="120"/>
      <c r="B288" s="120"/>
      <c r="C288" s="120"/>
      <c r="D288" s="121"/>
      <c r="E288" s="124"/>
      <c r="F288" s="120"/>
      <c r="G288" s="121"/>
      <c r="H288" s="121"/>
      <c r="I288" s="121"/>
      <c r="J288" s="121"/>
      <c r="K288" s="121"/>
      <c r="L288" s="121"/>
      <c r="M288" s="121"/>
      <c r="N288" s="122"/>
      <c r="O288" s="15"/>
    </row>
    <row r="289" spans="1:15" ht="21">
      <c r="D289" s="46"/>
      <c r="E289" s="123" t="str">
        <f>"All information below this line is in " &amp; E39 &amp; " year-ends."</f>
        <v>All information below this line is in September  year-ends.</v>
      </c>
      <c r="G289" s="46"/>
      <c r="H289" s="46"/>
      <c r="I289" s="46"/>
      <c r="J289" s="46"/>
      <c r="K289" s="46"/>
      <c r="L289" s="46"/>
      <c r="M289" s="46"/>
      <c r="N289" s="45"/>
      <c r="O289" s="15"/>
    </row>
    <row r="290" spans="1:15" ht="48.75" customHeight="1">
      <c r="C290" s="125" t="s">
        <v>235</v>
      </c>
      <c r="D290" s="46"/>
      <c r="E290" s="123"/>
      <c r="G290" s="46"/>
      <c r="H290" s="118" t="str">
        <f t="shared" ref="H290:M290" si="105">H14</f>
        <v>01/07/13 to 30/09/13</v>
      </c>
      <c r="I290" s="118" t="str">
        <f t="shared" si="105"/>
        <v>01/10/13 to 30/09/14</v>
      </c>
      <c r="J290" s="118" t="str">
        <f t="shared" si="105"/>
        <v>01/10/14 to 30/09/15</v>
      </c>
      <c r="K290" s="118" t="str">
        <f t="shared" si="105"/>
        <v>01/10/15 to 30/09/16</v>
      </c>
      <c r="L290" s="118" t="str">
        <f t="shared" si="105"/>
        <v>01/10/16 to 30/09/17</v>
      </c>
      <c r="M290" s="118" t="str">
        <f t="shared" si="105"/>
        <v/>
      </c>
      <c r="N290" s="45"/>
    </row>
    <row r="291" spans="1:15">
      <c r="D291" s="80"/>
      <c r="F291" s="54"/>
      <c r="N291" s="45"/>
    </row>
    <row r="292" spans="1:15" ht="21">
      <c r="C292" s="3" t="s">
        <v>70</v>
      </c>
      <c r="D292" s="80"/>
      <c r="F292" s="54"/>
      <c r="N292" s="45"/>
    </row>
    <row r="293" spans="1:15">
      <c r="D293" s="80"/>
      <c r="E293" s="10" t="str">
        <f t="shared" ref="E293:M293" si="106">E$21</f>
        <v>2009/10</v>
      </c>
      <c r="F293" s="10" t="str">
        <f t="shared" si="106"/>
        <v>2010/11</v>
      </c>
      <c r="G293" s="10" t="str">
        <f t="shared" si="106"/>
        <v>2011/12</v>
      </c>
      <c r="H293" s="10" t="str">
        <f t="shared" si="106"/>
        <v>2012/13</v>
      </c>
      <c r="I293" s="10" t="str">
        <f t="shared" si="106"/>
        <v>2013/14</v>
      </c>
      <c r="J293" s="10" t="str">
        <f t="shared" si="106"/>
        <v>2014/15</v>
      </c>
      <c r="K293" s="10" t="str">
        <f t="shared" si="106"/>
        <v>2015/16</v>
      </c>
      <c r="L293" s="10" t="str">
        <f t="shared" si="106"/>
        <v>2016/17</v>
      </c>
      <c r="M293" s="10" t="str">
        <f t="shared" si="106"/>
        <v>2017/18</v>
      </c>
      <c r="N293" s="45"/>
    </row>
    <row r="294" spans="1:15">
      <c r="C294" s="74" t="s">
        <v>264</v>
      </c>
      <c r="D294" s="29">
        <f>E41</f>
        <v>64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45"/>
    </row>
    <row r="295" spans="1:15">
      <c r="C295" s="74" t="s">
        <v>35</v>
      </c>
      <c r="D295" s="29">
        <f>D286+D294</f>
        <v>179694.9506815795</v>
      </c>
      <c r="F295" s="55"/>
      <c r="G295" s="78"/>
      <c r="H295" s="78"/>
      <c r="I295" s="78"/>
      <c r="J295" s="78"/>
      <c r="K295" s="78"/>
      <c r="L295" s="78"/>
      <c r="M295" s="78"/>
      <c r="N295" s="45"/>
    </row>
    <row r="296" spans="1:15">
      <c r="C296" s="74" t="s">
        <v>203</v>
      </c>
      <c r="D296" s="29"/>
      <c r="F296" s="55"/>
      <c r="G296" s="78"/>
      <c r="H296" s="64">
        <f t="shared" ref="H296:M296" si="107">H51/12</f>
        <v>0.25</v>
      </c>
      <c r="I296" s="64">
        <f t="shared" si="107"/>
        <v>1</v>
      </c>
      <c r="J296" s="64">
        <f t="shared" si="107"/>
        <v>1</v>
      </c>
      <c r="K296" s="64">
        <f t="shared" si="107"/>
        <v>1</v>
      </c>
      <c r="L296" s="64">
        <f t="shared" si="107"/>
        <v>1</v>
      </c>
      <c r="M296" s="64">
        <f t="shared" si="107"/>
        <v>0</v>
      </c>
      <c r="N296" s="45"/>
    </row>
    <row r="297" spans="1:15">
      <c r="C297" s="74" t="s">
        <v>207</v>
      </c>
      <c r="D297" s="29"/>
      <c r="F297" s="55"/>
      <c r="G297" s="78"/>
      <c r="H297" s="116">
        <f>I297-1</f>
        <v>0.25</v>
      </c>
      <c r="I297" s="183">
        <f>IF($G$1 = 4,1,1.25)</f>
        <v>1.25</v>
      </c>
      <c r="J297" s="64">
        <f>I297+J296</f>
        <v>2.25</v>
      </c>
      <c r="K297" s="64">
        <f>J297+K296</f>
        <v>3.25</v>
      </c>
      <c r="L297" s="64">
        <f>K297+L296</f>
        <v>4.25</v>
      </c>
      <c r="M297" s="64">
        <f>L297+M296</f>
        <v>4.25</v>
      </c>
      <c r="N297" s="45"/>
    </row>
    <row r="298" spans="1:15">
      <c r="A298" s="110"/>
      <c r="C298" s="74" t="s">
        <v>102</v>
      </c>
      <c r="D298" s="80"/>
      <c r="F298" s="31"/>
      <c r="G298" s="31"/>
      <c r="H298" s="100">
        <f>H296*I298/((1+I$78)*(1+I$49)*(1-X_industry_wide))</f>
        <v>0.24645844710788334</v>
      </c>
      <c r="I298" s="184">
        <v>1</v>
      </c>
      <c r="J298" s="100">
        <f>J296*I298*(1+J$78)*(1+J$49)*(1-X_industry_wide)</f>
        <v>1.0199190815485684</v>
      </c>
      <c r="K298" s="31">
        <f>K296*J298*(1+K$78)*(1+K$49)*(1-X_industry_wide)</f>
        <v>1.0428485730323243</v>
      </c>
      <c r="L298" s="100">
        <f>L296*K298*(1+L$78)*(1+L$49)*(1-X_industry_wide)</f>
        <v>1.0667784757776544</v>
      </c>
      <c r="M298" s="100">
        <f>M296*L298*(1+M$78)*(1+M$49)*(1-X_industry_wide)</f>
        <v>0</v>
      </c>
      <c r="N298" s="70"/>
      <c r="O298" s="74" t="s">
        <v>422</v>
      </c>
    </row>
    <row r="299" spans="1:15">
      <c r="C299" s="74" t="s">
        <v>69</v>
      </c>
      <c r="D299" s="80"/>
      <c r="F299" s="57"/>
      <c r="G299" s="31"/>
      <c r="H299" s="31">
        <f t="shared" ref="H299:M299" si="108">H298/(1+WACC)^H$297</f>
        <v>0.24207626379170955</v>
      </c>
      <c r="I299" s="31">
        <f t="shared" si="108"/>
        <v>0.91420270174005624</v>
      </c>
      <c r="J299" s="31">
        <f t="shared" si="108"/>
        <v>0.86784510415854244</v>
      </c>
      <c r="K299" s="31">
        <f t="shared" si="108"/>
        <v>0.82590815113894911</v>
      </c>
      <c r="L299" s="31">
        <f t="shared" si="108"/>
        <v>0.78635516890541302</v>
      </c>
      <c r="M299" s="31">
        <f t="shared" si="108"/>
        <v>0</v>
      </c>
      <c r="N299" s="45"/>
      <c r="O299" s="74" t="s">
        <v>120</v>
      </c>
    </row>
    <row r="300" spans="1:15">
      <c r="C300" s="74" t="s">
        <v>57</v>
      </c>
      <c r="D300" s="65">
        <f>SUM(H299:M299)</f>
        <v>3.6363873897346704</v>
      </c>
      <c r="F300" s="57"/>
      <c r="G300" s="31"/>
      <c r="H300" s="31"/>
      <c r="I300" s="31"/>
      <c r="J300" s="31"/>
      <c r="K300" s="31"/>
      <c r="L300" s="31"/>
      <c r="M300" s="31"/>
      <c r="N300" s="45"/>
      <c r="O300" s="74" t="s">
        <v>121</v>
      </c>
    </row>
    <row r="301" spans="1:15">
      <c r="C301" s="74" t="s">
        <v>101</v>
      </c>
      <c r="D301" s="29">
        <f>D295/D300</f>
        <v>49415.788644754641</v>
      </c>
      <c r="F301" s="57"/>
      <c r="G301" s="31"/>
      <c r="H301" s="22"/>
      <c r="I301" s="22"/>
      <c r="J301" s="22"/>
      <c r="K301" s="22"/>
      <c r="L301" s="22"/>
      <c r="M301" s="22"/>
      <c r="N301" s="45"/>
    </row>
    <row r="302" spans="1:15">
      <c r="C302" s="74" t="s">
        <v>97</v>
      </c>
      <c r="D302" s="29"/>
      <c r="F302" s="57"/>
      <c r="G302" s="31"/>
      <c r="H302" s="22">
        <f t="shared" ref="H302:M302" si="109">$D301*H298</f>
        <v>12178.938531997605</v>
      </c>
      <c r="I302" s="22">
        <f t="shared" si="109"/>
        <v>49415.788644754641</v>
      </c>
      <c r="J302" s="22">
        <f t="shared" si="109"/>
        <v>50400.105768556328</v>
      </c>
      <c r="K302" s="22">
        <f t="shared" si="109"/>
        <v>51533.184673449308</v>
      </c>
      <c r="L302" s="22">
        <f t="shared" si="109"/>
        <v>52715.699689802081</v>
      </c>
      <c r="M302" s="22">
        <f t="shared" si="109"/>
        <v>0</v>
      </c>
      <c r="N302" s="45"/>
      <c r="O302" s="74" t="s">
        <v>90</v>
      </c>
    </row>
    <row r="303" spans="1:15">
      <c r="C303" s="74" t="s">
        <v>98</v>
      </c>
      <c r="D303" s="29"/>
      <c r="F303" s="57"/>
      <c r="G303" s="31"/>
      <c r="H303" s="56">
        <f t="shared" ref="H303:M303" si="110">H302/H72</f>
        <v>12155.017139174231</v>
      </c>
      <c r="I303" s="56">
        <f t="shared" si="110"/>
        <v>47998.59868348328</v>
      </c>
      <c r="J303" s="56">
        <f t="shared" si="110"/>
        <v>48954.686684876593</v>
      </c>
      <c r="K303" s="56">
        <f t="shared" si="110"/>
        <v>50055.27014462174</v>
      </c>
      <c r="L303" s="143">
        <f t="shared" si="110"/>
        <v>51203.871943029626</v>
      </c>
      <c r="M303" s="143">
        <f t="shared" si="110"/>
        <v>0</v>
      </c>
      <c r="N303" s="45"/>
      <c r="O303" s="74" t="s">
        <v>92</v>
      </c>
    </row>
    <row r="304" spans="1:15">
      <c r="C304" s="74" t="s">
        <v>99</v>
      </c>
      <c r="D304" s="80"/>
      <c r="F304" s="57"/>
      <c r="G304" s="31"/>
      <c r="H304" s="22">
        <f t="shared" ref="H304:M304" si="111">H302/(1+WACC)^H$297</f>
        <v>11962.389487442992</v>
      </c>
      <c r="I304" s="22">
        <f t="shared" si="111"/>
        <v>45176.047487650285</v>
      </c>
      <c r="J304" s="22">
        <f t="shared" si="111"/>
        <v>42885.250243483606</v>
      </c>
      <c r="K304" s="22">
        <f t="shared" si="111"/>
        <v>40812.90263666238</v>
      </c>
      <c r="L304" s="22">
        <f t="shared" si="111"/>
        <v>38858.360826340228</v>
      </c>
      <c r="M304" s="22">
        <f t="shared" si="111"/>
        <v>0</v>
      </c>
      <c r="N304" s="45"/>
      <c r="O304" s="74" t="s">
        <v>137</v>
      </c>
    </row>
    <row r="305" spans="3:15">
      <c r="C305" s="74" t="s">
        <v>100</v>
      </c>
      <c r="D305" s="29">
        <f>SUM(H304:M304)</f>
        <v>179694.95068157947</v>
      </c>
      <c r="F305" s="57"/>
      <c r="G305" s="31"/>
      <c r="H305" s="22"/>
      <c r="I305" s="22"/>
      <c r="J305" s="22"/>
      <c r="K305" s="22"/>
      <c r="L305" s="22"/>
      <c r="M305" s="22"/>
      <c r="N305" s="45"/>
      <c r="O305" s="74" t="s">
        <v>93</v>
      </c>
    </row>
    <row r="306" spans="3:15">
      <c r="C306" s="74" t="s">
        <v>91</v>
      </c>
      <c r="D306" s="68">
        <f>D295-D305</f>
        <v>0</v>
      </c>
      <c r="E306" s="56"/>
      <c r="F306" s="57"/>
      <c r="G306" s="31"/>
      <c r="H306" s="22"/>
      <c r="I306" s="22"/>
      <c r="J306" s="22"/>
      <c r="K306" s="22"/>
      <c r="L306" s="22"/>
      <c r="M306" s="22"/>
      <c r="N306" s="45"/>
    </row>
    <row r="307" spans="3:15">
      <c r="C307" s="74" t="s">
        <v>151</v>
      </c>
      <c r="F307" s="57"/>
      <c r="G307" s="31"/>
      <c r="H307" s="22"/>
      <c r="I307" s="22"/>
      <c r="J307" s="22"/>
      <c r="K307" s="22"/>
      <c r="L307" s="22"/>
      <c r="M307" s="22"/>
      <c r="N307" s="45"/>
    </row>
    <row r="308" spans="3:15">
      <c r="D308" s="46"/>
      <c r="F308" s="54"/>
      <c r="N308" s="45"/>
    </row>
    <row r="309" spans="3:15" ht="21">
      <c r="C309" s="3" t="s">
        <v>96</v>
      </c>
      <c r="D309" s="66"/>
      <c r="F309" s="56"/>
      <c r="G309" s="22"/>
      <c r="H309" s="22"/>
      <c r="I309" s="22"/>
      <c r="J309" s="22"/>
      <c r="K309" s="22"/>
      <c r="L309" s="22"/>
      <c r="M309" s="22"/>
      <c r="N309" s="45"/>
    </row>
    <row r="310" spans="3:15" ht="15" customHeight="1">
      <c r="C310" s="81" t="str">
        <f>IF($G$1=4,"Estimation of revenue in year-ending 30-6-2012","Estimation of revenue in year-ending 30-9-2011")</f>
        <v>Estimation of revenue in year-ending 30-9-2011</v>
      </c>
      <c r="D310" s="22"/>
      <c r="E310" s="22"/>
      <c r="F310" s="56"/>
      <c r="G310" s="22"/>
      <c r="H310" s="22"/>
      <c r="I310" s="22"/>
      <c r="J310" s="22"/>
      <c r="K310" s="22"/>
      <c r="L310" s="22"/>
      <c r="M310" s="22"/>
      <c r="N310" s="45"/>
    </row>
    <row r="311" spans="3:15" ht="15" customHeight="1">
      <c r="C311" s="74" t="str">
        <f>IF($G$1=4,"Price increase on 1 July 2011","Price increase on 1 October 2010")</f>
        <v>Price increase on 1 October 2010</v>
      </c>
      <c r="D311" s="59">
        <f>IF($G$1=4,G59,F60)</f>
        <v>1.890315052508762E-2</v>
      </c>
      <c r="F311" s="56"/>
      <c r="G311" s="22"/>
      <c r="H311" s="22"/>
      <c r="I311" s="22"/>
      <c r="J311" s="22"/>
      <c r="K311" s="22"/>
      <c r="L311" s="22"/>
      <c r="M311" s="22"/>
      <c r="N311" s="45"/>
    </row>
    <row r="312" spans="3:15" ht="15" customHeight="1">
      <c r="C312" s="74" t="str">
        <f>IF($G$1=4,"Constant price revenue growth to Y/E 30-6-2012","Constant price revenue growth to Y/E 30-9-2011")</f>
        <v>Constant price revenue growth to Y/E 30-9-2011</v>
      </c>
      <c r="D312" s="208">
        <f>IF($G$1=4,0,F49)</f>
        <v>-3.2675400412756954E-2</v>
      </c>
      <c r="E312" s="80"/>
      <c r="F312" s="209"/>
      <c r="G312" s="46"/>
      <c r="H312" s="46"/>
      <c r="I312" s="46"/>
      <c r="J312" s="46"/>
      <c r="K312" s="46"/>
      <c r="L312" s="46"/>
      <c r="M312" s="46"/>
      <c r="N312" s="45"/>
    </row>
    <row r="313" spans="3:15" ht="15" customHeight="1">
      <c r="C313" s="56"/>
      <c r="D313" s="209"/>
      <c r="E313" s="209"/>
      <c r="F313" s="209"/>
      <c r="G313" s="46"/>
      <c r="H313" s="46"/>
      <c r="I313" s="46"/>
      <c r="J313" s="46"/>
      <c r="K313" s="46"/>
      <c r="L313" s="46"/>
      <c r="M313" s="46"/>
      <c r="N313" s="45"/>
    </row>
    <row r="314" spans="3:15" ht="15" customHeight="1">
      <c r="C314" s="74" t="str">
        <f>IF($G$1=4,"Revenue growth to Y/E 30-6-2012","Revenue growth to Y/E 30-9-2011")</f>
        <v>Revenue growth to Y/E 30-9-2011</v>
      </c>
      <c r="D314" s="208">
        <f>(1+D311)*(1+D312)-1</f>
        <v>-1.4389917900139215E-2</v>
      </c>
      <c r="E314" s="80"/>
      <c r="F314" s="209"/>
      <c r="G314" s="46"/>
      <c r="H314" s="46"/>
      <c r="I314" s="46"/>
      <c r="J314" s="46"/>
      <c r="K314" s="46"/>
      <c r="L314" s="46"/>
      <c r="M314" s="46"/>
      <c r="N314" s="45"/>
    </row>
    <row r="315" spans="3:15" ht="15" customHeight="1">
      <c r="C315" s="74" t="str">
        <f>IF($G$1=4,"Proportion of BB Y/E 31-12-11 in AR Y/E 30-6-11","Proportion of BB Y/E 30-6-11 in AR Y/E 30-9-10")</f>
        <v>Proportion of BB Y/E 30-6-11 in AR Y/E 30-9-10</v>
      </c>
      <c r="D315" s="210">
        <f>IF($G$1=4,0.5,0.25)</f>
        <v>0.25</v>
      </c>
      <c r="E315" s="80"/>
      <c r="F315" s="209"/>
      <c r="G315" s="46"/>
      <c r="H315" s="46"/>
      <c r="I315" s="46"/>
      <c r="J315" s="46"/>
      <c r="K315" s="46"/>
      <c r="L315" s="46"/>
      <c r="M315" s="46"/>
      <c r="N315" s="45"/>
    </row>
    <row r="316" spans="3:15" ht="15" customHeight="1">
      <c r="C316" s="74" t="str">
        <f>IF($G$1=4,"Net revenue in information year ending 31-12-11","Net revenue in information year ending 30-6-11")</f>
        <v>Net revenue in information year ending 30-6-11</v>
      </c>
      <c r="D316" s="209">
        <f>F$23-F$24-F$25</f>
        <v>42895.270364999997</v>
      </c>
      <c r="E316" s="80"/>
      <c r="F316" s="209"/>
      <c r="G316" s="46"/>
      <c r="H316" s="46"/>
      <c r="I316" s="46"/>
      <c r="J316" s="46"/>
      <c r="K316" s="46"/>
      <c r="L316" s="46"/>
      <c r="M316" s="46"/>
      <c r="N316" s="45"/>
    </row>
    <row r="317" spans="3:15" ht="15" customHeight="1">
      <c r="C317" s="74" t="str">
        <f>IF($G$1=4,"Estimated income in Y/E 30-6-2011","Estimated income in Y/E 30-9-2010")</f>
        <v>Estimated income in Y/E 30-9-2010</v>
      </c>
      <c r="D317" s="211">
        <f>D316/(1+D314*(1-D315))</f>
        <v>43363.265740414863</v>
      </c>
      <c r="E317" s="80"/>
      <c r="F317" s="209"/>
      <c r="G317" s="46"/>
      <c r="H317" s="46"/>
      <c r="I317" s="46"/>
      <c r="J317" s="46"/>
      <c r="K317" s="46"/>
      <c r="L317" s="46"/>
      <c r="M317" s="46"/>
      <c r="N317" s="45"/>
    </row>
    <row r="318" spans="3:15" ht="15" customHeight="1">
      <c r="C318" s="74" t="str">
        <f>IF($G$1=4,"Estimated income in Y/E 30-6-2012","Estimated income in Y/E 30-9-2011")</f>
        <v>Estimated income in Y/E 30-9-2011</v>
      </c>
      <c r="D318" s="211">
        <f>D317*(1+D314)</f>
        <v>42739.271906528375</v>
      </c>
      <c r="E318" s="80"/>
      <c r="F318" s="209"/>
      <c r="G318" s="46"/>
      <c r="H318" s="46"/>
      <c r="I318" s="46"/>
      <c r="J318" s="46"/>
      <c r="K318" s="46"/>
      <c r="L318" s="46"/>
      <c r="M318" s="46"/>
      <c r="N318" s="45"/>
    </row>
    <row r="319" spans="3:15" ht="15" customHeight="1">
      <c r="C319" s="74" t="str">
        <f>"Check: (" &amp; TEXT(D315,"0%") &amp; " of " &amp; TEXT(D317,"0,000") &amp; " plus " &amp; TEXT(1-D315,"0%") &amp;  " of " &amp; TEXT(D318,"0,000") &amp; ") less " &amp; TEXT(D316,"0,000")</f>
        <v>Check: (25% of 43,363 plus 75% of 42,739) less 42,895</v>
      </c>
      <c r="D319" s="211">
        <f>D315*D317+(1-D315)*D318-D316</f>
        <v>0</v>
      </c>
      <c r="E319" s="80" t="s">
        <v>270</v>
      </c>
      <c r="F319" s="212"/>
      <c r="G319" s="46"/>
      <c r="H319" s="46"/>
      <c r="I319" s="46"/>
      <c r="J319" s="46"/>
      <c r="K319" s="46"/>
      <c r="L319" s="46"/>
      <c r="M319" s="46"/>
      <c r="N319" s="45"/>
    </row>
    <row r="320" spans="3:15" ht="15" customHeight="1">
      <c r="D320" s="66"/>
      <c r="E320" s="80"/>
      <c r="F320" s="209"/>
      <c r="G320" s="46"/>
      <c r="H320" s="46"/>
      <c r="I320" s="46"/>
      <c r="J320" s="46"/>
      <c r="K320" s="46"/>
      <c r="L320" s="46"/>
      <c r="M320" s="46"/>
      <c r="N320" s="45"/>
    </row>
    <row r="321" spans="1:17">
      <c r="A321" s="22"/>
      <c r="B321" s="22"/>
      <c r="C321" s="81" t="s">
        <v>232</v>
      </c>
      <c r="D321" s="46"/>
      <c r="E321" s="213" t="str">
        <f t="shared" ref="E321:M321" si="112">E$21</f>
        <v>2009/10</v>
      </c>
      <c r="F321" s="213" t="str">
        <f t="shared" si="112"/>
        <v>2010/11</v>
      </c>
      <c r="G321" s="213" t="str">
        <f t="shared" si="112"/>
        <v>2011/12</v>
      </c>
      <c r="H321" s="213" t="str">
        <f t="shared" si="112"/>
        <v>2012/13</v>
      </c>
      <c r="I321" s="213" t="str">
        <f t="shared" si="112"/>
        <v>2013/14</v>
      </c>
      <c r="J321" s="213" t="str">
        <f t="shared" si="112"/>
        <v>2014/15</v>
      </c>
      <c r="K321" s="213" t="str">
        <f t="shared" si="112"/>
        <v>2015/16</v>
      </c>
      <c r="L321" s="213" t="str">
        <f t="shared" si="112"/>
        <v>2016/17</v>
      </c>
      <c r="M321" s="213" t="str">
        <f t="shared" si="112"/>
        <v>2017/18</v>
      </c>
      <c r="N321" s="45"/>
    </row>
    <row r="322" spans="1:17">
      <c r="A322" s="22"/>
      <c r="B322" s="22"/>
      <c r="C322" s="74" t="s">
        <v>297</v>
      </c>
      <c r="D322" s="46"/>
      <c r="E322" s="198"/>
      <c r="F322" s="208"/>
      <c r="G322" s="208">
        <f t="shared" ref="G322:M322" si="113">IF($G$1=4,G$59,G60)</f>
        <v>2.9088410444342738E-2</v>
      </c>
      <c r="H322" s="208">
        <f t="shared" si="113"/>
        <v>3.2940129089695125E-2</v>
      </c>
      <c r="I322" s="208">
        <f t="shared" si="113"/>
        <v>1.3574660633484115E-2</v>
      </c>
      <c r="J322" s="208">
        <f t="shared" si="113"/>
        <v>1.9119615478218499E-2</v>
      </c>
      <c r="K322" s="208">
        <f t="shared" si="113"/>
        <v>2.1680202356610057E-2</v>
      </c>
      <c r="L322" s="208">
        <f t="shared" si="113"/>
        <v>2.2144831398562603E-2</v>
      </c>
      <c r="M322" s="208">
        <f t="shared" si="113"/>
        <v>2.1072415699281422E-2</v>
      </c>
      <c r="N322" s="45"/>
    </row>
    <row r="323" spans="1:17">
      <c r="A323" s="22"/>
      <c r="B323" s="22"/>
      <c r="C323" s="74" t="s">
        <v>150</v>
      </c>
      <c r="D323" s="46"/>
      <c r="E323" s="214"/>
      <c r="F323" s="208"/>
      <c r="G323" s="208">
        <f>G49</f>
        <v>7.8446735614526504E-4</v>
      </c>
      <c r="H323" s="208">
        <f t="shared" ref="H323:M323" si="114">H49</f>
        <v>7.8446735614526504E-4</v>
      </c>
      <c r="I323" s="208">
        <f t="shared" si="114"/>
        <v>7.8446735614526504E-4</v>
      </c>
      <c r="J323" s="208">
        <f t="shared" si="114"/>
        <v>7.8446735614526504E-4</v>
      </c>
      <c r="K323" s="208">
        <f t="shared" si="114"/>
        <v>7.8446735614526504E-4</v>
      </c>
      <c r="L323" s="208">
        <f t="shared" si="114"/>
        <v>7.8446735614526504E-4</v>
      </c>
      <c r="M323" s="208">
        <f t="shared" si="114"/>
        <v>7.8446735614526504E-4</v>
      </c>
      <c r="N323" s="59"/>
      <c r="O323" s="59"/>
      <c r="P323" s="59"/>
    </row>
    <row r="324" spans="1:17">
      <c r="A324" s="22"/>
      <c r="B324" s="22"/>
      <c r="C324" s="80" t="s">
        <v>236</v>
      </c>
      <c r="D324" s="80"/>
      <c r="E324" s="80"/>
      <c r="F324" s="185">
        <f>IF($G$1=4,D317,D318)</f>
        <v>42739.271906528375</v>
      </c>
      <c r="G324" s="209">
        <f>F324*(1+G322)*IF($G$1=4,1,(1+G323))</f>
        <v>44016.992217006169</v>
      </c>
      <c r="H324" s="209">
        <f t="shared" ref="H324:M324" si="115">G324*(1+H322)*IF($G$1=4,1,(1+H323))</f>
        <v>45502.584935434075</v>
      </c>
      <c r="I324" s="209">
        <f t="shared" si="115"/>
        <v>46156.446927862882</v>
      </c>
      <c r="J324" s="209">
        <f t="shared" si="115"/>
        <v>47075.840958211156</v>
      </c>
      <c r="K324" s="209">
        <f t="shared" si="115"/>
        <v>48134.184814964014</v>
      </c>
      <c r="L324" s="209">
        <f t="shared" si="115"/>
        <v>49238.704101017771</v>
      </c>
      <c r="M324" s="209">
        <f t="shared" si="115"/>
        <v>50315.722644771122</v>
      </c>
      <c r="N324" s="45"/>
      <c r="O324" s="80"/>
    </row>
    <row r="325" spans="1:17">
      <c r="A325" s="22"/>
      <c r="B325" s="22"/>
      <c r="C325" s="87"/>
      <c r="D325" s="87"/>
      <c r="E325" s="87"/>
      <c r="F325" s="87"/>
      <c r="G325" s="209"/>
      <c r="H325" s="209"/>
      <c r="I325" s="209"/>
      <c r="J325" s="209"/>
      <c r="K325" s="209"/>
      <c r="L325" s="209"/>
      <c r="M325" s="209"/>
      <c r="N325" s="45"/>
      <c r="O325" s="80"/>
    </row>
    <row r="326" spans="1:17">
      <c r="A326" s="22"/>
      <c r="B326" s="22"/>
      <c r="C326" s="74" t="s">
        <v>202</v>
      </c>
      <c r="D326" s="46">
        <f>I324</f>
        <v>46156.446927862882</v>
      </c>
      <c r="F326" s="56"/>
      <c r="G326" s="22"/>
      <c r="H326" s="22"/>
      <c r="I326" s="22"/>
      <c r="J326" s="22"/>
      <c r="K326" s="22"/>
      <c r="L326" s="22"/>
      <c r="M326" s="22"/>
      <c r="N326" s="45"/>
      <c r="O326" s="80"/>
    </row>
    <row r="327" spans="1:17">
      <c r="B327" s="22"/>
      <c r="C327" s="74" t="s">
        <v>201</v>
      </c>
      <c r="D327" s="46">
        <f>I303</f>
        <v>47998.59868348328</v>
      </c>
      <c r="F327" s="89"/>
      <c r="G327" s="22"/>
      <c r="K327" s="22"/>
      <c r="L327" s="22"/>
      <c r="M327" s="22"/>
      <c r="N327" s="45"/>
    </row>
    <row r="328" spans="1:17">
      <c r="B328" s="22"/>
      <c r="C328" s="74" t="s">
        <v>147</v>
      </c>
      <c r="D328" s="35">
        <f>(D327-D326)/D326</f>
        <v>3.9911039047253037E-2</v>
      </c>
      <c r="F328" s="56"/>
      <c r="G328" s="22"/>
      <c r="K328" s="22"/>
      <c r="L328" s="22"/>
      <c r="M328" s="22"/>
      <c r="N328" s="22"/>
      <c r="O328" s="22"/>
      <c r="P328" s="22"/>
      <c r="Q328" s="22"/>
    </row>
    <row r="329" spans="1:17">
      <c r="B329" s="22"/>
      <c r="D329" s="80"/>
      <c r="F329" s="56"/>
      <c r="G329" s="22"/>
      <c r="K329" s="22"/>
      <c r="L329" s="22"/>
      <c r="M329" s="22"/>
      <c r="N329" s="45"/>
    </row>
    <row r="330" spans="1:17">
      <c r="B330" s="22"/>
      <c r="C330" s="74" t="s">
        <v>295</v>
      </c>
      <c r="D330" s="80"/>
      <c r="F330" s="56"/>
      <c r="G330" s="22"/>
      <c r="H330" s="22">
        <f>H296*H324</f>
        <v>11375.646233858519</v>
      </c>
      <c r="I330" s="22">
        <f t="shared" ref="I330:M330" si="116">I296*I324</f>
        <v>46156.446927862882</v>
      </c>
      <c r="J330" s="22">
        <f t="shared" si="116"/>
        <v>47075.840958211156</v>
      </c>
      <c r="K330" s="22">
        <f t="shared" si="116"/>
        <v>48134.184814964014</v>
      </c>
      <c r="L330" s="22">
        <f t="shared" si="116"/>
        <v>49238.704101017771</v>
      </c>
      <c r="M330" s="22">
        <f t="shared" si="116"/>
        <v>0</v>
      </c>
      <c r="N330" s="45"/>
    </row>
    <row r="331" spans="1:17">
      <c r="C331" s="74" t="s">
        <v>296</v>
      </c>
      <c r="H331" s="22">
        <f t="shared" ref="H331:M331" si="117">H330*H72</f>
        <v>11398.033804280189</v>
      </c>
      <c r="I331" s="22">
        <f t="shared" si="117"/>
        <v>47519.246155929315</v>
      </c>
      <c r="J331" s="22">
        <f t="shared" si="117"/>
        <v>48465.785895235771</v>
      </c>
      <c r="K331" s="22">
        <f t="shared" si="117"/>
        <v>49555.378045282647</v>
      </c>
      <c r="L331" s="22">
        <f t="shared" si="117"/>
        <v>50692.508984325446</v>
      </c>
      <c r="M331" s="22">
        <f t="shared" si="117"/>
        <v>0</v>
      </c>
      <c r="N331" s="45"/>
    </row>
    <row r="332" spans="1:17">
      <c r="C332" s="74" t="s">
        <v>285</v>
      </c>
      <c r="D332" s="80"/>
      <c r="F332" s="56"/>
      <c r="G332" s="22"/>
      <c r="H332" s="22">
        <f t="shared" ref="H332:M332" si="118">H331/(1+WACC)^H297</f>
        <v>11195.369727798212</v>
      </c>
      <c r="I332" s="22">
        <f t="shared" si="118"/>
        <v>43442.223220401364</v>
      </c>
      <c r="J332" s="22">
        <f t="shared" si="118"/>
        <v>41239.345129727895</v>
      </c>
      <c r="K332" s="22">
        <f t="shared" si="118"/>
        <v>39246.532736160196</v>
      </c>
      <c r="L332" s="22">
        <f t="shared" si="118"/>
        <v>37367.004837203698</v>
      </c>
      <c r="M332" s="22">
        <f t="shared" si="118"/>
        <v>0</v>
      </c>
      <c r="N332" s="45"/>
    </row>
    <row r="333" spans="1:17">
      <c r="C333" s="74" t="s">
        <v>286</v>
      </c>
      <c r="D333" s="80"/>
      <c r="F333" s="56">
        <f>SUM(H332:M332)</f>
        <v>172490.47565129137</v>
      </c>
      <c r="G333" s="22"/>
      <c r="K333" s="22"/>
      <c r="L333" s="22"/>
      <c r="M333" s="22"/>
      <c r="N333" s="45"/>
    </row>
    <row r="334" spans="1:17">
      <c r="D334" s="80"/>
      <c r="F334" s="56"/>
      <c r="G334" s="22"/>
      <c r="K334" s="22"/>
      <c r="L334" s="22"/>
      <c r="M334" s="22"/>
      <c r="N334" s="45"/>
    </row>
    <row r="335" spans="1:17" ht="21">
      <c r="C335" s="3" t="s">
        <v>283</v>
      </c>
      <c r="D335" s="80"/>
      <c r="F335" s="56"/>
      <c r="G335" s="22"/>
      <c r="K335" s="22"/>
      <c r="L335" s="22"/>
      <c r="M335" s="22"/>
      <c r="N335" s="45"/>
    </row>
    <row r="336" spans="1:17">
      <c r="C336" s="74" t="s">
        <v>282</v>
      </c>
      <c r="D336" s="80"/>
      <c r="E336" s="22">
        <f>H303+I303</f>
        <v>60153.615822657513</v>
      </c>
      <c r="F336" s="56"/>
      <c r="G336" s="22"/>
      <c r="K336" s="22"/>
      <c r="L336" s="22"/>
      <c r="M336" s="22"/>
      <c r="N336" s="45"/>
    </row>
    <row r="337" spans="3:14" ht="30">
      <c r="C337" s="54" t="s">
        <v>287</v>
      </c>
      <c r="D337" s="80"/>
      <c r="E337" s="22">
        <f>F333-D286</f>
        <v>-7140.4750302881293</v>
      </c>
      <c r="F337" s="56"/>
      <c r="G337" s="22"/>
      <c r="K337" s="22"/>
      <c r="L337" s="22"/>
      <c r="M337" s="22"/>
      <c r="N337" s="45"/>
    </row>
    <row r="338" spans="3:14">
      <c r="D338" s="80"/>
      <c r="F338" s="56"/>
      <c r="G338" s="22"/>
      <c r="K338" s="22"/>
      <c r="L338" s="22"/>
      <c r="M338" s="22"/>
      <c r="N338" s="45"/>
    </row>
    <row r="339" spans="3:14" ht="21">
      <c r="C339" s="3" t="s">
        <v>298</v>
      </c>
      <c r="D339" s="80"/>
      <c r="F339" s="56"/>
      <c r="G339" s="22"/>
      <c r="K339" s="22"/>
      <c r="L339" s="22"/>
      <c r="M339" s="22"/>
      <c r="N339" s="45"/>
    </row>
    <row r="340" spans="3:14">
      <c r="C340" s="74" t="s">
        <v>299</v>
      </c>
      <c r="D340" s="80"/>
      <c r="F340" s="56"/>
      <c r="G340" s="22"/>
      <c r="H340" s="22">
        <f>IF(H303=0,0,H303/H296)</f>
        <v>48620.068556696926</v>
      </c>
      <c r="I340" s="22">
        <f>IF(I303=0,0,I303/I296)</f>
        <v>47998.59868348328</v>
      </c>
      <c r="K340" s="22"/>
      <c r="L340" s="22"/>
      <c r="M340" s="22"/>
      <c r="N340" s="45"/>
    </row>
    <row r="341" spans="3:14">
      <c r="C341" s="74" t="s">
        <v>300</v>
      </c>
      <c r="E341" s="31">
        <f>IF(G1=4,(1+H49)*(1+I49),(1+G49)*(1+H49))</f>
        <v>1.0015695501013233</v>
      </c>
    </row>
    <row r="342" spans="3:14">
      <c r="E342" s="60"/>
    </row>
    <row r="343" spans="3:14">
      <c r="E343" s="60"/>
    </row>
    <row r="344" spans="3:14">
      <c r="E344" s="60"/>
    </row>
    <row r="345" spans="3:14">
      <c r="E345" s="60"/>
    </row>
    <row r="346" spans="3:14">
      <c r="E346" s="60"/>
    </row>
    <row r="347" spans="3:14">
      <c r="E347" s="60"/>
    </row>
    <row r="348" spans="3:14">
      <c r="E348" s="60"/>
    </row>
    <row r="349" spans="3:14">
      <c r="E349" s="60"/>
    </row>
    <row r="350" spans="3:14">
      <c r="E350" s="60"/>
    </row>
    <row r="351" spans="3:14">
      <c r="E351" s="60"/>
    </row>
    <row r="352" spans="3:14">
      <c r="E352" s="60"/>
    </row>
    <row r="353" spans="5:5">
      <c r="E353" s="60"/>
    </row>
    <row r="354" spans="5:5">
      <c r="E354" s="60"/>
    </row>
    <row r="355" spans="5:5">
      <c r="E355" s="60"/>
    </row>
    <row r="356" spans="5:5">
      <c r="E356" s="60"/>
    </row>
    <row r="357" spans="5:5">
      <c r="E357" s="60"/>
    </row>
    <row r="358" spans="5:5">
      <c r="E358" s="60"/>
    </row>
    <row r="359" spans="5:5">
      <c r="E359" s="60"/>
    </row>
    <row r="360" spans="5:5">
      <c r="E360" s="60"/>
    </row>
    <row r="361" spans="5:5">
      <c r="E361" s="60"/>
    </row>
    <row r="362" spans="5:5">
      <c r="E362" s="60"/>
    </row>
    <row r="363" spans="5:5">
      <c r="E363" s="60"/>
    </row>
    <row r="364" spans="5:5">
      <c r="E364" s="60"/>
    </row>
    <row r="365" spans="5:5">
      <c r="E365" s="60"/>
    </row>
    <row r="366" spans="5:5">
      <c r="E366" s="60"/>
    </row>
    <row r="367" spans="5:5">
      <c r="E367" s="60"/>
    </row>
    <row r="368" spans="5:5">
      <c r="E368" s="60"/>
    </row>
    <row r="369" spans="5:5">
      <c r="E369" s="60"/>
    </row>
    <row r="370" spans="5:5">
      <c r="E370" s="60"/>
    </row>
    <row r="371" spans="5:5">
      <c r="E371" s="60"/>
    </row>
    <row r="372" spans="5:5">
      <c r="E372" s="60"/>
    </row>
    <row r="373" spans="5:5">
      <c r="E373" s="60"/>
    </row>
    <row r="374" spans="5:5">
      <c r="E374" s="60"/>
    </row>
    <row r="375" spans="5:5">
      <c r="E375" s="60"/>
    </row>
    <row r="376" spans="5:5">
      <c r="E376" s="60"/>
    </row>
    <row r="377" spans="5:5">
      <c r="E377" s="60"/>
    </row>
    <row r="378" spans="5:5">
      <c r="E378" s="60"/>
    </row>
    <row r="379" spans="5:5">
      <c r="E379" s="60"/>
    </row>
    <row r="380" spans="5:5">
      <c r="E380" s="60"/>
    </row>
    <row r="381" spans="5:5">
      <c r="E381" s="60"/>
    </row>
    <row r="382" spans="5:5">
      <c r="E382" s="60"/>
    </row>
    <row r="383" spans="5:5">
      <c r="E383" s="60"/>
    </row>
    <row r="384" spans="5:5">
      <c r="E384" s="60"/>
    </row>
    <row r="385" spans="5:5">
      <c r="E385" s="60"/>
    </row>
    <row r="386" spans="5:5">
      <c r="E386" s="60"/>
    </row>
    <row r="387" spans="5:5">
      <c r="E387" s="60"/>
    </row>
    <row r="388" spans="5:5">
      <c r="E388" s="60"/>
    </row>
    <row r="389" spans="5:5">
      <c r="E389" s="60"/>
    </row>
    <row r="390" spans="5:5">
      <c r="E390" s="60"/>
    </row>
    <row r="391" spans="5:5">
      <c r="E391" s="60"/>
    </row>
    <row r="392" spans="5:5">
      <c r="E392" s="60"/>
    </row>
    <row r="393" spans="5:5">
      <c r="E393" s="60"/>
    </row>
    <row r="394" spans="5:5">
      <c r="E394" s="60"/>
    </row>
    <row r="395" spans="5:5">
      <c r="E395" s="60"/>
    </row>
    <row r="396" spans="5:5">
      <c r="E396" s="60"/>
    </row>
    <row r="397" spans="5:5">
      <c r="E397" s="60"/>
    </row>
    <row r="398" spans="5:5">
      <c r="E398" s="60"/>
    </row>
    <row r="399" spans="5:5">
      <c r="E399" s="60"/>
    </row>
    <row r="400" spans="5:5">
      <c r="E400" s="60"/>
    </row>
    <row r="401" spans="5:5">
      <c r="E401" s="60"/>
    </row>
    <row r="402" spans="5:5">
      <c r="E402" s="60"/>
    </row>
    <row r="403" spans="5:5">
      <c r="E403" s="60"/>
    </row>
    <row r="404" spans="5:5">
      <c r="E404" s="60"/>
    </row>
    <row r="405" spans="5:5">
      <c r="E405" s="60"/>
    </row>
    <row r="406" spans="5:5">
      <c r="E406" s="60"/>
    </row>
    <row r="407" spans="5:5">
      <c r="E407" s="60"/>
    </row>
    <row r="408" spans="5:5">
      <c r="E408" s="60"/>
    </row>
    <row r="409" spans="5:5">
      <c r="E409" s="60"/>
    </row>
    <row r="410" spans="5:5">
      <c r="E410" s="60"/>
    </row>
    <row r="411" spans="5:5">
      <c r="E411" s="60"/>
    </row>
    <row r="412" spans="5:5">
      <c r="E412" s="60"/>
    </row>
    <row r="413" spans="5:5">
      <c r="E413" s="60"/>
    </row>
    <row r="414" spans="5:5">
      <c r="E414" s="60"/>
    </row>
    <row r="415" spans="5:5">
      <c r="E415" s="60"/>
    </row>
    <row r="416" spans="5:5">
      <c r="E416" s="60"/>
    </row>
    <row r="417" spans="5:5">
      <c r="E417" s="60"/>
    </row>
    <row r="418" spans="5:5">
      <c r="E418" s="60"/>
    </row>
    <row r="419" spans="5:5">
      <c r="E419" s="60"/>
    </row>
    <row r="420" spans="5:5">
      <c r="E420" s="60"/>
    </row>
    <row r="421" spans="5:5">
      <c r="E421" s="60"/>
    </row>
    <row r="422" spans="5:5">
      <c r="E422" s="60"/>
    </row>
    <row r="423" spans="5:5">
      <c r="E423" s="60"/>
    </row>
    <row r="424" spans="5:5">
      <c r="E424" s="60"/>
    </row>
    <row r="425" spans="5:5">
      <c r="E425" s="60"/>
    </row>
    <row r="426" spans="5:5">
      <c r="E426" s="60"/>
    </row>
    <row r="427" spans="5:5">
      <c r="E427" s="60"/>
    </row>
    <row r="428" spans="5:5">
      <c r="E428" s="60"/>
    </row>
    <row r="429" spans="5:5">
      <c r="E429" s="60"/>
    </row>
    <row r="430" spans="5:5">
      <c r="E430" s="60"/>
    </row>
    <row r="431" spans="5:5">
      <c r="E431" s="60"/>
    </row>
    <row r="432" spans="5:5">
      <c r="E432" s="60"/>
    </row>
    <row r="433" spans="5:5">
      <c r="E433" s="60"/>
    </row>
    <row r="434" spans="5:5">
      <c r="E434" s="60"/>
    </row>
    <row r="435" spans="5:5">
      <c r="E435" s="60"/>
    </row>
    <row r="436" spans="5:5">
      <c r="E436" s="60"/>
    </row>
    <row r="437" spans="5:5">
      <c r="E437" s="60"/>
    </row>
    <row r="438" spans="5:5">
      <c r="E438" s="60"/>
    </row>
    <row r="439" spans="5:5">
      <c r="E439" s="60"/>
    </row>
    <row r="440" spans="5:5">
      <c r="E440" s="60"/>
    </row>
    <row r="441" spans="5:5">
      <c r="E441" s="60"/>
    </row>
    <row r="442" spans="5:5">
      <c r="E442" s="60"/>
    </row>
    <row r="443" spans="5:5">
      <c r="E443" s="60"/>
    </row>
    <row r="444" spans="5:5">
      <c r="E444" s="60"/>
    </row>
    <row r="445" spans="5:5">
      <c r="E445" s="60"/>
    </row>
    <row r="446" spans="5:5">
      <c r="E446" s="60"/>
    </row>
    <row r="447" spans="5:5">
      <c r="E447" s="60"/>
    </row>
    <row r="448" spans="5:5">
      <c r="E448" s="60"/>
    </row>
    <row r="449" spans="5:5">
      <c r="E449" s="60"/>
    </row>
    <row r="450" spans="5:5">
      <c r="E450" s="60"/>
    </row>
    <row r="451" spans="5:5">
      <c r="E451" s="60"/>
    </row>
    <row r="452" spans="5:5">
      <c r="E452" s="60"/>
    </row>
    <row r="453" spans="5:5">
      <c r="E453" s="60"/>
    </row>
    <row r="454" spans="5:5">
      <c r="E454" s="60"/>
    </row>
    <row r="455" spans="5:5">
      <c r="E455" s="60"/>
    </row>
    <row r="456" spans="5:5">
      <c r="E456" s="60"/>
    </row>
    <row r="457" spans="5:5">
      <c r="E457" s="60"/>
    </row>
    <row r="458" spans="5:5">
      <c r="E458" s="60"/>
    </row>
    <row r="459" spans="5:5">
      <c r="E459" s="60"/>
    </row>
    <row r="460" spans="5:5">
      <c r="E460" s="60"/>
    </row>
    <row r="461" spans="5:5">
      <c r="E461" s="60"/>
    </row>
    <row r="462" spans="5:5">
      <c r="E462" s="60"/>
    </row>
    <row r="463" spans="5:5">
      <c r="E463" s="60"/>
    </row>
    <row r="464" spans="5:5">
      <c r="E464" s="60"/>
    </row>
    <row r="465" spans="5:5">
      <c r="E465" s="60"/>
    </row>
    <row r="466" spans="5:5">
      <c r="E466" s="60"/>
    </row>
    <row r="467" spans="5:5">
      <c r="E467" s="60"/>
    </row>
    <row r="468" spans="5:5">
      <c r="E468" s="60"/>
    </row>
    <row r="469" spans="5:5">
      <c r="E469" s="60"/>
    </row>
    <row r="470" spans="5:5">
      <c r="E470" s="60"/>
    </row>
    <row r="471" spans="5:5">
      <c r="E471" s="60"/>
    </row>
    <row r="472" spans="5:5">
      <c r="E472" s="60"/>
    </row>
    <row r="473" spans="5:5">
      <c r="E473" s="60"/>
    </row>
    <row r="474" spans="5:5">
      <c r="E474" s="60"/>
    </row>
    <row r="475" spans="5:5">
      <c r="E475" s="60"/>
    </row>
    <row r="476" spans="5:5">
      <c r="E476" s="60"/>
    </row>
    <row r="477" spans="5:5">
      <c r="E477" s="60"/>
    </row>
    <row r="478" spans="5:5">
      <c r="E478" s="60"/>
    </row>
    <row r="479" spans="5:5">
      <c r="E479" s="60"/>
    </row>
    <row r="480" spans="5:5">
      <c r="E480" s="60"/>
    </row>
    <row r="481" spans="5:5">
      <c r="E481" s="60"/>
    </row>
    <row r="482" spans="5:5">
      <c r="E482" s="60"/>
    </row>
    <row r="483" spans="5:5">
      <c r="E483" s="60"/>
    </row>
    <row r="484" spans="5:5">
      <c r="E484" s="60"/>
    </row>
    <row r="485" spans="5:5">
      <c r="E485" s="60"/>
    </row>
    <row r="486" spans="5:5">
      <c r="E486" s="60"/>
    </row>
    <row r="487" spans="5:5">
      <c r="E487" s="60"/>
    </row>
    <row r="488" spans="5:5">
      <c r="E488" s="60"/>
    </row>
    <row r="489" spans="5:5">
      <c r="E489" s="60"/>
    </row>
    <row r="490" spans="5:5">
      <c r="E490" s="60"/>
    </row>
    <row r="491" spans="5:5">
      <c r="E491" s="60"/>
    </row>
    <row r="492" spans="5:5">
      <c r="E492" s="60"/>
    </row>
    <row r="493" spans="5:5">
      <c r="E493" s="60"/>
    </row>
    <row r="494" spans="5:5">
      <c r="E494" s="60"/>
    </row>
    <row r="495" spans="5:5">
      <c r="E495" s="60"/>
    </row>
    <row r="496" spans="5:5">
      <c r="E496" s="60"/>
    </row>
    <row r="497" spans="5:5">
      <c r="E497" s="60"/>
    </row>
    <row r="498" spans="5:5">
      <c r="E498" s="60"/>
    </row>
    <row r="499" spans="5:5">
      <c r="E499" s="60"/>
    </row>
    <row r="500" spans="5:5">
      <c r="E500" s="60"/>
    </row>
    <row r="501" spans="5:5">
      <c r="E501" s="60"/>
    </row>
    <row r="502" spans="5:5">
      <c r="E502" s="60"/>
    </row>
    <row r="503" spans="5:5">
      <c r="E503" s="60"/>
    </row>
    <row r="504" spans="5:5">
      <c r="E504" s="60"/>
    </row>
    <row r="505" spans="5:5">
      <c r="E505" s="60"/>
    </row>
    <row r="506" spans="5:5">
      <c r="E506" s="60"/>
    </row>
    <row r="507" spans="5:5">
      <c r="E507" s="60"/>
    </row>
    <row r="508" spans="5:5">
      <c r="E508" s="60"/>
    </row>
    <row r="509" spans="5:5">
      <c r="E509" s="60"/>
    </row>
    <row r="510" spans="5:5">
      <c r="E510" s="60"/>
    </row>
    <row r="511" spans="5:5">
      <c r="E511" s="60"/>
    </row>
    <row r="512" spans="5:5">
      <c r="E512" s="60"/>
    </row>
    <row r="513" spans="5:5">
      <c r="E513" s="60"/>
    </row>
    <row r="514" spans="5:5">
      <c r="E514" s="60"/>
    </row>
    <row r="515" spans="5:5">
      <c r="E515" s="60"/>
    </row>
    <row r="516" spans="5:5">
      <c r="E516" s="60"/>
    </row>
    <row r="517" spans="5:5">
      <c r="E517" s="60"/>
    </row>
    <row r="518" spans="5:5">
      <c r="E518" s="60"/>
    </row>
    <row r="519" spans="5:5">
      <c r="E519" s="60"/>
    </row>
    <row r="520" spans="5:5">
      <c r="E520" s="60"/>
    </row>
    <row r="521" spans="5:5">
      <c r="E521" s="60"/>
    </row>
    <row r="522" spans="5:5">
      <c r="E522" s="60"/>
    </row>
    <row r="523" spans="5:5">
      <c r="E523" s="60"/>
    </row>
    <row r="524" spans="5:5">
      <c r="E524" s="60"/>
    </row>
    <row r="525" spans="5:5">
      <c r="E525" s="60"/>
    </row>
    <row r="526" spans="5:5">
      <c r="E526" s="60"/>
    </row>
    <row r="527" spans="5:5">
      <c r="E527" s="60"/>
    </row>
    <row r="528" spans="5:5">
      <c r="E528" s="60"/>
    </row>
    <row r="529" spans="5:5">
      <c r="E529" s="60"/>
    </row>
    <row r="530" spans="5:5">
      <c r="E530" s="60"/>
    </row>
    <row r="531" spans="5:5">
      <c r="E531" s="60"/>
    </row>
    <row r="532" spans="5:5">
      <c r="E532" s="60"/>
    </row>
    <row r="533" spans="5:5">
      <c r="E533" s="60"/>
    </row>
    <row r="534" spans="5:5">
      <c r="E534" s="60"/>
    </row>
    <row r="535" spans="5:5">
      <c r="E535" s="60"/>
    </row>
    <row r="536" spans="5:5">
      <c r="E536" s="60"/>
    </row>
    <row r="537" spans="5:5">
      <c r="E537" s="60"/>
    </row>
    <row r="538" spans="5:5">
      <c r="E538" s="60"/>
    </row>
    <row r="539" spans="5:5">
      <c r="E539" s="60"/>
    </row>
    <row r="540" spans="5:5">
      <c r="E540" s="60"/>
    </row>
    <row r="541" spans="5:5">
      <c r="E541" s="60"/>
    </row>
    <row r="542" spans="5:5">
      <c r="E542" s="60"/>
    </row>
    <row r="543" spans="5:5">
      <c r="E543" s="60"/>
    </row>
    <row r="544" spans="5:5">
      <c r="E544" s="60"/>
    </row>
    <row r="545" spans="5:5">
      <c r="E545" s="60"/>
    </row>
    <row r="546" spans="5:5">
      <c r="E546" s="60"/>
    </row>
    <row r="547" spans="5:5">
      <c r="E547" s="60"/>
    </row>
    <row r="548" spans="5:5">
      <c r="E548" s="60"/>
    </row>
    <row r="549" spans="5:5">
      <c r="E549" s="60"/>
    </row>
    <row r="550" spans="5:5">
      <c r="E550" s="60"/>
    </row>
    <row r="551" spans="5:5">
      <c r="E551" s="60"/>
    </row>
    <row r="552" spans="5:5">
      <c r="E552" s="60"/>
    </row>
    <row r="553" spans="5:5">
      <c r="E553" s="60"/>
    </row>
    <row r="554" spans="5:5">
      <c r="E554" s="60"/>
    </row>
    <row r="555" spans="5:5">
      <c r="E555" s="60"/>
    </row>
    <row r="556" spans="5:5">
      <c r="E556" s="60"/>
    </row>
    <row r="557" spans="5:5">
      <c r="E557" s="60"/>
    </row>
    <row r="558" spans="5:5">
      <c r="E558" s="60"/>
    </row>
    <row r="559" spans="5:5">
      <c r="E559" s="60"/>
    </row>
    <row r="560" spans="5:5">
      <c r="E560" s="60"/>
    </row>
    <row r="561" spans="5:5">
      <c r="E561" s="60"/>
    </row>
    <row r="562" spans="5:5">
      <c r="E562" s="60"/>
    </row>
    <row r="563" spans="5:5">
      <c r="E563" s="60"/>
    </row>
    <row r="564" spans="5:5">
      <c r="E564" s="60"/>
    </row>
    <row r="565" spans="5:5">
      <c r="E565" s="60"/>
    </row>
    <row r="566" spans="5:5">
      <c r="E566" s="60"/>
    </row>
    <row r="567" spans="5:5">
      <c r="E567" s="60"/>
    </row>
    <row r="568" spans="5:5">
      <c r="E568" s="60"/>
    </row>
    <row r="569" spans="5:5">
      <c r="E569" s="60"/>
    </row>
    <row r="570" spans="5:5">
      <c r="E570" s="60"/>
    </row>
    <row r="571" spans="5:5">
      <c r="E571" s="60"/>
    </row>
    <row r="572" spans="5:5">
      <c r="E572" s="60"/>
    </row>
    <row r="573" spans="5:5">
      <c r="E573" s="60"/>
    </row>
    <row r="574" spans="5:5">
      <c r="E574" s="60"/>
    </row>
    <row r="575" spans="5:5">
      <c r="E575" s="60"/>
    </row>
    <row r="576" spans="5:5">
      <c r="E576" s="60"/>
    </row>
    <row r="577" spans="5:5">
      <c r="E577" s="60"/>
    </row>
    <row r="578" spans="5:5">
      <c r="E578" s="60"/>
    </row>
    <row r="579" spans="5:5">
      <c r="E579" s="60"/>
    </row>
    <row r="580" spans="5:5">
      <c r="E580" s="60"/>
    </row>
    <row r="581" spans="5:5">
      <c r="E581" s="60"/>
    </row>
    <row r="582" spans="5:5">
      <c r="E582" s="60"/>
    </row>
    <row r="583" spans="5:5">
      <c r="E583" s="60"/>
    </row>
    <row r="584" spans="5:5">
      <c r="E584" s="60"/>
    </row>
    <row r="585" spans="5:5">
      <c r="E585" s="60"/>
    </row>
    <row r="586" spans="5:5">
      <c r="E586" s="60"/>
    </row>
    <row r="587" spans="5:5">
      <c r="E587" s="60"/>
    </row>
    <row r="588" spans="5:5">
      <c r="E588" s="60"/>
    </row>
    <row r="589" spans="5:5">
      <c r="E589" s="60"/>
    </row>
    <row r="590" spans="5:5">
      <c r="E590" s="60"/>
    </row>
    <row r="591" spans="5:5">
      <c r="E591" s="60"/>
    </row>
    <row r="592" spans="5:5">
      <c r="E592" s="60"/>
    </row>
    <row r="593" spans="5:5">
      <c r="E593" s="60"/>
    </row>
    <row r="594" spans="5:5">
      <c r="E594" s="60"/>
    </row>
    <row r="595" spans="5:5">
      <c r="E595" s="60"/>
    </row>
    <row r="596" spans="5:5">
      <c r="E596" s="60"/>
    </row>
    <row r="597" spans="5:5">
      <c r="E597" s="60"/>
    </row>
    <row r="598" spans="5:5">
      <c r="E598" s="60"/>
    </row>
    <row r="599" spans="5:5">
      <c r="E599" s="60"/>
    </row>
    <row r="600" spans="5:5">
      <c r="E600" s="60"/>
    </row>
    <row r="601" spans="5:5">
      <c r="E601" s="60"/>
    </row>
    <row r="602" spans="5:5">
      <c r="E602" s="60"/>
    </row>
    <row r="603" spans="5:5">
      <c r="E603" s="60"/>
    </row>
    <row r="604" spans="5:5">
      <c r="E604" s="60"/>
    </row>
    <row r="605" spans="5:5">
      <c r="E605" s="60"/>
    </row>
    <row r="606" spans="5:5">
      <c r="E606" s="60"/>
    </row>
    <row r="607" spans="5:5">
      <c r="E607" s="60"/>
    </row>
    <row r="608" spans="5:5">
      <c r="E608" s="60"/>
    </row>
    <row r="609" spans="5:5">
      <c r="E609" s="60"/>
    </row>
    <row r="610" spans="5:5">
      <c r="E610" s="60"/>
    </row>
    <row r="611" spans="5:5">
      <c r="E611" s="60"/>
    </row>
    <row r="612" spans="5:5">
      <c r="E612" s="60"/>
    </row>
    <row r="613" spans="5:5">
      <c r="E613" s="60"/>
    </row>
    <row r="614" spans="5:5">
      <c r="E614" s="60"/>
    </row>
    <row r="615" spans="5:5">
      <c r="E615" s="60"/>
    </row>
    <row r="616" spans="5:5">
      <c r="E616" s="60"/>
    </row>
    <row r="617" spans="5:5">
      <c r="E617" s="60"/>
    </row>
    <row r="618" spans="5:5">
      <c r="E618" s="60"/>
    </row>
    <row r="619" spans="5:5">
      <c r="E619" s="60"/>
    </row>
    <row r="620" spans="5:5">
      <c r="E620" s="60"/>
    </row>
    <row r="621" spans="5:5">
      <c r="E621" s="60"/>
    </row>
    <row r="622" spans="5:5">
      <c r="E622" s="60"/>
    </row>
    <row r="623" spans="5:5">
      <c r="E623" s="60"/>
    </row>
    <row r="624" spans="5:5">
      <c r="E624" s="60"/>
    </row>
    <row r="625" spans="5:5">
      <c r="E625" s="60"/>
    </row>
    <row r="626" spans="5:5">
      <c r="E626" s="60"/>
    </row>
    <row r="627" spans="5:5">
      <c r="E627" s="60"/>
    </row>
    <row r="628" spans="5:5">
      <c r="E628" s="60"/>
    </row>
    <row r="629" spans="5:5">
      <c r="E629" s="60"/>
    </row>
    <row r="630" spans="5:5">
      <c r="E630" s="60"/>
    </row>
    <row r="631" spans="5:5">
      <c r="E631" s="60"/>
    </row>
    <row r="632" spans="5:5">
      <c r="E632" s="60"/>
    </row>
    <row r="633" spans="5:5">
      <c r="E633" s="60"/>
    </row>
    <row r="634" spans="5:5">
      <c r="E634" s="60"/>
    </row>
    <row r="635" spans="5:5">
      <c r="E635" s="60"/>
    </row>
    <row r="636" spans="5:5">
      <c r="E636" s="60"/>
    </row>
    <row r="637" spans="5:5">
      <c r="E637" s="60"/>
    </row>
    <row r="638" spans="5:5">
      <c r="E638" s="60"/>
    </row>
    <row r="639" spans="5:5">
      <c r="E639" s="60"/>
    </row>
    <row r="640" spans="5:5">
      <c r="E640" s="60"/>
    </row>
    <row r="641" spans="5:5">
      <c r="E641" s="60"/>
    </row>
    <row r="642" spans="5:5">
      <c r="E642" s="60"/>
    </row>
    <row r="643" spans="5:5">
      <c r="E643" s="60"/>
    </row>
    <row r="644" spans="5:5">
      <c r="E644" s="60"/>
    </row>
    <row r="645" spans="5:5">
      <c r="E645" s="60"/>
    </row>
    <row r="646" spans="5:5">
      <c r="E646" s="60"/>
    </row>
    <row r="647" spans="5:5">
      <c r="E647" s="60"/>
    </row>
    <row r="648" spans="5:5">
      <c r="E648" s="60"/>
    </row>
    <row r="649" spans="5:5">
      <c r="E649" s="60"/>
    </row>
    <row r="650" spans="5:5">
      <c r="E650" s="60"/>
    </row>
    <row r="651" spans="5:5">
      <c r="E651" s="60"/>
    </row>
    <row r="652" spans="5:5">
      <c r="E652" s="60"/>
    </row>
    <row r="653" spans="5:5">
      <c r="E653" s="60"/>
    </row>
    <row r="654" spans="5:5">
      <c r="E654" s="60"/>
    </row>
    <row r="655" spans="5:5">
      <c r="E655" s="60"/>
    </row>
    <row r="656" spans="5:5">
      <c r="E656" s="60"/>
    </row>
    <row r="657" spans="5:5">
      <c r="E657" s="60"/>
    </row>
    <row r="658" spans="5:5">
      <c r="E658" s="60"/>
    </row>
    <row r="659" spans="5:5">
      <c r="E659" s="60"/>
    </row>
    <row r="660" spans="5:5">
      <c r="E660" s="60"/>
    </row>
    <row r="661" spans="5:5">
      <c r="E661" s="60"/>
    </row>
    <row r="662" spans="5:5">
      <c r="E662" s="60"/>
    </row>
    <row r="663" spans="5:5">
      <c r="E663" s="60"/>
    </row>
    <row r="664" spans="5:5">
      <c r="E664" s="60"/>
    </row>
    <row r="665" spans="5:5">
      <c r="E665" s="60"/>
    </row>
    <row r="666" spans="5:5">
      <c r="E666" s="60"/>
    </row>
    <row r="667" spans="5:5">
      <c r="E667" s="60"/>
    </row>
    <row r="668" spans="5:5">
      <c r="E668" s="60"/>
    </row>
    <row r="669" spans="5:5">
      <c r="E669" s="60"/>
    </row>
    <row r="670" spans="5:5">
      <c r="E670" s="60"/>
    </row>
    <row r="671" spans="5:5">
      <c r="E671" s="60"/>
    </row>
    <row r="672" spans="5:5">
      <c r="E672" s="60"/>
    </row>
    <row r="673" spans="5:5">
      <c r="E673" s="60"/>
    </row>
    <row r="674" spans="5:5">
      <c r="E674" s="60"/>
    </row>
    <row r="675" spans="5:5">
      <c r="E675" s="60"/>
    </row>
    <row r="676" spans="5:5">
      <c r="E676" s="60"/>
    </row>
    <row r="677" spans="5:5">
      <c r="E677" s="60"/>
    </row>
    <row r="678" spans="5:5">
      <c r="E678" s="60"/>
    </row>
    <row r="679" spans="5:5">
      <c r="E679" s="60"/>
    </row>
    <row r="680" spans="5:5">
      <c r="E680" s="60"/>
    </row>
    <row r="681" spans="5:5">
      <c r="E681" s="60"/>
    </row>
    <row r="682" spans="5:5">
      <c r="E682" s="60"/>
    </row>
    <row r="683" spans="5:5">
      <c r="E683" s="60"/>
    </row>
    <row r="684" spans="5:5">
      <c r="E684" s="60"/>
    </row>
    <row r="685" spans="5:5">
      <c r="E685" s="60"/>
    </row>
    <row r="686" spans="5:5">
      <c r="E686" s="60"/>
    </row>
    <row r="687" spans="5:5">
      <c r="E687" s="60"/>
    </row>
    <row r="688" spans="5:5">
      <c r="E688" s="60"/>
    </row>
    <row r="689" spans="5:5">
      <c r="E689" s="60"/>
    </row>
    <row r="690" spans="5:5">
      <c r="E690" s="60"/>
    </row>
    <row r="691" spans="5:5">
      <c r="E691" s="60"/>
    </row>
    <row r="692" spans="5:5">
      <c r="E692" s="60"/>
    </row>
    <row r="693" spans="5:5">
      <c r="E693" s="60"/>
    </row>
    <row r="694" spans="5:5">
      <c r="E694" s="60"/>
    </row>
    <row r="695" spans="5:5">
      <c r="E695" s="60"/>
    </row>
    <row r="696" spans="5:5">
      <c r="E696" s="60"/>
    </row>
    <row r="697" spans="5:5">
      <c r="E697" s="60"/>
    </row>
    <row r="698" spans="5:5">
      <c r="E698" s="60"/>
    </row>
    <row r="699" spans="5:5">
      <c r="E699" s="60"/>
    </row>
    <row r="700" spans="5:5">
      <c r="E700" s="60"/>
    </row>
    <row r="701" spans="5:5">
      <c r="E701" s="60"/>
    </row>
    <row r="702" spans="5:5">
      <c r="E702" s="60"/>
    </row>
    <row r="703" spans="5:5">
      <c r="E703" s="60"/>
    </row>
    <row r="704" spans="5:5">
      <c r="E704" s="60"/>
    </row>
    <row r="705" spans="5:5">
      <c r="E705" s="60"/>
    </row>
    <row r="706" spans="5:5">
      <c r="E706" s="60"/>
    </row>
    <row r="707" spans="5:5">
      <c r="E707" s="60"/>
    </row>
    <row r="708" spans="5:5">
      <c r="E708" s="60"/>
    </row>
    <row r="709" spans="5:5">
      <c r="E709" s="60"/>
    </row>
    <row r="710" spans="5:5">
      <c r="E710" s="60"/>
    </row>
    <row r="711" spans="5:5">
      <c r="E711" s="60"/>
    </row>
    <row r="712" spans="5:5">
      <c r="E712" s="60"/>
    </row>
    <row r="713" spans="5:5">
      <c r="E713" s="60"/>
    </row>
    <row r="714" spans="5:5">
      <c r="E714" s="60"/>
    </row>
    <row r="715" spans="5:5">
      <c r="E715" s="60"/>
    </row>
    <row r="716" spans="5:5">
      <c r="E716" s="60"/>
    </row>
    <row r="717" spans="5:5">
      <c r="E717" s="60"/>
    </row>
    <row r="718" spans="5:5">
      <c r="E718" s="60"/>
    </row>
    <row r="719" spans="5:5">
      <c r="E719" s="60"/>
    </row>
    <row r="720" spans="5:5">
      <c r="E720" s="60"/>
    </row>
    <row r="721" spans="5:5">
      <c r="E721" s="60"/>
    </row>
    <row r="722" spans="5:5">
      <c r="E722" s="60"/>
    </row>
    <row r="723" spans="5:5">
      <c r="E723" s="60"/>
    </row>
    <row r="724" spans="5:5">
      <c r="E724" s="60"/>
    </row>
    <row r="725" spans="5:5">
      <c r="E725" s="60"/>
    </row>
    <row r="726" spans="5:5">
      <c r="E726" s="60"/>
    </row>
    <row r="727" spans="5:5">
      <c r="E727" s="60"/>
    </row>
    <row r="728" spans="5:5">
      <c r="E728" s="60"/>
    </row>
    <row r="729" spans="5:5">
      <c r="E729" s="60"/>
    </row>
    <row r="730" spans="5:5">
      <c r="E730" s="60"/>
    </row>
    <row r="731" spans="5:5">
      <c r="E731" s="60"/>
    </row>
    <row r="732" spans="5:5">
      <c r="E732" s="60"/>
    </row>
    <row r="733" spans="5:5">
      <c r="E733" s="60"/>
    </row>
    <row r="734" spans="5:5">
      <c r="E734" s="60"/>
    </row>
    <row r="735" spans="5:5">
      <c r="E735" s="60"/>
    </row>
    <row r="736" spans="5:5">
      <c r="E736" s="60"/>
    </row>
    <row r="737" spans="5:5">
      <c r="E737" s="60"/>
    </row>
    <row r="738" spans="5:5">
      <c r="E738" s="60"/>
    </row>
    <row r="739" spans="5:5">
      <c r="E739" s="60"/>
    </row>
    <row r="740" spans="5:5">
      <c r="E740" s="60"/>
    </row>
    <row r="741" spans="5:5">
      <c r="E741" s="60"/>
    </row>
    <row r="742" spans="5:5">
      <c r="E742" s="60"/>
    </row>
    <row r="743" spans="5:5">
      <c r="E743" s="60"/>
    </row>
    <row r="744" spans="5:5">
      <c r="E744" s="60"/>
    </row>
    <row r="745" spans="5:5">
      <c r="E745" s="60"/>
    </row>
    <row r="746" spans="5:5">
      <c r="E746" s="60"/>
    </row>
    <row r="747" spans="5:5">
      <c r="E747" s="60"/>
    </row>
    <row r="748" spans="5:5">
      <c r="E748" s="60"/>
    </row>
    <row r="749" spans="5:5">
      <c r="E749" s="60"/>
    </row>
    <row r="750" spans="5:5">
      <c r="E750" s="60"/>
    </row>
    <row r="751" spans="5:5">
      <c r="E751" s="60"/>
    </row>
    <row r="752" spans="5:5">
      <c r="E752" s="60"/>
    </row>
    <row r="753" spans="5:5">
      <c r="E753" s="60"/>
    </row>
    <row r="754" spans="5:5">
      <c r="E754" s="60"/>
    </row>
    <row r="755" spans="5:5">
      <c r="E755" s="60"/>
    </row>
    <row r="756" spans="5:5">
      <c r="E756" s="60"/>
    </row>
    <row r="757" spans="5:5">
      <c r="E757" s="60"/>
    </row>
    <row r="758" spans="5:5">
      <c r="E758" s="60"/>
    </row>
    <row r="759" spans="5:5">
      <c r="E759" s="60"/>
    </row>
    <row r="760" spans="5:5">
      <c r="E760" s="60"/>
    </row>
    <row r="761" spans="5:5">
      <c r="E761" s="60"/>
    </row>
    <row r="762" spans="5:5">
      <c r="E762" s="60"/>
    </row>
    <row r="763" spans="5:5">
      <c r="E763" s="60"/>
    </row>
    <row r="764" spans="5:5">
      <c r="E764" s="60"/>
    </row>
    <row r="765" spans="5:5">
      <c r="E765" s="60"/>
    </row>
    <row r="766" spans="5:5">
      <c r="E766" s="60"/>
    </row>
    <row r="767" spans="5:5">
      <c r="E767" s="60"/>
    </row>
    <row r="768" spans="5:5">
      <c r="E768" s="60"/>
    </row>
    <row r="769" spans="5:5">
      <c r="E769" s="60"/>
    </row>
    <row r="770" spans="5:5">
      <c r="E770" s="60"/>
    </row>
    <row r="771" spans="5:5">
      <c r="E771" s="60"/>
    </row>
    <row r="772" spans="5:5">
      <c r="E772" s="60"/>
    </row>
    <row r="773" spans="5:5">
      <c r="E773" s="60"/>
    </row>
    <row r="774" spans="5:5">
      <c r="E774" s="60"/>
    </row>
    <row r="775" spans="5:5">
      <c r="E775" s="60"/>
    </row>
    <row r="776" spans="5:5">
      <c r="E776" s="60"/>
    </row>
    <row r="777" spans="5:5">
      <c r="E777" s="60"/>
    </row>
    <row r="778" spans="5:5">
      <c r="E778" s="60"/>
    </row>
    <row r="779" spans="5:5">
      <c r="E779" s="60"/>
    </row>
    <row r="780" spans="5:5">
      <c r="E780" s="60"/>
    </row>
    <row r="781" spans="5:5">
      <c r="E781" s="60"/>
    </row>
    <row r="782" spans="5:5">
      <c r="E782" s="60"/>
    </row>
    <row r="783" spans="5:5">
      <c r="E783" s="60"/>
    </row>
    <row r="784" spans="5:5">
      <c r="E784" s="60"/>
    </row>
    <row r="785" spans="5:5">
      <c r="E785" s="60"/>
    </row>
    <row r="786" spans="5:5">
      <c r="E786" s="60"/>
    </row>
    <row r="787" spans="5:5">
      <c r="E787" s="60"/>
    </row>
    <row r="788" spans="5:5">
      <c r="E788" s="60"/>
    </row>
    <row r="789" spans="5:5">
      <c r="E789" s="60"/>
    </row>
    <row r="790" spans="5:5">
      <c r="E790" s="60"/>
    </row>
    <row r="791" spans="5:5">
      <c r="E791" s="60"/>
    </row>
    <row r="792" spans="5:5">
      <c r="E792" s="60"/>
    </row>
    <row r="793" spans="5:5">
      <c r="E793" s="60"/>
    </row>
    <row r="794" spans="5:5">
      <c r="E794" s="60"/>
    </row>
    <row r="795" spans="5:5">
      <c r="E795" s="60"/>
    </row>
    <row r="796" spans="5:5">
      <c r="E796" s="60"/>
    </row>
    <row r="797" spans="5:5">
      <c r="E797" s="60"/>
    </row>
    <row r="798" spans="5:5">
      <c r="E798" s="60"/>
    </row>
    <row r="799" spans="5:5">
      <c r="E799" s="60"/>
    </row>
    <row r="800" spans="5:5">
      <c r="E800" s="60"/>
    </row>
    <row r="801" spans="5:5">
      <c r="E801" s="60"/>
    </row>
    <row r="802" spans="5:5">
      <c r="E802" s="60"/>
    </row>
    <row r="803" spans="5:5">
      <c r="E803" s="60"/>
    </row>
    <row r="804" spans="5:5">
      <c r="E804" s="60"/>
    </row>
    <row r="805" spans="5:5">
      <c r="E805" s="60"/>
    </row>
    <row r="806" spans="5:5">
      <c r="E806" s="60"/>
    </row>
    <row r="807" spans="5:5">
      <c r="E807" s="60"/>
    </row>
    <row r="808" spans="5:5">
      <c r="E808" s="60"/>
    </row>
    <row r="809" spans="5:5">
      <c r="E809" s="60"/>
    </row>
    <row r="810" spans="5:5">
      <c r="E810" s="60"/>
    </row>
    <row r="811" spans="5:5">
      <c r="E811" s="60"/>
    </row>
    <row r="812" spans="5:5">
      <c r="E812" s="60"/>
    </row>
    <row r="813" spans="5:5">
      <c r="E813" s="60"/>
    </row>
    <row r="814" spans="5:5">
      <c r="E814" s="60"/>
    </row>
    <row r="815" spans="5:5">
      <c r="E815" s="60"/>
    </row>
    <row r="816" spans="5:5">
      <c r="E816" s="60"/>
    </row>
    <row r="817" spans="5:5">
      <c r="E817" s="60"/>
    </row>
    <row r="818" spans="5:5">
      <c r="E818" s="60"/>
    </row>
    <row r="819" spans="5:5">
      <c r="E819" s="60"/>
    </row>
    <row r="820" spans="5:5">
      <c r="E820" s="60"/>
    </row>
    <row r="821" spans="5:5">
      <c r="E821" s="60"/>
    </row>
    <row r="822" spans="5:5">
      <c r="E822" s="60"/>
    </row>
    <row r="823" spans="5:5">
      <c r="E823" s="60"/>
    </row>
    <row r="824" spans="5:5">
      <c r="E824" s="60"/>
    </row>
    <row r="825" spans="5:5">
      <c r="E825" s="60"/>
    </row>
    <row r="826" spans="5:5">
      <c r="E826" s="60"/>
    </row>
    <row r="827" spans="5:5">
      <c r="E827" s="60"/>
    </row>
    <row r="828" spans="5:5">
      <c r="E828" s="60"/>
    </row>
    <row r="829" spans="5:5">
      <c r="E829" s="60"/>
    </row>
    <row r="830" spans="5:5">
      <c r="E830" s="60"/>
    </row>
    <row r="831" spans="5:5">
      <c r="E831" s="60"/>
    </row>
    <row r="832" spans="5:5">
      <c r="E832" s="60"/>
    </row>
    <row r="833" spans="5:5">
      <c r="E833" s="60"/>
    </row>
    <row r="834" spans="5:5">
      <c r="E834" s="60"/>
    </row>
    <row r="835" spans="5:5">
      <c r="E835" s="60"/>
    </row>
    <row r="836" spans="5:5">
      <c r="E836" s="60"/>
    </row>
    <row r="837" spans="5:5">
      <c r="E837" s="60"/>
    </row>
    <row r="838" spans="5:5">
      <c r="E838" s="60"/>
    </row>
    <row r="839" spans="5:5">
      <c r="E839" s="60"/>
    </row>
    <row r="840" spans="5:5">
      <c r="E840" s="60"/>
    </row>
    <row r="841" spans="5:5">
      <c r="E841" s="60"/>
    </row>
    <row r="842" spans="5:5">
      <c r="E842" s="60"/>
    </row>
    <row r="843" spans="5:5">
      <c r="E843" s="60"/>
    </row>
    <row r="844" spans="5:5">
      <c r="E844" s="60"/>
    </row>
    <row r="845" spans="5:5">
      <c r="E845" s="60"/>
    </row>
    <row r="846" spans="5:5">
      <c r="E846" s="60"/>
    </row>
    <row r="847" spans="5:5">
      <c r="E847" s="60"/>
    </row>
    <row r="848" spans="5:5">
      <c r="E848" s="60"/>
    </row>
  </sheetData>
  <conditionalFormatting sqref="F299:M307">
    <cfRule type="expression" dxfId="11" priority="3">
      <formula>#REF!=0</formula>
    </cfRule>
  </conditionalFormatting>
  <conditionalFormatting sqref="H340:I340">
    <cfRule type="expression" dxfId="10" priority="2">
      <formula>#REF!=0</formula>
    </cfRule>
  </conditionalFormatting>
  <conditionalFormatting sqref="E341">
    <cfRule type="expression" dxfId="9" priority="1">
      <formula>#REF!=0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theme="9" tint="0.79998168889431442"/>
    <pageSetUpPr fitToPage="1"/>
  </sheetPr>
  <dimension ref="A1:BJ848"/>
  <sheetViews>
    <sheetView zoomScaleNormal="100" workbookViewId="0"/>
  </sheetViews>
  <sheetFormatPr defaultRowHeight="15"/>
  <cols>
    <col min="1" max="2" width="4.140625" style="74" customWidth="1"/>
    <col min="3" max="3" width="46" style="74" customWidth="1"/>
    <col min="4" max="4" width="9.140625" style="74" customWidth="1"/>
    <col min="5" max="13" width="9.85546875" style="74" customWidth="1"/>
    <col min="14" max="14" width="3" style="74" customWidth="1"/>
    <col min="15" max="15" width="19.5703125" style="74" customWidth="1"/>
    <col min="16" max="16" width="16.28515625" style="74" customWidth="1"/>
    <col min="17" max="17" width="4.42578125" style="74" customWidth="1"/>
    <col min="18" max="19" width="9.140625" style="74" customWidth="1"/>
    <col min="20" max="20" width="13.85546875" style="74" customWidth="1"/>
    <col min="21" max="16384" width="9.140625" style="74"/>
  </cols>
  <sheetData>
    <row r="1" spans="1:19" ht="23.25">
      <c r="A1" s="232"/>
      <c r="C1" s="2" t="str">
        <f ca="1">OFFSET(Inputs_Anchor,0,G1+1)</f>
        <v>Vector_Dist</v>
      </c>
      <c r="D1" s="2"/>
      <c r="E1" s="2"/>
      <c r="F1" s="6" t="s">
        <v>74</v>
      </c>
      <c r="G1" s="7">
        <v>3</v>
      </c>
      <c r="H1" s="2"/>
      <c r="I1" s="2"/>
      <c r="J1" s="2"/>
      <c r="K1" s="2"/>
      <c r="L1" s="2"/>
      <c r="M1" s="2"/>
      <c r="N1" s="2"/>
      <c r="O1" s="228"/>
      <c r="P1" s="228"/>
      <c r="Q1" s="228"/>
      <c r="R1" s="228"/>
      <c r="S1" s="228"/>
    </row>
    <row r="2" spans="1:19">
      <c r="O2" s="29"/>
      <c r="P2" s="80"/>
      <c r="Q2" s="80"/>
      <c r="R2" s="80"/>
      <c r="S2" s="80"/>
    </row>
    <row r="3" spans="1:19" ht="21">
      <c r="C3" s="3" t="s">
        <v>194</v>
      </c>
      <c r="O3" s="80"/>
      <c r="P3" s="80"/>
      <c r="Q3" s="80"/>
      <c r="R3" s="80"/>
      <c r="S3" s="80"/>
    </row>
    <row r="4" spans="1:19">
      <c r="O4" s="80"/>
      <c r="P4" s="80"/>
      <c r="Q4" s="80"/>
      <c r="R4" s="80"/>
      <c r="S4" s="80"/>
    </row>
    <row r="5" spans="1:19">
      <c r="C5" s="74" t="s">
        <v>212</v>
      </c>
      <c r="E5" s="81">
        <v>2010</v>
      </c>
      <c r="F5" s="81">
        <v>2011</v>
      </c>
      <c r="G5" s="81">
        <v>2012</v>
      </c>
      <c r="H5" s="81">
        <v>2013</v>
      </c>
      <c r="I5" s="81">
        <v>2014</v>
      </c>
      <c r="J5" s="81">
        <v>2015</v>
      </c>
      <c r="K5" s="81">
        <v>2016</v>
      </c>
      <c r="L5" s="81">
        <v>2017</v>
      </c>
      <c r="M5" s="81">
        <v>2018</v>
      </c>
      <c r="N5" s="21"/>
      <c r="O5" s="37"/>
      <c r="P5" s="80"/>
      <c r="Q5" s="80"/>
      <c r="R5" s="80"/>
      <c r="S5" s="80"/>
    </row>
    <row r="6" spans="1:19">
      <c r="C6" s="54"/>
      <c r="E6" s="81"/>
      <c r="F6" s="81"/>
      <c r="G6" s="81"/>
      <c r="H6" s="81"/>
      <c r="I6" s="81"/>
      <c r="J6" s="81"/>
      <c r="K6" s="81"/>
      <c r="L6" s="81"/>
      <c r="M6" s="81"/>
      <c r="N6" s="21"/>
      <c r="O6" s="37"/>
      <c r="P6" s="80"/>
      <c r="Q6" s="80"/>
      <c r="R6" s="80"/>
      <c r="S6" s="80"/>
    </row>
    <row r="7" spans="1:19" ht="45" customHeight="1">
      <c r="C7" s="54" t="s">
        <v>233</v>
      </c>
      <c r="E7" s="81" t="s">
        <v>140</v>
      </c>
      <c r="F7" s="81" t="s">
        <v>141</v>
      </c>
      <c r="G7" s="81" t="s">
        <v>142</v>
      </c>
      <c r="H7" s="81" t="s">
        <v>143</v>
      </c>
      <c r="I7" s="81" t="s">
        <v>144</v>
      </c>
      <c r="J7" s="81" t="s">
        <v>145</v>
      </c>
      <c r="K7" s="81" t="s">
        <v>159</v>
      </c>
      <c r="L7" s="81" t="s">
        <v>160</v>
      </c>
      <c r="M7" s="81" t="s">
        <v>161</v>
      </c>
      <c r="N7" s="21"/>
      <c r="O7" s="37"/>
      <c r="P7" s="80"/>
      <c r="Q7" s="80"/>
      <c r="R7" s="80"/>
      <c r="S7" s="80"/>
    </row>
    <row r="8" spans="1:19">
      <c r="C8" s="92"/>
      <c r="E8" s="21"/>
      <c r="F8" s="17"/>
      <c r="G8" s="17"/>
      <c r="H8" s="17"/>
      <c r="I8" s="17"/>
      <c r="J8" s="17"/>
      <c r="N8" s="45"/>
      <c r="O8" s="37"/>
      <c r="P8" s="80"/>
      <c r="Q8" s="80"/>
      <c r="R8" s="80"/>
      <c r="S8" s="80"/>
    </row>
    <row r="9" spans="1:19" ht="45">
      <c r="C9" s="74" t="s">
        <v>210</v>
      </c>
      <c r="E9" s="111" t="s">
        <v>443</v>
      </c>
      <c r="F9" s="111" t="s">
        <v>444</v>
      </c>
      <c r="G9" s="111" t="s">
        <v>445</v>
      </c>
      <c r="H9" s="111" t="s">
        <v>446</v>
      </c>
      <c r="I9" s="111" t="s">
        <v>447</v>
      </c>
      <c r="J9" s="111" t="s">
        <v>448</v>
      </c>
      <c r="K9" s="111" t="s">
        <v>449</v>
      </c>
      <c r="L9" s="111" t="s">
        <v>450</v>
      </c>
      <c r="M9" s="111" t="s">
        <v>451</v>
      </c>
      <c r="N9" s="45"/>
      <c r="O9" s="37"/>
      <c r="P9" s="80"/>
      <c r="Q9" s="80"/>
      <c r="R9" s="80"/>
      <c r="S9" s="80"/>
    </row>
    <row r="10" spans="1:19" ht="8.25" customHeight="1">
      <c r="E10" s="111"/>
      <c r="F10" s="111"/>
      <c r="G10" s="111"/>
      <c r="H10" s="111"/>
      <c r="I10" s="111"/>
      <c r="J10" s="111"/>
      <c r="K10" s="111"/>
      <c r="L10" s="111"/>
      <c r="M10" s="111"/>
      <c r="N10" s="45"/>
      <c r="O10" s="37"/>
      <c r="P10" s="80"/>
      <c r="Q10" s="80"/>
      <c r="R10" s="80"/>
      <c r="S10" s="80"/>
    </row>
    <row r="11" spans="1:19" ht="45">
      <c r="C11" s="74" t="s">
        <v>195</v>
      </c>
      <c r="E11" s="111" t="s">
        <v>452</v>
      </c>
      <c r="F11" s="111" t="s">
        <v>453</v>
      </c>
      <c r="G11" s="111" t="s">
        <v>454</v>
      </c>
      <c r="H11" s="111" t="s">
        <v>455</v>
      </c>
      <c r="I11" s="111" t="s">
        <v>456</v>
      </c>
      <c r="J11" s="111" t="s">
        <v>457</v>
      </c>
      <c r="K11" s="111" t="s">
        <v>458</v>
      </c>
      <c r="L11" s="111" t="s">
        <v>459</v>
      </c>
      <c r="M11" s="111" t="s">
        <v>460</v>
      </c>
      <c r="N11" s="45"/>
      <c r="O11" s="37"/>
      <c r="P11" s="80"/>
      <c r="Q11" s="80"/>
      <c r="R11" s="80"/>
      <c r="S11" s="80"/>
    </row>
    <row r="12" spans="1:19">
      <c r="E12" s="118"/>
      <c r="F12" s="118"/>
      <c r="G12" s="118"/>
      <c r="H12" s="118"/>
      <c r="I12" s="118"/>
      <c r="J12" s="118"/>
      <c r="K12" s="118"/>
      <c r="L12" s="118"/>
      <c r="M12" s="118"/>
      <c r="N12" s="45"/>
      <c r="O12" s="37"/>
      <c r="P12" s="80"/>
      <c r="Q12" s="80"/>
      <c r="R12" s="80"/>
      <c r="S12" s="80"/>
    </row>
    <row r="13" spans="1:19" ht="45" customHeight="1">
      <c r="C13" s="54" t="s">
        <v>222</v>
      </c>
      <c r="E13" s="118"/>
      <c r="F13" s="118"/>
      <c r="G13" s="118"/>
      <c r="H13" s="118" t="s">
        <v>461</v>
      </c>
      <c r="I13" s="111" t="s">
        <v>447</v>
      </c>
      <c r="J13" s="111" t="s">
        <v>448</v>
      </c>
      <c r="K13" s="111" t="s">
        <v>449</v>
      </c>
      <c r="L13" s="111" t="s">
        <v>450</v>
      </c>
      <c r="M13" s="111" t="s">
        <v>462</v>
      </c>
      <c r="N13" s="45"/>
      <c r="O13" s="37"/>
      <c r="P13" s="80"/>
      <c r="Q13" s="80"/>
      <c r="R13" s="80"/>
      <c r="S13" s="80"/>
    </row>
    <row r="14" spans="1:19" ht="45" customHeight="1">
      <c r="C14" s="54" t="s">
        <v>223</v>
      </c>
      <c r="E14" s="118"/>
      <c r="F14" s="118"/>
      <c r="G14" s="118"/>
      <c r="H14" s="111" t="s">
        <v>463</v>
      </c>
      <c r="I14" s="111" t="s">
        <v>456</v>
      </c>
      <c r="J14" s="111" t="s">
        <v>457</v>
      </c>
      <c r="K14" s="111" t="s">
        <v>458</v>
      </c>
      <c r="L14" s="111" t="s">
        <v>459</v>
      </c>
      <c r="M14" s="118" t="s">
        <v>461</v>
      </c>
      <c r="N14" s="45"/>
      <c r="O14" s="37"/>
      <c r="P14" s="80"/>
      <c r="Q14" s="80"/>
      <c r="R14" s="80"/>
      <c r="S14" s="80"/>
    </row>
    <row r="15" spans="1:19">
      <c r="N15" s="45"/>
      <c r="O15" s="37"/>
      <c r="P15" s="80"/>
      <c r="Q15" s="80"/>
      <c r="R15" s="80"/>
      <c r="S15" s="80"/>
    </row>
    <row r="16" spans="1:19" ht="23.25">
      <c r="C16" s="2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8"/>
      <c r="P16" s="228"/>
      <c r="Q16" s="228"/>
      <c r="R16" s="228"/>
      <c r="S16" s="228"/>
    </row>
    <row r="17" spans="1:19">
      <c r="O17" s="80"/>
      <c r="P17" s="80"/>
      <c r="Q17" s="80"/>
      <c r="R17" s="80"/>
      <c r="S17" s="80"/>
    </row>
    <row r="18" spans="1:19" ht="21">
      <c r="C18" s="3" t="s">
        <v>188</v>
      </c>
      <c r="I18" s="10" t="s">
        <v>5</v>
      </c>
      <c r="O18" s="80"/>
      <c r="P18" s="80"/>
      <c r="Q18" s="80"/>
      <c r="R18" s="80"/>
      <c r="S18" s="80"/>
    </row>
    <row r="19" spans="1:19">
      <c r="C19" s="40"/>
      <c r="D19" s="40" t="s">
        <v>39</v>
      </c>
      <c r="E19" s="40"/>
      <c r="F19" s="40" t="s">
        <v>40</v>
      </c>
      <c r="O19" s="80"/>
      <c r="P19" s="80"/>
      <c r="Q19" s="80"/>
      <c r="R19" s="80"/>
      <c r="S19" s="80"/>
    </row>
    <row r="20" spans="1:19">
      <c r="C20" s="40"/>
      <c r="D20" s="40" t="s">
        <v>38</v>
      </c>
      <c r="E20" s="40"/>
      <c r="O20" s="80"/>
      <c r="P20" s="80"/>
      <c r="Q20" s="80"/>
      <c r="R20" s="80"/>
      <c r="S20" s="80"/>
    </row>
    <row r="21" spans="1:19">
      <c r="C21" s="81" t="s">
        <v>1</v>
      </c>
      <c r="E21" s="81" t="str">
        <f>Inputs!D$12</f>
        <v>2009/10</v>
      </c>
      <c r="F21" s="81" t="str">
        <f>Inputs!E$12</f>
        <v>2010/11</v>
      </c>
      <c r="G21" s="81" t="str">
        <f>Inputs!F$12</f>
        <v>2011/12</v>
      </c>
      <c r="H21" s="81" t="str">
        <f>Inputs!G$12</f>
        <v>2012/13</v>
      </c>
      <c r="I21" s="81" t="str">
        <f>Inputs!H$12</f>
        <v>2013/14</v>
      </c>
      <c r="J21" s="81" t="str">
        <f>Inputs!I$12</f>
        <v>2014/15</v>
      </c>
      <c r="K21" s="81" t="str">
        <f>Inputs!J$12</f>
        <v>2015/16</v>
      </c>
      <c r="L21" s="81" t="str">
        <f>Inputs!K$12</f>
        <v>2016/17</v>
      </c>
      <c r="M21" s="81" t="str">
        <f>Inputs!L$12</f>
        <v>2017/18</v>
      </c>
      <c r="N21" s="81"/>
      <c r="O21" s="169"/>
      <c r="P21" s="80"/>
      <c r="Q21" s="80"/>
      <c r="R21" s="80"/>
      <c r="S21" s="80"/>
    </row>
    <row r="22" spans="1:19">
      <c r="N22" s="15"/>
      <c r="O22" s="169"/>
      <c r="P22" s="80"/>
      <c r="Q22" s="80"/>
      <c r="R22" s="80"/>
      <c r="S22" s="80"/>
    </row>
    <row r="23" spans="1:19">
      <c r="A23" s="9">
        <v>1</v>
      </c>
      <c r="B23" s="9"/>
      <c r="C23" s="74" t="str">
        <f>Inputs!B25</f>
        <v>Revenue through Prices</v>
      </c>
      <c r="F23" s="1">
        <f t="shared" ref="F23:F32" si="0">INDEX(InputsBlock,A23+1,$G$1+2)</f>
        <v>77777</v>
      </c>
      <c r="O23" s="80"/>
      <c r="P23" s="80"/>
      <c r="Q23" s="80"/>
      <c r="R23" s="80"/>
      <c r="S23" s="80"/>
    </row>
    <row r="24" spans="1:19">
      <c r="A24" s="9">
        <f t="shared" ref="A24:A31" si="1">A23+1</f>
        <v>2</v>
      </c>
      <c r="B24" s="9"/>
      <c r="C24" s="74" t="str">
        <f>Inputs!B26</f>
        <v>Pass-through costs</v>
      </c>
      <c r="F24" s="1">
        <f t="shared" si="0"/>
        <v>1003.1098499999998</v>
      </c>
      <c r="O24" s="80"/>
      <c r="P24" s="80"/>
      <c r="Q24" s="80"/>
      <c r="R24" s="80"/>
      <c r="S24" s="80"/>
    </row>
    <row r="25" spans="1:19">
      <c r="A25" s="9">
        <f t="shared" si="1"/>
        <v>3</v>
      </c>
      <c r="B25" s="9"/>
      <c r="C25" s="74" t="str">
        <f>Inputs!B27</f>
        <v>Recoverable costs</v>
      </c>
      <c r="F25" s="1">
        <f t="shared" si="0"/>
        <v>0</v>
      </c>
      <c r="O25" s="80"/>
      <c r="P25" s="80"/>
      <c r="Q25" s="80"/>
      <c r="R25" s="80"/>
      <c r="S25" s="80"/>
    </row>
    <row r="26" spans="1:19">
      <c r="A26" s="9">
        <f t="shared" si="1"/>
        <v>4</v>
      </c>
      <c r="B26" s="9"/>
      <c r="C26" s="80" t="str">
        <f>Inputs!B28</f>
        <v>Opening RAB 2010/11</v>
      </c>
      <c r="F26" s="1">
        <f t="shared" si="0"/>
        <v>423842.82146160956</v>
      </c>
      <c r="O26" s="198"/>
      <c r="P26" s="80"/>
      <c r="Q26" s="80"/>
      <c r="R26" s="80"/>
      <c r="S26" s="80"/>
    </row>
    <row r="27" spans="1:19">
      <c r="A27" s="9">
        <f t="shared" si="1"/>
        <v>5</v>
      </c>
      <c r="B27" s="9"/>
      <c r="C27" s="80" t="str">
        <f>Inputs!B29</f>
        <v>Total Depreciation</v>
      </c>
      <c r="F27" s="1">
        <f t="shared" si="0"/>
        <v>12571</v>
      </c>
      <c r="O27" s="80"/>
      <c r="P27" s="80"/>
      <c r="Q27" s="80"/>
      <c r="R27" s="80"/>
      <c r="S27" s="80"/>
    </row>
    <row r="28" spans="1:19">
      <c r="A28" s="9">
        <f t="shared" si="1"/>
        <v>6</v>
      </c>
      <c r="B28" s="9"/>
      <c r="C28" s="80" t="str">
        <f>Inputs!B30</f>
        <v>RAB of disposed assets</v>
      </c>
      <c r="F28" s="1">
        <f t="shared" si="0"/>
        <v>328</v>
      </c>
      <c r="O28" s="80"/>
      <c r="P28" s="80"/>
      <c r="Q28" s="80"/>
      <c r="R28" s="80"/>
      <c r="S28" s="80"/>
    </row>
    <row r="29" spans="1:19">
      <c r="A29" s="9">
        <f>A28+1</f>
        <v>7</v>
      </c>
      <c r="B29" s="9"/>
      <c r="C29" s="80" t="str">
        <f>Inputs!B31</f>
        <v>Value of commissioned assets</v>
      </c>
      <c r="F29" s="1">
        <f t="shared" si="0"/>
        <v>22745</v>
      </c>
      <c r="O29" s="80"/>
      <c r="P29" s="80"/>
      <c r="Q29" s="80"/>
      <c r="R29" s="80"/>
      <c r="S29" s="80"/>
    </row>
    <row r="30" spans="1:19">
      <c r="A30" s="9">
        <f t="shared" si="1"/>
        <v>8</v>
      </c>
      <c r="B30" s="9"/>
      <c r="C30" s="80" t="str">
        <f>Inputs!B32</f>
        <v>Tax Depreciation</v>
      </c>
      <c r="F30" s="1">
        <f t="shared" si="0"/>
        <v>26084</v>
      </c>
      <c r="O30" s="80"/>
      <c r="P30" s="80"/>
      <c r="Q30" s="80"/>
      <c r="R30" s="80"/>
      <c r="S30" s="80"/>
    </row>
    <row r="31" spans="1:19">
      <c r="A31" s="9">
        <f t="shared" si="1"/>
        <v>9</v>
      </c>
      <c r="B31" s="9"/>
      <c r="C31" s="80" t="str">
        <f>Inputs!B33</f>
        <v>Opening regulatory tax asset value 2010/11</v>
      </c>
      <c r="F31" s="1">
        <f t="shared" si="0"/>
        <v>223466</v>
      </c>
      <c r="O31" s="80"/>
      <c r="P31" s="80"/>
      <c r="Q31" s="80"/>
      <c r="R31" s="80"/>
      <c r="S31" s="80"/>
    </row>
    <row r="32" spans="1:19">
      <c r="A32" s="9">
        <f>A31+1</f>
        <v>10</v>
      </c>
      <c r="B32" s="9"/>
      <c r="C32" s="80" t="str">
        <f>Inputs!B34</f>
        <v>Other regulated income</v>
      </c>
      <c r="F32" s="1">
        <f t="shared" si="0"/>
        <v>0</v>
      </c>
      <c r="O32" s="80"/>
      <c r="P32" s="80"/>
      <c r="Q32" s="80"/>
      <c r="R32" s="80"/>
      <c r="S32" s="80"/>
    </row>
    <row r="33" spans="1:19">
      <c r="A33" s="9">
        <f>A32+1</f>
        <v>11</v>
      </c>
      <c r="B33" s="9"/>
      <c r="C33" s="80" t="str">
        <f>Inputs!B35</f>
        <v>Opening RAB 2009/10</v>
      </c>
      <c r="E33" s="1">
        <f t="shared" ref="E33:E37" si="2">INDEX(InputsBlock,A33+1,$G$1+2)</f>
        <v>418694</v>
      </c>
      <c r="O33" s="80"/>
      <c r="P33" s="80"/>
      <c r="Q33" s="80"/>
      <c r="R33" s="80"/>
      <c r="S33" s="80"/>
    </row>
    <row r="34" spans="1:19">
      <c r="A34" s="9">
        <f>A33+1</f>
        <v>12</v>
      </c>
      <c r="B34" s="9"/>
      <c r="C34" s="80" t="str">
        <f>Inputs!B36</f>
        <v>Disposed assets 2009/10</v>
      </c>
      <c r="E34" s="1">
        <f t="shared" si="2"/>
        <v>723</v>
      </c>
      <c r="O34" s="80"/>
      <c r="P34" s="80"/>
      <c r="Q34" s="80"/>
      <c r="R34" s="80"/>
      <c r="S34" s="80"/>
    </row>
    <row r="35" spans="1:19">
      <c r="A35" s="9">
        <f>A34+1</f>
        <v>13</v>
      </c>
      <c r="B35" s="9"/>
      <c r="C35" s="80" t="str">
        <f>Inputs!B37</f>
        <v>Opening regulatory tax asset value 2009/10</v>
      </c>
      <c r="E35" s="1">
        <f t="shared" si="2"/>
        <v>240659</v>
      </c>
      <c r="O35" s="80"/>
      <c r="P35" s="80"/>
      <c r="Q35" s="80"/>
      <c r="R35" s="80"/>
      <c r="S35" s="80"/>
    </row>
    <row r="36" spans="1:19">
      <c r="A36" s="9">
        <f t="shared" ref="A36:A41" si="3">A35+1</f>
        <v>14</v>
      </c>
      <c r="B36" s="9"/>
      <c r="C36" s="80" t="str">
        <f>Inputs!B38</f>
        <v>Tax Depreciation 2009/10</v>
      </c>
      <c r="E36" s="1">
        <f t="shared" si="2"/>
        <v>26719</v>
      </c>
      <c r="O36" s="80"/>
      <c r="P36" s="80"/>
      <c r="Q36" s="80"/>
      <c r="R36" s="80"/>
      <c r="S36" s="80"/>
    </row>
    <row r="37" spans="1:19">
      <c r="A37" s="9">
        <f t="shared" si="3"/>
        <v>15</v>
      </c>
      <c r="B37" s="9"/>
      <c r="C37" s="80" t="str">
        <f>Inputs!B39</f>
        <v>Weighted Average Remaining Life at year-end 2009/10</v>
      </c>
      <c r="E37" s="1">
        <f t="shared" si="2"/>
        <v>43</v>
      </c>
      <c r="O37" s="80"/>
      <c r="P37" s="80"/>
      <c r="Q37" s="80"/>
      <c r="R37" s="80"/>
      <c r="S37" s="80"/>
    </row>
    <row r="38" spans="1:19">
      <c r="A38" s="9">
        <f>A37+1</f>
        <v>16</v>
      </c>
      <c r="C38" s="80" t="str">
        <f>Inputs!B40</f>
        <v>Information &amp; building blocks year-end</v>
      </c>
      <c r="D38" s="44"/>
      <c r="E38" s="1" t="str">
        <f>INDEX(InputsBlock,A38+1,$G$1+2)</f>
        <v xml:space="preserve">June </v>
      </c>
      <c r="N38" s="44"/>
      <c r="O38" s="80"/>
      <c r="P38" s="80"/>
      <c r="Q38" s="80"/>
      <c r="R38" s="80"/>
      <c r="S38" s="80"/>
    </row>
    <row r="39" spans="1:19">
      <c r="A39" s="9">
        <f t="shared" si="3"/>
        <v>17</v>
      </c>
      <c r="C39" s="80" t="str">
        <f>Inputs!B41</f>
        <v>Pricing &amp; allowed revenue year-end</v>
      </c>
      <c r="D39" s="44"/>
      <c r="E39" s="1" t="str">
        <f>INDEX(InputsBlock,A39+1,$G$1+2)</f>
        <v xml:space="preserve">September </v>
      </c>
      <c r="N39" s="44"/>
      <c r="O39" s="80"/>
      <c r="P39" s="80"/>
      <c r="Q39" s="80"/>
      <c r="R39" s="80"/>
      <c r="S39" s="80"/>
    </row>
    <row r="40" spans="1:19">
      <c r="A40" s="9">
        <f t="shared" si="3"/>
        <v>18</v>
      </c>
      <c r="C40" s="80" t="str">
        <f>Inputs!B42</f>
        <v>Term Credit Spread Differential Allowance</v>
      </c>
      <c r="D40" s="44"/>
      <c r="E40" s="1"/>
      <c r="F40" s="139">
        <f>INDEX(InputsBlock,A40+1,$G$1+2)</f>
        <v>87</v>
      </c>
      <c r="N40" s="44"/>
      <c r="O40" s="80"/>
      <c r="P40" s="80"/>
      <c r="Q40" s="80"/>
      <c r="R40" s="80"/>
      <c r="S40" s="80"/>
    </row>
    <row r="41" spans="1:19">
      <c r="A41" s="9">
        <f t="shared" si="3"/>
        <v>19</v>
      </c>
      <c r="C41" s="80" t="s">
        <v>264</v>
      </c>
      <c r="D41" s="44"/>
      <c r="E41" s="139">
        <f>INDEX(InputsBlock,A41+1,$G$1+2)</f>
        <v>0</v>
      </c>
      <c r="N41" s="44"/>
      <c r="O41" s="80"/>
      <c r="P41" s="80"/>
      <c r="Q41" s="80"/>
      <c r="R41" s="80"/>
      <c r="S41" s="80"/>
    </row>
    <row r="42" spans="1:19">
      <c r="A42" s="9"/>
      <c r="C42" s="74" t="s">
        <v>220</v>
      </c>
      <c r="E42" s="74" t="s">
        <v>227</v>
      </c>
      <c r="N42" s="44"/>
      <c r="O42" s="80"/>
      <c r="P42" s="80"/>
      <c r="Q42" s="80"/>
      <c r="R42" s="80"/>
      <c r="S42" s="80"/>
    </row>
    <row r="43" spans="1:19">
      <c r="A43" s="9"/>
      <c r="C43" s="74" t="s">
        <v>221</v>
      </c>
      <c r="E43" s="1" t="s">
        <v>204</v>
      </c>
      <c r="N43" s="44"/>
      <c r="O43" s="80"/>
      <c r="P43" s="80"/>
      <c r="Q43" s="80"/>
      <c r="R43" s="80"/>
      <c r="S43" s="80"/>
    </row>
    <row r="44" spans="1:19">
      <c r="A44" s="9"/>
      <c r="O44" s="80"/>
      <c r="P44" s="80"/>
      <c r="Q44" s="80"/>
      <c r="R44" s="80"/>
      <c r="S44" s="80"/>
    </row>
    <row r="45" spans="1:19">
      <c r="E45" s="1"/>
      <c r="F45" s="81" t="str">
        <f>Inputs!E$12</f>
        <v>2010/11</v>
      </c>
      <c r="G45" s="81" t="str">
        <f>Inputs!F$12</f>
        <v>2011/12</v>
      </c>
      <c r="H45" s="81" t="str">
        <f>Inputs!G$12</f>
        <v>2012/13</v>
      </c>
      <c r="I45" s="81" t="str">
        <f>Inputs!H$12</f>
        <v>2013/14</v>
      </c>
      <c r="J45" s="81" t="str">
        <f>Inputs!I$12</f>
        <v>2014/15</v>
      </c>
      <c r="K45" s="81" t="str">
        <f>Inputs!J$12</f>
        <v>2015/16</v>
      </c>
      <c r="L45" s="81" t="str">
        <f>Inputs!K$12</f>
        <v>2016/17</v>
      </c>
      <c r="M45" s="81" t="str">
        <f>Inputs!L$12</f>
        <v>2017/18</v>
      </c>
      <c r="N45" s="44"/>
      <c r="O45" s="80"/>
      <c r="P45" s="80"/>
      <c r="Q45" s="80"/>
      <c r="R45" s="80"/>
      <c r="S45" s="80"/>
    </row>
    <row r="46" spans="1:19">
      <c r="C46" s="74" t="s">
        <v>211</v>
      </c>
      <c r="E46" s="1"/>
      <c r="F46" s="96">
        <v>0</v>
      </c>
      <c r="G46" s="15">
        <v>1</v>
      </c>
      <c r="H46" s="15">
        <v>2</v>
      </c>
      <c r="I46" s="15">
        <v>3</v>
      </c>
      <c r="J46" s="15">
        <v>4</v>
      </c>
      <c r="K46" s="15">
        <v>5</v>
      </c>
      <c r="L46" s="15">
        <v>6</v>
      </c>
      <c r="M46" s="15">
        <v>7</v>
      </c>
      <c r="N46" s="44"/>
      <c r="O46" s="80"/>
      <c r="P46" s="80"/>
      <c r="Q46" s="80"/>
      <c r="R46" s="80"/>
      <c r="S46" s="80"/>
    </row>
    <row r="47" spans="1:19">
      <c r="A47" s="9"/>
      <c r="B47" s="9"/>
      <c r="C47" s="74" t="s">
        <v>15</v>
      </c>
      <c r="E47" s="1"/>
      <c r="F47" s="43"/>
      <c r="G47" s="43">
        <f t="shared" ref="G47:M47" si="4">INDEX(OpexBlock,G46,$G$1)</f>
        <v>20077.815237908471</v>
      </c>
      <c r="H47" s="43">
        <f t="shared" si="4"/>
        <v>20762.956283591477</v>
      </c>
      <c r="I47" s="43">
        <f t="shared" si="4"/>
        <v>21575.007847129284</v>
      </c>
      <c r="J47" s="43">
        <f t="shared" si="4"/>
        <v>22420.152642681369</v>
      </c>
      <c r="K47" s="43">
        <f t="shared" si="4"/>
        <v>23381.165203583729</v>
      </c>
      <c r="L47" s="43">
        <f t="shared" si="4"/>
        <v>24261.979394821963</v>
      </c>
      <c r="M47" s="43">
        <f t="shared" si="4"/>
        <v>25220.697311075277</v>
      </c>
      <c r="N47" s="44"/>
      <c r="O47" s="80"/>
      <c r="P47" s="80"/>
      <c r="Q47" s="80"/>
      <c r="R47" s="80"/>
      <c r="S47" s="80"/>
    </row>
    <row r="48" spans="1:19">
      <c r="A48" s="9"/>
      <c r="B48" s="9"/>
      <c r="C48" s="74" t="s">
        <v>113</v>
      </c>
      <c r="D48" s="1"/>
      <c r="E48" s="1"/>
      <c r="F48" s="174">
        <f>F29</f>
        <v>22745</v>
      </c>
      <c r="G48" s="43">
        <f t="shared" ref="G48:M48" si="5">INDEX(CommAssetsBlock,G46,$G$1)</f>
        <v>21065.627862595422</v>
      </c>
      <c r="H48" s="43">
        <f t="shared" si="5"/>
        <v>24983.383211822271</v>
      </c>
      <c r="I48" s="43">
        <f t="shared" si="5"/>
        <v>28206.001594177971</v>
      </c>
      <c r="J48" s="43">
        <f t="shared" si="5"/>
        <v>18418.29816184007</v>
      </c>
      <c r="K48" s="43">
        <f t="shared" si="5"/>
        <v>14946.527271212733</v>
      </c>
      <c r="L48" s="43">
        <f t="shared" si="5"/>
        <v>15157.394795639755</v>
      </c>
      <c r="M48" s="43">
        <f t="shared" si="5"/>
        <v>15455.228192284256</v>
      </c>
      <c r="N48" s="44"/>
      <c r="O48" s="80"/>
      <c r="P48" s="80"/>
      <c r="Q48" s="80"/>
      <c r="R48" s="80"/>
      <c r="S48" s="80"/>
    </row>
    <row r="49" spans="1:19">
      <c r="A49" s="9"/>
      <c r="B49" s="9"/>
      <c r="C49" s="74" t="s">
        <v>150</v>
      </c>
      <c r="D49" s="1"/>
      <c r="E49" s="44"/>
      <c r="F49" s="44">
        <f t="shared" ref="F49:M49" si="6">INDEX(ConstPriceRevGrwth,F$46+1,$G$1)</f>
        <v>-9.1802922156142674E-3</v>
      </c>
      <c r="G49" s="44">
        <f t="shared" si="6"/>
        <v>5.4860029249341269E-3</v>
      </c>
      <c r="H49" s="44">
        <f t="shared" si="6"/>
        <v>5.4860029249341269E-3</v>
      </c>
      <c r="I49" s="44">
        <f t="shared" si="6"/>
        <v>5.4860029249341269E-3</v>
      </c>
      <c r="J49" s="44">
        <f t="shared" si="6"/>
        <v>5.4860029249341269E-3</v>
      </c>
      <c r="K49" s="44">
        <f t="shared" si="6"/>
        <v>5.4860029249341269E-3</v>
      </c>
      <c r="L49" s="44">
        <f t="shared" si="6"/>
        <v>5.4860029249341269E-3</v>
      </c>
      <c r="M49" s="44">
        <f t="shared" si="6"/>
        <v>5.4860029249341269E-3</v>
      </c>
      <c r="N49" s="44"/>
      <c r="O49" s="80"/>
      <c r="P49" s="80"/>
      <c r="Q49" s="80"/>
      <c r="R49" s="80"/>
      <c r="S49" s="80"/>
    </row>
    <row r="50" spans="1:19">
      <c r="A50" s="9"/>
      <c r="B50" s="9"/>
      <c r="C50" s="74" t="s">
        <v>170</v>
      </c>
      <c r="D50" s="1"/>
      <c r="E50" s="44"/>
      <c r="F50" s="44"/>
      <c r="G50" s="94"/>
      <c r="H50" s="94">
        <f t="shared" ref="H50:M50" si="7">INDEX(BBlockMths,H$46-1,$G$1)</f>
        <v>0</v>
      </c>
      <c r="I50" s="94">
        <f t="shared" si="7"/>
        <v>12</v>
      </c>
      <c r="J50" s="94">
        <f t="shared" si="7"/>
        <v>12</v>
      </c>
      <c r="K50" s="94">
        <f t="shared" si="7"/>
        <v>12</v>
      </c>
      <c r="L50" s="94">
        <f t="shared" si="7"/>
        <v>12</v>
      </c>
      <c r="M50" s="94">
        <f t="shared" si="7"/>
        <v>3</v>
      </c>
      <c r="N50" s="44"/>
      <c r="O50" s="80"/>
      <c r="P50" s="80"/>
      <c r="Q50" s="80"/>
      <c r="R50" s="80"/>
      <c r="S50" s="80"/>
    </row>
    <row r="51" spans="1:19">
      <c r="A51" s="9"/>
      <c r="B51" s="9"/>
      <c r="C51" s="74" t="s">
        <v>171</v>
      </c>
      <c r="D51" s="1"/>
      <c r="E51" s="44"/>
      <c r="F51" s="44"/>
      <c r="G51" s="94"/>
      <c r="H51" s="94">
        <f t="shared" ref="H51:M51" si="8">INDEX(AllowedRevMths,H$46-1,$G$1)</f>
        <v>3</v>
      </c>
      <c r="I51" s="94">
        <f t="shared" si="8"/>
        <v>12</v>
      </c>
      <c r="J51" s="94">
        <f t="shared" si="8"/>
        <v>12</v>
      </c>
      <c r="K51" s="94">
        <f t="shared" si="8"/>
        <v>12</v>
      </c>
      <c r="L51" s="94">
        <f t="shared" si="8"/>
        <v>12</v>
      </c>
      <c r="M51" s="94">
        <f t="shared" si="8"/>
        <v>0</v>
      </c>
      <c r="N51" s="44"/>
      <c r="O51" s="80"/>
      <c r="P51" s="80"/>
      <c r="Q51" s="80"/>
      <c r="R51" s="80"/>
      <c r="S51" s="80"/>
    </row>
    <row r="52" spans="1:19">
      <c r="A52" s="9"/>
      <c r="B52" s="9"/>
      <c r="D52" s="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80"/>
      <c r="P52" s="80"/>
      <c r="Q52" s="80"/>
      <c r="R52" s="80"/>
      <c r="S52" s="80"/>
    </row>
    <row r="53" spans="1:19">
      <c r="A53" s="9"/>
      <c r="B53" s="9"/>
      <c r="D53" s="1"/>
      <c r="E53" s="44"/>
      <c r="G53" s="44"/>
      <c r="H53" s="44"/>
      <c r="I53" s="44"/>
      <c r="J53" s="44"/>
      <c r="K53" s="44"/>
      <c r="L53" s="44"/>
      <c r="M53" s="44"/>
      <c r="N53" s="44"/>
      <c r="O53" s="80"/>
      <c r="P53" s="80"/>
      <c r="Q53" s="80"/>
      <c r="R53" s="80"/>
      <c r="S53" s="80"/>
    </row>
    <row r="54" spans="1:19" ht="15.75">
      <c r="A54" s="9"/>
      <c r="B54" s="9"/>
      <c r="C54" s="79" t="s">
        <v>139</v>
      </c>
      <c r="D54" s="1"/>
      <c r="E54" s="81" t="str">
        <f>Inputs!D$12</f>
        <v>2009/10</v>
      </c>
      <c r="F54" s="81" t="str">
        <f>Inputs!E$12</f>
        <v>2010/11</v>
      </c>
      <c r="G54" s="81" t="str">
        <f>Inputs!F$12</f>
        <v>2011/12</v>
      </c>
      <c r="H54" s="81" t="str">
        <f>Inputs!G$12</f>
        <v>2012/13</v>
      </c>
      <c r="I54" s="81" t="str">
        <f>Inputs!H$12</f>
        <v>2013/14</v>
      </c>
      <c r="J54" s="81" t="str">
        <f>Inputs!I$12</f>
        <v>2014/15</v>
      </c>
      <c r="K54" s="81" t="str">
        <f>Inputs!J$12</f>
        <v>2015/16</v>
      </c>
      <c r="L54" s="81" t="str">
        <f>Inputs!K$12</f>
        <v>2016/17</v>
      </c>
      <c r="M54" s="81" t="str">
        <f>Inputs!L$12</f>
        <v>2017/18</v>
      </c>
      <c r="N54" s="44"/>
      <c r="O54" s="92"/>
      <c r="P54" s="80"/>
      <c r="Q54" s="80"/>
      <c r="R54" s="80"/>
      <c r="S54" s="80"/>
    </row>
    <row r="55" spans="1:19">
      <c r="A55" s="9"/>
      <c r="B55" s="9"/>
      <c r="C55" s="80" t="str">
        <f>Inputs!B16</f>
        <v>Change in CPI, 2 index, June year-end, no lag</v>
      </c>
      <c r="D55" s="1"/>
      <c r="E55" s="77">
        <f>Inputs!D16</f>
        <v>1.6651248843663202E-2</v>
      </c>
      <c r="F55" s="77">
        <f>Inputs!E16</f>
        <v>3.2132598262234913E-2</v>
      </c>
      <c r="G55" s="77">
        <f>Inputs!F16</f>
        <v>9.5073465859982775E-3</v>
      </c>
      <c r="H55" s="77">
        <f>Inputs!G16</f>
        <v>2.1404109589041154E-2</v>
      </c>
      <c r="I55" s="77">
        <f>Inputs!H16</f>
        <v>2.0117351215423351E-2</v>
      </c>
      <c r="J55" s="77">
        <f>Inputs!I16</f>
        <v>2.2144831398562603E-2</v>
      </c>
      <c r="K55" s="77">
        <f>Inputs!J16</f>
        <v>2.1072415699281422E-2</v>
      </c>
      <c r="L55" s="77">
        <f>Inputs!K16</f>
        <v>2.0000000000000018E-2</v>
      </c>
      <c r="M55" s="77">
        <f>Inputs!L16</f>
        <v>2.0000000000000018E-2</v>
      </c>
      <c r="O55" s="92"/>
      <c r="P55" s="80"/>
      <c r="Q55" s="80"/>
      <c r="R55" s="80"/>
      <c r="S55" s="80"/>
    </row>
    <row r="56" spans="1:19">
      <c r="A56" s="9"/>
      <c r="B56" s="9"/>
      <c r="C56" s="80" t="str">
        <f>Inputs!B17</f>
        <v>Change in CPI, 2 index, December year-end, no lag</v>
      </c>
      <c r="D56" s="1"/>
      <c r="E56" s="35">
        <f>Inputs!D17</f>
        <v>1.9858995748345043E-2</v>
      </c>
      <c r="F56" s="35">
        <f>Inputs!E17</f>
        <v>1.846965699208436E-2</v>
      </c>
      <c r="G56" s="35">
        <f>Inputs!F17</f>
        <v>1.899827288428324E-2</v>
      </c>
      <c r="H56" s="35">
        <f>Inputs!G17</f>
        <v>1.6949152542372836E-2</v>
      </c>
      <c r="I56" s="35">
        <f>Inputs!H17</f>
        <v>2.1666666666666723E-2</v>
      </c>
      <c r="J56" s="35">
        <f>Inputs!I17</f>
        <v>2.2144831398562603E-2</v>
      </c>
      <c r="K56" s="35">
        <f>Inputs!J17</f>
        <v>2.1072415699281422E-2</v>
      </c>
      <c r="L56" s="35">
        <f>Inputs!K17</f>
        <v>2.0000000000000018E-2</v>
      </c>
      <c r="M56" s="35">
        <f>Inputs!L17</f>
        <v>2.0000000000000018E-2</v>
      </c>
      <c r="O56" s="92"/>
      <c r="P56" s="80"/>
      <c r="Q56" s="80"/>
      <c r="R56" s="80"/>
      <c r="S56" s="80"/>
    </row>
    <row r="57" spans="1:19">
      <c r="A57" s="9"/>
      <c r="B57" s="9"/>
      <c r="C57" s="80" t="str">
        <f>Inputs!B18</f>
        <v>Change in CPI, 8 index, June year-end, with 1.02 factor</v>
      </c>
      <c r="D57" s="1"/>
      <c r="E57" s="77"/>
      <c r="F57" s="77"/>
      <c r="G57" s="77"/>
      <c r="H57" s="77"/>
      <c r="I57" s="77">
        <f>Inputs!H18</f>
        <v>1.29785853341986E-2</v>
      </c>
      <c r="J57" s="77">
        <f>Inputs!I18</f>
        <v>1.9205353664219604E-2</v>
      </c>
      <c r="K57" s="77">
        <f>Inputs!J18</f>
        <v>2.0308989315472648E-2</v>
      </c>
      <c r="L57" s="77">
        <f>Inputs!K18</f>
        <v>2.2410409892577032E-2</v>
      </c>
      <c r="M57" s="77">
        <f>Inputs!L18</f>
        <v>2.1338203775091324E-2</v>
      </c>
      <c r="O57" s="92"/>
      <c r="P57" s="80"/>
      <c r="Q57" s="80"/>
      <c r="R57" s="80"/>
      <c r="S57" s="80"/>
    </row>
    <row r="58" spans="1:19">
      <c r="A58" s="9"/>
      <c r="B58" s="9"/>
      <c r="C58" s="80" t="str">
        <f>Inputs!B19</f>
        <v>Change in CPI, 8 index, Sept year-end, with 1.02 factor</v>
      </c>
      <c r="E58" s="77"/>
      <c r="F58" s="77"/>
      <c r="G58" s="77"/>
      <c r="H58" s="77"/>
      <c r="I58" s="77">
        <f>Inputs!H19</f>
        <v>1.3574660633484115E-2</v>
      </c>
      <c r="J58" s="77">
        <f>Inputs!I19</f>
        <v>1.9119615478218499E-2</v>
      </c>
      <c r="K58" s="77">
        <f>Inputs!J19</f>
        <v>2.1680202356610057E-2</v>
      </c>
      <c r="L58" s="77">
        <f>Inputs!K19</f>
        <v>2.2144831398562603E-2</v>
      </c>
      <c r="M58" s="77">
        <f>Inputs!L19</f>
        <v>2.1072415699281422E-2</v>
      </c>
      <c r="O58" s="92"/>
      <c r="P58" s="80"/>
      <c r="Q58" s="80"/>
      <c r="R58" s="80"/>
      <c r="S58" s="80"/>
    </row>
    <row r="59" spans="1:19">
      <c r="A59" s="9"/>
      <c r="B59" s="9"/>
      <c r="C59" s="80" t="str">
        <f>Inputs!B20</f>
        <v>Change in CPI, 8 index, June year-end, no 1.02 factor</v>
      </c>
      <c r="E59" s="77"/>
      <c r="F59" s="77"/>
      <c r="G59" s="77">
        <f>Inputs!F20</f>
        <v>2.3020257826887658E-2</v>
      </c>
      <c r="H59" s="77">
        <f>Inputs!G20</f>
        <v>4.0279027902790254E-2</v>
      </c>
      <c r="I59" s="77">
        <f>Inputs!H20</f>
        <v>1.29785853341986E-2</v>
      </c>
      <c r="J59" s="77">
        <f>Inputs!I20</f>
        <v>1.9205353664219604E-2</v>
      </c>
      <c r="K59" s="77">
        <f>Inputs!J20</f>
        <v>2.0308989315472648E-2</v>
      </c>
      <c r="L59" s="77">
        <f>Inputs!K20</f>
        <v>2.2410409892577032E-2</v>
      </c>
      <c r="M59" s="77">
        <f>Inputs!L20</f>
        <v>2.1338203775091324E-2</v>
      </c>
      <c r="O59" s="92"/>
      <c r="P59" s="80"/>
      <c r="Q59" s="80"/>
      <c r="R59" s="80"/>
      <c r="S59" s="80"/>
    </row>
    <row r="60" spans="1:19">
      <c r="A60" s="9"/>
      <c r="B60" s="9"/>
      <c r="C60" s="80" t="str">
        <f>Inputs!B21</f>
        <v>Change in CPI, 8 index, Sept year-end, no 1.02 factor</v>
      </c>
      <c r="E60" s="77"/>
      <c r="F60" s="77">
        <f>Inputs!E21</f>
        <v>1.890315052508762E-2</v>
      </c>
      <c r="G60" s="77">
        <f>Inputs!F21</f>
        <v>2.9088410444342738E-2</v>
      </c>
      <c r="H60" s="77">
        <f>Inputs!G21</f>
        <v>3.2940129089695125E-2</v>
      </c>
      <c r="I60" s="77">
        <f>Inputs!H21</f>
        <v>1.3574660633484115E-2</v>
      </c>
      <c r="J60" s="77">
        <f>Inputs!I21</f>
        <v>1.9119615478218499E-2</v>
      </c>
      <c r="K60" s="77">
        <f>Inputs!J21</f>
        <v>2.1680202356610057E-2</v>
      </c>
      <c r="L60" s="77">
        <f>Inputs!K21</f>
        <v>2.2144831398562603E-2</v>
      </c>
      <c r="M60" s="77">
        <f>Inputs!L21</f>
        <v>2.1072415699281422E-2</v>
      </c>
      <c r="O60" s="92"/>
      <c r="P60" s="80"/>
      <c r="Q60" s="80"/>
      <c r="R60" s="80"/>
      <c r="S60" s="80"/>
    </row>
    <row r="61" spans="1:19">
      <c r="A61" s="9"/>
      <c r="B61" s="9"/>
      <c r="E61" s="77"/>
      <c r="F61" s="77"/>
      <c r="G61" s="77"/>
      <c r="H61" s="77"/>
      <c r="I61" s="77"/>
      <c r="J61" s="77"/>
      <c r="K61" s="77"/>
      <c r="L61" s="77"/>
      <c r="M61" s="77"/>
      <c r="O61" s="91"/>
      <c r="P61" s="80"/>
      <c r="Q61" s="80"/>
      <c r="R61" s="80"/>
      <c r="S61" s="80"/>
    </row>
    <row r="62" spans="1:19" ht="21">
      <c r="A62" s="9"/>
      <c r="B62" s="9"/>
      <c r="C62" s="3" t="s">
        <v>213</v>
      </c>
      <c r="E62" s="77"/>
      <c r="F62" s="77"/>
      <c r="G62" s="77"/>
      <c r="H62" s="77"/>
      <c r="I62" s="77"/>
      <c r="J62" s="77"/>
      <c r="K62" s="77"/>
      <c r="L62" s="77"/>
      <c r="M62" s="77"/>
      <c r="O62" s="91"/>
      <c r="P62" s="80"/>
      <c r="Q62" s="80"/>
      <c r="R62" s="80"/>
      <c r="S62" s="80"/>
    </row>
    <row r="63" spans="1:19">
      <c r="A63" s="9"/>
      <c r="B63" s="9"/>
      <c r="C63" s="40"/>
      <c r="E63" s="40"/>
      <c r="F63" s="40" t="s">
        <v>40</v>
      </c>
      <c r="I63" s="10" t="s">
        <v>5</v>
      </c>
      <c r="O63" s="91"/>
      <c r="P63" s="91"/>
      <c r="Q63" s="91"/>
      <c r="R63" s="91"/>
      <c r="S63" s="80"/>
    </row>
    <row r="64" spans="1:19">
      <c r="A64" s="9"/>
      <c r="B64" s="9"/>
      <c r="C64" s="40"/>
      <c r="D64" s="40"/>
      <c r="E64" s="40"/>
      <c r="O64" s="91"/>
      <c r="P64" s="91"/>
      <c r="Q64" s="91"/>
      <c r="R64" s="91"/>
      <c r="S64" s="80"/>
    </row>
    <row r="65" spans="1:30">
      <c r="A65" s="9"/>
      <c r="B65" s="9"/>
      <c r="C65" s="40"/>
      <c r="E65" s="81" t="str">
        <f t="shared" ref="E65:M65" si="9">E21</f>
        <v>2009/10</v>
      </c>
      <c r="F65" s="81" t="str">
        <f t="shared" si="9"/>
        <v>2010/11</v>
      </c>
      <c r="G65" s="81" t="str">
        <f t="shared" si="9"/>
        <v>2011/12</v>
      </c>
      <c r="H65" s="81" t="str">
        <f t="shared" si="9"/>
        <v>2012/13</v>
      </c>
      <c r="I65" s="81" t="str">
        <f t="shared" si="9"/>
        <v>2013/14</v>
      </c>
      <c r="J65" s="81" t="str">
        <f t="shared" si="9"/>
        <v>2014/15</v>
      </c>
      <c r="K65" s="81" t="str">
        <f t="shared" si="9"/>
        <v>2015/16</v>
      </c>
      <c r="L65" s="81" t="str">
        <f t="shared" si="9"/>
        <v>2016/17</v>
      </c>
      <c r="M65" s="81" t="str">
        <f t="shared" si="9"/>
        <v>2017/18</v>
      </c>
      <c r="O65" s="43"/>
      <c r="P65" s="43"/>
      <c r="Q65" s="43"/>
      <c r="R65" s="43"/>
    </row>
    <row r="66" spans="1:30">
      <c r="A66" s="9"/>
      <c r="B66" s="9"/>
      <c r="C66" s="98" t="s">
        <v>190</v>
      </c>
      <c r="E66" s="81"/>
      <c r="F66" s="81"/>
      <c r="G66" s="81"/>
      <c r="H66" s="81"/>
      <c r="I66" s="81"/>
      <c r="J66" s="81"/>
      <c r="K66" s="81"/>
      <c r="L66" s="81"/>
      <c r="M66" s="81"/>
      <c r="O66" s="43"/>
      <c r="P66" s="43"/>
      <c r="Q66" s="43"/>
      <c r="R66" s="43"/>
    </row>
    <row r="67" spans="1:30" ht="18">
      <c r="A67" s="9"/>
      <c r="B67" s="9"/>
      <c r="C67" s="40" t="s">
        <v>189</v>
      </c>
      <c r="E67" s="21"/>
      <c r="F67" s="17"/>
      <c r="G67" s="17"/>
      <c r="H67" s="175">
        <f>IF($G$1=4,IntraYr!D8,1)</f>
        <v>1</v>
      </c>
      <c r="I67" s="101">
        <f>IntraYr!$F$8</f>
        <v>1.0364307906539196</v>
      </c>
      <c r="J67" s="101">
        <f>IntraYr!$F$8</f>
        <v>1.0364307906539196</v>
      </c>
      <c r="K67" s="117">
        <f>IntraYr!$F$8</f>
        <v>1.0364307906539196</v>
      </c>
      <c r="L67" s="176">
        <f>IF($G$1=4,IntraYr!E8,IntraYr!$F$8)</f>
        <v>1.0364307906539196</v>
      </c>
      <c r="M67" s="101">
        <f>IF($G$1=4,1,IntraYr!C8)</f>
        <v>1.0090850449949973</v>
      </c>
      <c r="O67" s="43"/>
      <c r="P67" s="43"/>
      <c r="Q67" s="43"/>
      <c r="R67" s="43"/>
    </row>
    <row r="68" spans="1:30" ht="18">
      <c r="A68" s="9"/>
      <c r="B68" s="9"/>
      <c r="C68" s="40" t="s">
        <v>50</v>
      </c>
      <c r="E68" s="21"/>
      <c r="F68" s="17"/>
      <c r="G68" s="17"/>
      <c r="H68" s="175">
        <f>IF($G$1=4,IntraYr!D9,1)</f>
        <v>1</v>
      </c>
      <c r="I68" s="101">
        <f>IntraYr!$F$9</f>
        <v>1.0295256528345071</v>
      </c>
      <c r="J68" s="101">
        <f>IntraYr!$F$9</f>
        <v>1.0295256528345071</v>
      </c>
      <c r="K68" s="117">
        <f>IntraYr!$F$9</f>
        <v>1.0295256528345071</v>
      </c>
      <c r="L68" s="176">
        <f>IF($G$1=4,IntraYr!E9,IntraYr!$F$9)</f>
        <v>1.0295256528345071</v>
      </c>
      <c r="M68" s="101">
        <f>IF($G$1=4,1,IntraYr!C9)</f>
        <v>1.0019680262519974</v>
      </c>
      <c r="O68" s="43"/>
      <c r="P68" s="43"/>
      <c r="Q68" s="43"/>
      <c r="R68" s="43"/>
    </row>
    <row r="69" spans="1:30">
      <c r="A69" s="9"/>
      <c r="B69" s="9"/>
      <c r="C69" s="40"/>
      <c r="E69" s="21"/>
      <c r="F69" s="17"/>
      <c r="G69" s="17"/>
      <c r="H69" s="101"/>
      <c r="I69" s="101"/>
      <c r="J69" s="101"/>
      <c r="K69" s="102"/>
      <c r="L69" s="102"/>
      <c r="M69" s="102"/>
      <c r="O69" s="43"/>
      <c r="P69" s="43"/>
      <c r="Q69" s="43"/>
    </row>
    <row r="70" spans="1:30">
      <c r="A70" s="9"/>
      <c r="B70" s="9"/>
      <c r="C70" s="99" t="s">
        <v>191</v>
      </c>
      <c r="E70" s="21"/>
      <c r="F70" s="17"/>
      <c r="G70" s="17"/>
      <c r="H70" s="101"/>
      <c r="I70" s="101"/>
      <c r="J70" s="101"/>
      <c r="K70" s="102"/>
      <c r="L70" s="102"/>
      <c r="M70" s="102"/>
      <c r="O70" s="43"/>
      <c r="P70" s="43"/>
      <c r="Q70" s="43"/>
    </row>
    <row r="71" spans="1:30" ht="18">
      <c r="A71" s="9"/>
      <c r="B71" s="9"/>
      <c r="C71" s="40" t="s">
        <v>189</v>
      </c>
      <c r="E71" s="21"/>
      <c r="F71" s="17"/>
      <c r="G71" s="17"/>
      <c r="H71" s="175">
        <f>IF($G$1=4,1,IntraYr!C8)</f>
        <v>1.0090850449949973</v>
      </c>
      <c r="I71" s="101">
        <f>IntraYr!$F$8</f>
        <v>1.0364307906539196</v>
      </c>
      <c r="J71" s="101">
        <f>IntraYr!$F$8</f>
        <v>1.0364307906539196</v>
      </c>
      <c r="K71" s="101">
        <f>IntraYr!$F$8</f>
        <v>1.0364307906539196</v>
      </c>
      <c r="L71" s="175">
        <f>IntraYr!$F$8</f>
        <v>1.0364307906539196</v>
      </c>
      <c r="M71" s="101">
        <f>IF($G$1=4,IntraYr!C8,1)</f>
        <v>1</v>
      </c>
      <c r="O71" s="43"/>
      <c r="P71" s="43"/>
      <c r="Q71" s="43"/>
    </row>
    <row r="72" spans="1:30" ht="18">
      <c r="A72" s="9"/>
      <c r="B72" s="9"/>
      <c r="C72" s="40" t="s">
        <v>50</v>
      </c>
      <c r="E72" s="21"/>
      <c r="F72" s="17"/>
      <c r="G72" s="17"/>
      <c r="H72" s="175">
        <f>IF($G$1=4,1,IntraYr!C9)</f>
        <v>1.0019680262519974</v>
      </c>
      <c r="I72" s="101">
        <f>IntraYr!$F$9</f>
        <v>1.0295256528345071</v>
      </c>
      <c r="J72" s="101">
        <f>IntraYr!$F$9</f>
        <v>1.0295256528345071</v>
      </c>
      <c r="K72" s="101">
        <f>IntraYr!$F$9</f>
        <v>1.0295256528345071</v>
      </c>
      <c r="L72" s="175">
        <f>IntraYr!$F$9</f>
        <v>1.0295256528345071</v>
      </c>
      <c r="M72" s="101">
        <f>IF($G$1=4,IntraYr!C9,1)</f>
        <v>1</v>
      </c>
      <c r="O72" s="91"/>
      <c r="P72" s="91"/>
      <c r="Q72" s="91"/>
      <c r="R72" s="80"/>
      <c r="S72" s="80"/>
    </row>
    <row r="73" spans="1:30">
      <c r="A73" s="9"/>
      <c r="B73" s="9"/>
      <c r="D73" s="1"/>
      <c r="O73" s="80"/>
      <c r="P73" s="80"/>
      <c r="Q73" s="80"/>
      <c r="R73" s="80"/>
      <c r="S73" s="80"/>
    </row>
    <row r="74" spans="1:30" ht="23.25">
      <c r="C74" s="84" t="s">
        <v>4</v>
      </c>
      <c r="D74" s="85" t="s">
        <v>19</v>
      </c>
      <c r="E74" s="2"/>
      <c r="F74" s="85" t="s">
        <v>18</v>
      </c>
      <c r="G74" s="2"/>
      <c r="H74" s="2"/>
      <c r="I74" s="2"/>
      <c r="J74" s="2"/>
      <c r="K74" s="2"/>
      <c r="L74" s="2"/>
      <c r="M74" s="2"/>
      <c r="N74" s="2"/>
      <c r="O74" s="228"/>
      <c r="P74" s="228"/>
      <c r="Q74" s="228"/>
      <c r="R74" s="228"/>
      <c r="S74" s="228"/>
    </row>
    <row r="75" spans="1:30">
      <c r="E75" s="10" t="str">
        <f>E$21</f>
        <v>2009/10</v>
      </c>
      <c r="F75" s="10" t="str">
        <f t="shared" ref="F75:M75" si="10">F$21</f>
        <v>2010/11</v>
      </c>
      <c r="G75" s="10" t="str">
        <f t="shared" si="10"/>
        <v>2011/12</v>
      </c>
      <c r="H75" s="10" t="str">
        <f t="shared" si="10"/>
        <v>2012/13</v>
      </c>
      <c r="I75" s="10" t="str">
        <f t="shared" si="10"/>
        <v>2013/14</v>
      </c>
      <c r="J75" s="10" t="str">
        <f t="shared" si="10"/>
        <v>2014/15</v>
      </c>
      <c r="K75" s="10" t="str">
        <f t="shared" si="10"/>
        <v>2015/16</v>
      </c>
      <c r="L75" s="10" t="str">
        <f t="shared" si="10"/>
        <v>2016/17</v>
      </c>
      <c r="M75" s="10" t="str">
        <f t="shared" si="10"/>
        <v>2017/18</v>
      </c>
      <c r="N75" s="10"/>
      <c r="O75" s="213"/>
      <c r="P75" s="169"/>
      <c r="Q75" s="80"/>
      <c r="R75" s="80"/>
      <c r="S75" s="80"/>
    </row>
    <row r="76" spans="1:30"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37"/>
      <c r="P76" s="80"/>
      <c r="Q76" s="229"/>
      <c r="R76" s="229"/>
      <c r="S76" s="229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 ht="21">
      <c r="C77" s="3" t="s">
        <v>205</v>
      </c>
      <c r="D77" s="3"/>
      <c r="E77" s="3"/>
      <c r="F77" s="3"/>
      <c r="G77" s="3"/>
      <c r="H77" s="77"/>
      <c r="I77" s="77"/>
      <c r="J77" s="77"/>
      <c r="K77" s="77"/>
      <c r="L77" s="77"/>
      <c r="M77" s="77"/>
      <c r="N77" s="77"/>
      <c r="O77" s="37"/>
      <c r="P77" s="80"/>
      <c r="Q77" s="229"/>
      <c r="R77" s="229"/>
      <c r="S77" s="229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>
      <c r="C78" s="80" t="s">
        <v>437</v>
      </c>
      <c r="E78" s="77"/>
      <c r="F78" s="77"/>
      <c r="G78" s="77"/>
      <c r="H78" s="77"/>
      <c r="I78" s="77">
        <f t="shared" ref="I78:M78" si="11">IF($G$1=4,I57,I58)</f>
        <v>1.3574660633484115E-2</v>
      </c>
      <c r="J78" s="77">
        <f t="shared" si="11"/>
        <v>1.9119615478218499E-2</v>
      </c>
      <c r="K78" s="77">
        <f t="shared" si="11"/>
        <v>2.1680202356610057E-2</v>
      </c>
      <c r="L78" s="77">
        <f t="shared" si="11"/>
        <v>2.2144831398562603E-2</v>
      </c>
      <c r="M78" s="77">
        <f t="shared" si="11"/>
        <v>2.1072415699281422E-2</v>
      </c>
      <c r="N78" s="77"/>
      <c r="O78" s="37"/>
      <c r="P78" s="80"/>
      <c r="Q78" s="229"/>
      <c r="R78" s="229"/>
      <c r="S78" s="229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6" customHeight="1">
      <c r="C79" s="8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37"/>
      <c r="P79" s="80"/>
      <c r="Q79" s="229"/>
      <c r="R79" s="229"/>
      <c r="S79" s="229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ht="3" customHeight="1">
      <c r="A80" s="120"/>
      <c r="B80" s="120"/>
      <c r="C80" s="120"/>
      <c r="D80" s="1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37"/>
      <c r="P80" s="80"/>
      <c r="Q80" s="229"/>
      <c r="R80" s="229"/>
      <c r="S80" s="229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3:30" ht="21">
      <c r="C81" s="80"/>
      <c r="E81" s="123" t="str">
        <f>"All information below this line down to Row " &amp; ROW(E289) &amp; " is in " &amp; E38 &amp; " year-ends."</f>
        <v>All information below this line down to Row 289 is in June  year-ends.</v>
      </c>
      <c r="F81" s="77"/>
      <c r="G81" s="77"/>
      <c r="H81" s="77"/>
      <c r="I81" s="77"/>
      <c r="J81" s="77"/>
      <c r="K81" s="77"/>
      <c r="L81" s="77"/>
      <c r="M81" s="77"/>
      <c r="N81" s="77"/>
      <c r="O81" s="37"/>
      <c r="P81" s="80"/>
      <c r="Q81" s="229"/>
      <c r="R81" s="229"/>
      <c r="S81" s="229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3:30" ht="6" customHeight="1">
      <c r="C82" s="8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37"/>
      <c r="P82" s="80"/>
      <c r="Q82" s="229"/>
      <c r="R82" s="229"/>
      <c r="S82" s="229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3:30" ht="45">
      <c r="C83" s="129" t="s">
        <v>241</v>
      </c>
      <c r="D83" s="40"/>
      <c r="E83" s="127" t="str">
        <f t="shared" ref="E83:M83" si="12">E9</f>
        <v>01/07/09 to 30/06/10</v>
      </c>
      <c r="F83" s="127" t="str">
        <f t="shared" si="12"/>
        <v>01/07/10 to 30/06/11</v>
      </c>
      <c r="G83" s="127" t="str">
        <f t="shared" si="12"/>
        <v>01/07/11 to 30/06/12</v>
      </c>
      <c r="H83" s="127" t="str">
        <f t="shared" si="12"/>
        <v>01/07/12 to 30/06/13</v>
      </c>
      <c r="I83" s="127" t="str">
        <f t="shared" si="12"/>
        <v>01/07/13 to 30/06/14</v>
      </c>
      <c r="J83" s="127" t="str">
        <f t="shared" si="12"/>
        <v>01/07/14 to 30/06/15</v>
      </c>
      <c r="K83" s="127" t="str">
        <f t="shared" si="12"/>
        <v>01/07/15 to 30/06/16</v>
      </c>
      <c r="L83" s="127" t="str">
        <f t="shared" si="12"/>
        <v>01/07/16 to 30/06/17</v>
      </c>
      <c r="M83" s="127" t="str">
        <f t="shared" si="12"/>
        <v>01/07/17 to 30/06/18</v>
      </c>
      <c r="N83" s="77"/>
      <c r="O83" s="37"/>
      <c r="P83" s="80"/>
      <c r="Q83" s="229"/>
      <c r="R83" s="229"/>
      <c r="S83" s="229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3:30">
      <c r="C84" s="74" t="s">
        <v>89</v>
      </c>
      <c r="E84" s="35">
        <f t="shared" ref="E84:M84" si="13">IF($G$1=4,E56,E55)</f>
        <v>1.6651248843663202E-2</v>
      </c>
      <c r="F84" s="35">
        <f t="shared" si="13"/>
        <v>3.2132598262234913E-2</v>
      </c>
      <c r="G84" s="35">
        <f t="shared" si="13"/>
        <v>9.5073465859982775E-3</v>
      </c>
      <c r="H84" s="35">
        <f t="shared" si="13"/>
        <v>2.1404109589041154E-2</v>
      </c>
      <c r="I84" s="35">
        <f t="shared" si="13"/>
        <v>2.0117351215423351E-2</v>
      </c>
      <c r="J84" s="35">
        <f t="shared" si="13"/>
        <v>2.2144831398562603E-2</v>
      </c>
      <c r="K84" s="35">
        <f t="shared" si="13"/>
        <v>2.1072415699281422E-2</v>
      </c>
      <c r="L84" s="35">
        <f t="shared" si="13"/>
        <v>2.0000000000000018E-2</v>
      </c>
      <c r="M84" s="35">
        <f t="shared" si="13"/>
        <v>2.0000000000000018E-2</v>
      </c>
      <c r="N84" s="21"/>
      <c r="O84" s="37"/>
      <c r="P84" s="80"/>
      <c r="Q84" s="80"/>
      <c r="R84" s="80"/>
      <c r="S84" s="80"/>
    </row>
    <row r="85" spans="3:30">
      <c r="C85" s="74" t="s">
        <v>119</v>
      </c>
      <c r="E85" s="35"/>
      <c r="F85" s="35"/>
      <c r="G85" s="35">
        <f>IF($G$1=4,G56,G55)</f>
        <v>9.5073465859982775E-3</v>
      </c>
      <c r="H85" s="35">
        <f t="shared" ref="H85:M85" si="14">IF($G$1=4,H56,H55)</f>
        <v>2.1404109589041154E-2</v>
      </c>
      <c r="I85" s="35">
        <f t="shared" si="14"/>
        <v>2.0117351215423351E-2</v>
      </c>
      <c r="J85" s="35">
        <f t="shared" si="14"/>
        <v>2.2144831398562603E-2</v>
      </c>
      <c r="K85" s="35">
        <f t="shared" si="14"/>
        <v>2.1072415699281422E-2</v>
      </c>
      <c r="L85" s="35">
        <f t="shared" si="14"/>
        <v>2.0000000000000018E-2</v>
      </c>
      <c r="M85" s="35">
        <f t="shared" si="14"/>
        <v>2.0000000000000018E-2</v>
      </c>
      <c r="N85" s="21"/>
      <c r="O85" s="37"/>
      <c r="P85" s="80"/>
      <c r="Q85" s="80"/>
      <c r="R85" s="80"/>
      <c r="S85" s="80"/>
    </row>
    <row r="86" spans="3:30">
      <c r="C86" s="80" t="s">
        <v>85</v>
      </c>
      <c r="D86" s="80"/>
      <c r="E86" s="80"/>
      <c r="F86" s="174">
        <f>F32</f>
        <v>0</v>
      </c>
      <c r="G86" s="37">
        <f t="shared" ref="G86:M86" si="15">F86*(1+G85)</f>
        <v>0</v>
      </c>
      <c r="H86" s="37">
        <f t="shared" si="15"/>
        <v>0</v>
      </c>
      <c r="I86" s="37">
        <f t="shared" si="15"/>
        <v>0</v>
      </c>
      <c r="J86" s="37">
        <f t="shared" si="15"/>
        <v>0</v>
      </c>
      <c r="K86" s="37">
        <f t="shared" si="15"/>
        <v>0</v>
      </c>
      <c r="L86" s="37">
        <f t="shared" si="15"/>
        <v>0</v>
      </c>
      <c r="M86" s="37">
        <f t="shared" si="15"/>
        <v>0</v>
      </c>
      <c r="N86" s="80"/>
      <c r="O86" s="80"/>
      <c r="P86" s="80"/>
      <c r="Q86" s="80"/>
      <c r="R86" s="80"/>
      <c r="S86" s="80"/>
    </row>
    <row r="87" spans="3:30">
      <c r="N87" s="45"/>
      <c r="O87" s="80"/>
      <c r="P87" s="80"/>
      <c r="Q87" s="80"/>
      <c r="R87" s="80"/>
      <c r="S87" s="80"/>
    </row>
    <row r="88" spans="3:30" ht="23.25">
      <c r="C88" s="84" t="s">
        <v>71</v>
      </c>
      <c r="D88" s="85"/>
      <c r="E88" s="2"/>
      <c r="F88" s="85"/>
      <c r="G88" s="2"/>
      <c r="H88" s="2"/>
      <c r="I88" s="2"/>
      <c r="J88" s="2"/>
      <c r="K88" s="2"/>
      <c r="L88" s="2"/>
      <c r="M88" s="2"/>
      <c r="N88" s="2"/>
      <c r="O88" s="228"/>
      <c r="P88" s="228"/>
      <c r="Q88" s="228"/>
      <c r="R88" s="228"/>
      <c r="S88" s="228"/>
    </row>
    <row r="89" spans="3:30">
      <c r="N89" s="45"/>
      <c r="O89" s="80"/>
      <c r="P89" s="80"/>
      <c r="Q89" s="80"/>
      <c r="R89" s="80"/>
      <c r="S89" s="80"/>
    </row>
    <row r="90" spans="3:30" ht="15.75">
      <c r="C90" s="16" t="s">
        <v>20</v>
      </c>
      <c r="E90" s="13">
        <f>Inputs!D13</f>
        <v>0.3</v>
      </c>
      <c r="F90" s="13">
        <f>Inputs!E13</f>
        <v>0.3</v>
      </c>
      <c r="G90" s="13">
        <f>Inputs!F13</f>
        <v>0.28000000000000003</v>
      </c>
      <c r="H90" s="13">
        <f>Inputs!G13</f>
        <v>0.28000000000000003</v>
      </c>
      <c r="I90" s="13">
        <f>Inputs!H13</f>
        <v>0.28000000000000003</v>
      </c>
      <c r="J90" s="13">
        <f>Inputs!I13</f>
        <v>0.28000000000000003</v>
      </c>
      <c r="K90" s="13">
        <f>Inputs!J13</f>
        <v>0.28000000000000003</v>
      </c>
      <c r="L90" s="13">
        <f>Inputs!K13</f>
        <v>0.28000000000000003</v>
      </c>
      <c r="M90" s="13">
        <f>Inputs!L13</f>
        <v>0.28000000000000003</v>
      </c>
      <c r="N90" s="45"/>
      <c r="O90" s="80"/>
      <c r="P90" s="80"/>
      <c r="Q90" s="80"/>
      <c r="R90" s="80"/>
      <c r="S90" s="80"/>
    </row>
    <row r="91" spans="3:30">
      <c r="C91" s="74" t="s">
        <v>21</v>
      </c>
      <c r="E91" s="173">
        <f>F91+1</f>
        <v>34.715919295331283</v>
      </c>
      <c r="F91" s="177">
        <f>F26/F27</f>
        <v>33.715919295331283</v>
      </c>
      <c r="G91" s="18">
        <f t="shared" ref="G91:M91" si="16">F91-1</f>
        <v>32.715919295331283</v>
      </c>
      <c r="H91" s="18">
        <f t="shared" si="16"/>
        <v>31.715919295331283</v>
      </c>
      <c r="I91" s="18">
        <f t="shared" si="16"/>
        <v>30.715919295331283</v>
      </c>
      <c r="J91" s="18">
        <f t="shared" si="16"/>
        <v>29.715919295331283</v>
      </c>
      <c r="K91" s="18">
        <f t="shared" si="16"/>
        <v>28.715919295331283</v>
      </c>
      <c r="L91" s="18">
        <f t="shared" si="16"/>
        <v>27.715919295331283</v>
      </c>
      <c r="M91" s="18">
        <f t="shared" si="16"/>
        <v>26.715919295331283</v>
      </c>
      <c r="N91" s="45"/>
    </row>
    <row r="92" spans="3:30">
      <c r="C92" s="74" t="s">
        <v>114</v>
      </c>
      <c r="E92" s="80"/>
      <c r="F92" s="80"/>
      <c r="G92" s="35">
        <f>IF($G$1=4,G56,G55)</f>
        <v>9.5073465859982775E-3</v>
      </c>
      <c r="H92" s="35">
        <f t="shared" ref="H92:M92" si="17">IF($G$1=4,H56,H55)</f>
        <v>2.1404109589041154E-2</v>
      </c>
      <c r="I92" s="35">
        <f t="shared" si="17"/>
        <v>2.0117351215423351E-2</v>
      </c>
      <c r="J92" s="35">
        <f t="shared" si="17"/>
        <v>2.2144831398562603E-2</v>
      </c>
      <c r="K92" s="35">
        <f t="shared" si="17"/>
        <v>2.1072415699281422E-2</v>
      </c>
      <c r="L92" s="35">
        <f t="shared" si="17"/>
        <v>2.0000000000000018E-2</v>
      </c>
      <c r="M92" s="35">
        <f t="shared" si="17"/>
        <v>2.0000000000000018E-2</v>
      </c>
      <c r="N92" s="45"/>
    </row>
    <row r="93" spans="3:30">
      <c r="C93" s="74" t="s">
        <v>23</v>
      </c>
      <c r="E93" s="88">
        <f>E34</f>
        <v>723</v>
      </c>
      <c r="F93" s="179">
        <f>F28*0</f>
        <v>0</v>
      </c>
      <c r="G93" s="29">
        <f t="shared" ref="G93:M93" si="18">F93*(1+G92)</f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45"/>
    </row>
    <row r="94" spans="3:30">
      <c r="E94" s="63"/>
      <c r="F94" s="63"/>
      <c r="G94" s="29"/>
      <c r="H94" s="29"/>
      <c r="I94" s="29"/>
      <c r="J94" s="29"/>
      <c r="K94" s="29"/>
      <c r="L94" s="29"/>
      <c r="M94" s="29"/>
      <c r="N94" s="45"/>
    </row>
    <row r="95" spans="3:30" ht="21">
      <c r="C95" s="3" t="s">
        <v>224</v>
      </c>
      <c r="D95" s="75"/>
      <c r="N95" s="45"/>
    </row>
    <row r="96" spans="3:30" ht="15.75">
      <c r="C96" s="5" t="s">
        <v>196</v>
      </c>
      <c r="D96" s="78"/>
      <c r="E96" s="10" t="str">
        <f>E$21</f>
        <v>2009/10</v>
      </c>
      <c r="F96" s="10" t="str">
        <f t="shared" ref="F96:M96" si="19">F$21</f>
        <v>2010/11</v>
      </c>
      <c r="G96" s="10" t="str">
        <f t="shared" si="19"/>
        <v>2011/12</v>
      </c>
      <c r="H96" s="10" t="str">
        <f t="shared" si="19"/>
        <v>2012/13</v>
      </c>
      <c r="I96" s="10" t="str">
        <f t="shared" si="19"/>
        <v>2013/14</v>
      </c>
      <c r="J96" s="10" t="str">
        <f t="shared" si="19"/>
        <v>2014/15</v>
      </c>
      <c r="K96" s="10" t="str">
        <f t="shared" si="19"/>
        <v>2015/16</v>
      </c>
      <c r="L96" s="10" t="str">
        <f t="shared" si="19"/>
        <v>2016/17</v>
      </c>
      <c r="M96" s="10" t="str">
        <f t="shared" si="19"/>
        <v>2017/18</v>
      </c>
      <c r="N96" s="45"/>
      <c r="Q96" s="74" t="s">
        <v>169</v>
      </c>
    </row>
    <row r="97" spans="1:17">
      <c r="C97" s="74" t="s">
        <v>75</v>
      </c>
      <c r="E97" s="88">
        <f>E33</f>
        <v>418694</v>
      </c>
      <c r="F97" s="179">
        <f>F26</f>
        <v>423842.82146160956</v>
      </c>
      <c r="G97" s="29">
        <f t="shared" ref="G97:M97" si="20">F101</f>
        <v>424877.37339885929</v>
      </c>
      <c r="H97" s="29">
        <f t="shared" si="20"/>
        <v>415925.92092033091</v>
      </c>
      <c r="I97" s="29">
        <f t="shared" si="20"/>
        <v>411705.43659692962</v>
      </c>
      <c r="J97" s="29">
        <f t="shared" si="20"/>
        <v>406575.92687874858</v>
      </c>
      <c r="K97" s="29">
        <f t="shared" si="20"/>
        <v>401888.38717237092</v>
      </c>
      <c r="L97" s="29">
        <f t="shared" si="20"/>
        <v>396353.36079223728</v>
      </c>
      <c r="M97" s="29">
        <f t="shared" si="20"/>
        <v>389971.93394293147</v>
      </c>
      <c r="N97" s="45"/>
    </row>
    <row r="98" spans="1:17">
      <c r="C98" s="74" t="s">
        <v>23</v>
      </c>
      <c r="D98" s="78"/>
      <c r="E98" s="29">
        <f>E93</f>
        <v>723</v>
      </c>
      <c r="F98" s="29">
        <f t="shared" ref="F98:M98" si="21">F93</f>
        <v>0</v>
      </c>
      <c r="G98" s="29">
        <f t="shared" si="21"/>
        <v>0</v>
      </c>
      <c r="H98" s="29">
        <f t="shared" si="21"/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29">
        <f t="shared" si="21"/>
        <v>0</v>
      </c>
      <c r="N98" s="45"/>
    </row>
    <row r="99" spans="1:17">
      <c r="C99" s="74" t="s">
        <v>24</v>
      </c>
      <c r="E99" s="29">
        <f>(E97*0.999-E98)*E84</f>
        <v>6952.767352451403</v>
      </c>
      <c r="F99" s="29">
        <f t="shared" ref="F99:M99" si="22">(F97*0.999-F98)*F84</f>
        <v>13605.5519372497</v>
      </c>
      <c r="G99" s="29">
        <f t="shared" si="22"/>
        <v>4035.4169890061085</v>
      </c>
      <c r="H99" s="29">
        <f t="shared" si="22"/>
        <v>8893.6214683093258</v>
      </c>
      <c r="I99" s="29">
        <f t="shared" si="22"/>
        <v>8274.1404424543234</v>
      </c>
      <c r="J99" s="29">
        <f t="shared" si="22"/>
        <v>8994.5517960927609</v>
      </c>
      <c r="K99" s="29">
        <f t="shared" si="22"/>
        <v>8460.2904000507497</v>
      </c>
      <c r="L99" s="29">
        <f t="shared" si="22"/>
        <v>7919.1401486289078</v>
      </c>
      <c r="M99" s="29">
        <f t="shared" si="22"/>
        <v>7791.6392401797775</v>
      </c>
      <c r="N99" s="45"/>
    </row>
    <row r="100" spans="1:17">
      <c r="C100" s="74" t="s">
        <v>25</v>
      </c>
      <c r="E100" s="88"/>
      <c r="F100" s="29">
        <f t="shared" ref="F100:M100" si="23">F97/F91</f>
        <v>12571</v>
      </c>
      <c r="G100" s="29">
        <f t="shared" si="23"/>
        <v>12986.869467534458</v>
      </c>
      <c r="H100" s="29">
        <f t="shared" si="23"/>
        <v>13114.10579171063</v>
      </c>
      <c r="I100" s="29">
        <f t="shared" si="23"/>
        <v>13403.65016063535</v>
      </c>
      <c r="J100" s="29">
        <f t="shared" si="23"/>
        <v>13682.091502470408</v>
      </c>
      <c r="K100" s="29">
        <f t="shared" si="23"/>
        <v>13995.316780184401</v>
      </c>
      <c r="L100" s="29">
        <f t="shared" si="23"/>
        <v>14300.566997934742</v>
      </c>
      <c r="M100" s="29">
        <f t="shared" si="23"/>
        <v>14596.987273093038</v>
      </c>
      <c r="N100" s="45"/>
    </row>
    <row r="101" spans="1:17">
      <c r="C101" s="74" t="s">
        <v>26</v>
      </c>
      <c r="E101" s="78"/>
      <c r="F101" s="78">
        <f>F97-F98+F99-F100</f>
        <v>424877.37339885929</v>
      </c>
      <c r="G101" s="78">
        <f t="shared" ref="G101:M101" si="24">G97-G98+G99-G100</f>
        <v>415925.92092033091</v>
      </c>
      <c r="H101" s="78">
        <f t="shared" si="24"/>
        <v>411705.43659692962</v>
      </c>
      <c r="I101" s="29">
        <f t="shared" si="24"/>
        <v>406575.92687874858</v>
      </c>
      <c r="J101" s="29">
        <f t="shared" si="24"/>
        <v>401888.38717237092</v>
      </c>
      <c r="K101" s="29">
        <f t="shared" si="24"/>
        <v>396353.36079223728</v>
      </c>
      <c r="L101" s="29">
        <f t="shared" si="24"/>
        <v>389971.93394293147</v>
      </c>
      <c r="M101" s="29">
        <f t="shared" si="24"/>
        <v>383166.58591001824</v>
      </c>
      <c r="N101" s="45"/>
    </row>
    <row r="102" spans="1:17">
      <c r="N102" s="45"/>
    </row>
    <row r="103" spans="1:17" ht="15.75">
      <c r="C103" s="5" t="s">
        <v>197</v>
      </c>
      <c r="E103" s="10" t="str">
        <f>E$21</f>
        <v>2009/10</v>
      </c>
      <c r="F103" s="10" t="str">
        <f t="shared" ref="F103:M103" si="25">F$21</f>
        <v>2010/11</v>
      </c>
      <c r="G103" s="10" t="str">
        <f t="shared" si="25"/>
        <v>2011/12</v>
      </c>
      <c r="H103" s="10" t="str">
        <f t="shared" si="25"/>
        <v>2012/13</v>
      </c>
      <c r="I103" s="10" t="str">
        <f t="shared" si="25"/>
        <v>2013/14</v>
      </c>
      <c r="J103" s="10" t="str">
        <f t="shared" si="25"/>
        <v>2014/15</v>
      </c>
      <c r="K103" s="10" t="str">
        <f t="shared" si="25"/>
        <v>2015/16</v>
      </c>
      <c r="L103" s="10" t="str">
        <f t="shared" si="25"/>
        <v>2016/17</v>
      </c>
      <c r="M103" s="10" t="str">
        <f t="shared" si="25"/>
        <v>2017/18</v>
      </c>
      <c r="N103" s="45"/>
      <c r="Q103" s="74" t="s">
        <v>169</v>
      </c>
    </row>
    <row r="104" spans="1:17">
      <c r="C104" s="20" t="s">
        <v>41</v>
      </c>
      <c r="E104" s="180">
        <v>1</v>
      </c>
      <c r="F104" s="20">
        <f>E104+1</f>
        <v>2</v>
      </c>
      <c r="G104" s="20">
        <f t="shared" ref="G104:M104" si="26">F104+1</f>
        <v>3</v>
      </c>
      <c r="H104" s="20">
        <f t="shared" si="26"/>
        <v>4</v>
      </c>
      <c r="I104" s="20">
        <f t="shared" si="26"/>
        <v>5</v>
      </c>
      <c r="J104" s="20">
        <f t="shared" si="26"/>
        <v>6</v>
      </c>
      <c r="K104" s="20">
        <f t="shared" si="26"/>
        <v>7</v>
      </c>
      <c r="L104" s="20">
        <f t="shared" si="26"/>
        <v>8</v>
      </c>
      <c r="M104" s="20">
        <f t="shared" si="26"/>
        <v>9</v>
      </c>
      <c r="N104" s="45"/>
    </row>
    <row r="105" spans="1:17">
      <c r="C105" s="74" t="s">
        <v>22</v>
      </c>
      <c r="D105" s="78"/>
      <c r="E105" s="181">
        <v>0</v>
      </c>
      <c r="F105" s="78">
        <f>F$48</f>
        <v>22745</v>
      </c>
      <c r="G105" s="78">
        <f t="shared" ref="G105:M105" si="27">G$48</f>
        <v>21065.627862595422</v>
      </c>
      <c r="H105" s="78">
        <f t="shared" si="27"/>
        <v>24983.383211822271</v>
      </c>
      <c r="I105" s="78">
        <f t="shared" si="27"/>
        <v>28206.001594177971</v>
      </c>
      <c r="J105" s="78">
        <f t="shared" si="27"/>
        <v>18418.29816184007</v>
      </c>
      <c r="K105" s="78">
        <f t="shared" si="27"/>
        <v>14946.527271212733</v>
      </c>
      <c r="L105" s="78">
        <f t="shared" si="27"/>
        <v>15157.394795639755</v>
      </c>
      <c r="M105" s="78">
        <f t="shared" si="27"/>
        <v>15455.228192284256</v>
      </c>
      <c r="N105" s="45"/>
    </row>
    <row r="106" spans="1:17">
      <c r="A106" s="74">
        <v>1</v>
      </c>
      <c r="C106" s="74" t="s">
        <v>350</v>
      </c>
      <c r="E106" s="181">
        <v>0</v>
      </c>
      <c r="F106" s="78">
        <f>E142</f>
        <v>0</v>
      </c>
      <c r="G106" s="78">
        <f t="shared" ref="G106:M114" si="28">F142</f>
        <v>0</v>
      </c>
      <c r="H106" s="78">
        <f t="shared" si="28"/>
        <v>0</v>
      </c>
      <c r="I106" s="78">
        <f t="shared" si="28"/>
        <v>0</v>
      </c>
      <c r="J106" s="78">
        <f t="shared" si="28"/>
        <v>0</v>
      </c>
      <c r="K106" s="78">
        <f t="shared" si="28"/>
        <v>0</v>
      </c>
      <c r="L106" s="78">
        <f t="shared" si="28"/>
        <v>0</v>
      </c>
      <c r="M106" s="78">
        <f t="shared" si="28"/>
        <v>0</v>
      </c>
      <c r="N106" s="45"/>
    </row>
    <row r="107" spans="1:17">
      <c r="A107" s="74">
        <v>2</v>
      </c>
      <c r="C107" s="74" t="s">
        <v>351</v>
      </c>
      <c r="E107" s="181">
        <v>0</v>
      </c>
      <c r="F107" s="78">
        <f t="shared" ref="F107:J110" si="29">E143</f>
        <v>0</v>
      </c>
      <c r="G107" s="78">
        <f t="shared" si="29"/>
        <v>22745</v>
      </c>
      <c r="H107" s="78">
        <f t="shared" si="29"/>
        <v>22455.800153654087</v>
      </c>
      <c r="I107" s="78">
        <f t="shared" si="29"/>
        <v>22426.087466651279</v>
      </c>
      <c r="J107" s="78">
        <f t="shared" si="29"/>
        <v>22355.704026776606</v>
      </c>
      <c r="K107" s="78">
        <f t="shared" si="28"/>
        <v>22318.488655941535</v>
      </c>
      <c r="L107" s="78">
        <f t="shared" si="28"/>
        <v>22244.439744826999</v>
      </c>
      <c r="M107" s="78">
        <f t="shared" si="28"/>
        <v>22133.217546102867</v>
      </c>
      <c r="N107" s="45"/>
    </row>
    <row r="108" spans="1:17">
      <c r="A108" s="74">
        <v>3</v>
      </c>
      <c r="C108" s="74" t="s">
        <v>352</v>
      </c>
      <c r="E108" s="181">
        <v>0</v>
      </c>
      <c r="F108" s="78">
        <f t="shared" si="29"/>
        <v>0</v>
      </c>
      <c r="G108" s="78">
        <f t="shared" si="29"/>
        <v>0</v>
      </c>
      <c r="H108" s="78">
        <f t="shared" si="29"/>
        <v>21065.627862595422</v>
      </c>
      <c r="I108" s="78">
        <f t="shared" si="29"/>
        <v>21048.39380631514</v>
      </c>
      <c r="J108" s="78">
        <f t="shared" si="29"/>
        <v>20993.459150530161</v>
      </c>
      <c r="K108" s="78">
        <f t="shared" si="28"/>
        <v>20970.135783646376</v>
      </c>
      <c r="L108" s="78">
        <f t="shared" si="28"/>
        <v>20912.73825492007</v>
      </c>
      <c r="M108" s="78">
        <f t="shared" si="28"/>
        <v>20820.926233313105</v>
      </c>
      <c r="N108" s="45"/>
    </row>
    <row r="109" spans="1:17">
      <c r="A109" s="74">
        <v>4</v>
      </c>
      <c r="C109" s="74" t="s">
        <v>353</v>
      </c>
      <c r="E109" s="181">
        <v>0</v>
      </c>
      <c r="F109" s="78">
        <f t="shared" si="29"/>
        <v>0</v>
      </c>
      <c r="G109" s="78">
        <f t="shared" si="29"/>
        <v>0</v>
      </c>
      <c r="H109" s="78">
        <f t="shared" si="29"/>
        <v>0</v>
      </c>
      <c r="I109" s="78">
        <f t="shared" si="29"/>
        <v>24983.383211822271</v>
      </c>
      <c r="J109" s="78">
        <f t="shared" si="29"/>
        <v>24930.796412847962</v>
      </c>
      <c r="K109" s="78">
        <f t="shared" si="28"/>
        <v>24916.275686659461</v>
      </c>
      <c r="L109" s="78">
        <f t="shared" si="28"/>
        <v>24861.873533823869</v>
      </c>
      <c r="M109" s="78">
        <f t="shared" si="28"/>
        <v>24767.1616346474</v>
      </c>
      <c r="N109" s="45"/>
    </row>
    <row r="110" spans="1:17">
      <c r="A110" s="74">
        <v>5</v>
      </c>
      <c r="C110" s="74" t="s">
        <v>354</v>
      </c>
      <c r="E110" s="181">
        <v>0</v>
      </c>
      <c r="F110" s="78">
        <f t="shared" si="29"/>
        <v>0</v>
      </c>
      <c r="G110" s="78">
        <f t="shared" si="29"/>
        <v>0</v>
      </c>
      <c r="H110" s="78">
        <f t="shared" si="29"/>
        <v>0</v>
      </c>
      <c r="I110" s="78">
        <f t="shared" si="29"/>
        <v>0</v>
      </c>
      <c r="J110" s="78">
        <f t="shared" si="29"/>
        <v>28206.001594177971</v>
      </c>
      <c r="K110" s="78">
        <f t="shared" si="28"/>
        <v>28203.818708482453</v>
      </c>
      <c r="L110" s="78">
        <f t="shared" si="28"/>
        <v>28157.145420876528</v>
      </c>
      <c r="M110" s="78">
        <f t="shared" si="28"/>
        <v>28065.470993924839</v>
      </c>
      <c r="N110" s="45"/>
    </row>
    <row r="111" spans="1:17">
      <c r="A111" s="74">
        <v>6</v>
      </c>
      <c r="C111" s="74" t="s">
        <v>355</v>
      </c>
      <c r="E111" s="181">
        <v>0</v>
      </c>
      <c r="F111" s="78">
        <f>E147</f>
        <v>0</v>
      </c>
      <c r="G111" s="78">
        <f>F147</f>
        <v>0</v>
      </c>
      <c r="H111" s="78">
        <f>G147</f>
        <v>0</v>
      </c>
      <c r="I111" s="78">
        <f>H147</f>
        <v>0</v>
      </c>
      <c r="J111" s="78">
        <f>I147</f>
        <v>0</v>
      </c>
      <c r="K111" s="78">
        <f t="shared" si="28"/>
        <v>18418.29816184007</v>
      </c>
      <c r="L111" s="78">
        <f t="shared" si="28"/>
        <v>18397.120682472119</v>
      </c>
      <c r="M111" s="78">
        <f t="shared" si="28"/>
        <v>18346.946716974468</v>
      </c>
      <c r="N111" s="45"/>
    </row>
    <row r="112" spans="1:17">
      <c r="A112" s="74">
        <v>7</v>
      </c>
      <c r="C112" s="74" t="s">
        <v>356</v>
      </c>
      <c r="E112" s="181">
        <v>0</v>
      </c>
      <c r="F112" s="78">
        <f t="shared" ref="F112:J114" si="30">E148</f>
        <v>0</v>
      </c>
      <c r="G112" s="78">
        <f t="shared" si="30"/>
        <v>0</v>
      </c>
      <c r="H112" s="78">
        <f t="shared" si="30"/>
        <v>0</v>
      </c>
      <c r="I112" s="78">
        <f t="shared" si="30"/>
        <v>0</v>
      </c>
      <c r="J112" s="78">
        <f t="shared" si="30"/>
        <v>0</v>
      </c>
      <c r="K112" s="78">
        <f t="shared" si="28"/>
        <v>0</v>
      </c>
      <c r="L112" s="78">
        <f t="shared" si="28"/>
        <v>14946.527271212733</v>
      </c>
      <c r="M112" s="78">
        <f t="shared" si="28"/>
        <v>14913.312766165594</v>
      </c>
      <c r="N112" s="45"/>
    </row>
    <row r="113" spans="1:14">
      <c r="A113" s="74">
        <v>8</v>
      </c>
      <c r="C113" s="74" t="s">
        <v>357</v>
      </c>
      <c r="E113" s="181">
        <v>0</v>
      </c>
      <c r="F113" s="78">
        <f t="shared" si="30"/>
        <v>0</v>
      </c>
      <c r="G113" s="78">
        <f t="shared" si="30"/>
        <v>0</v>
      </c>
      <c r="H113" s="78">
        <f t="shared" si="30"/>
        <v>0</v>
      </c>
      <c r="I113" s="78">
        <f t="shared" si="30"/>
        <v>0</v>
      </c>
      <c r="J113" s="78">
        <f t="shared" si="30"/>
        <v>0</v>
      </c>
      <c r="K113" s="78">
        <f t="shared" si="28"/>
        <v>0</v>
      </c>
      <c r="L113" s="78">
        <f t="shared" si="28"/>
        <v>0</v>
      </c>
      <c r="M113" s="78">
        <f t="shared" si="28"/>
        <v>15157.394795639755</v>
      </c>
      <c r="N113" s="45"/>
    </row>
    <row r="114" spans="1:14">
      <c r="A114" s="74">
        <v>9</v>
      </c>
      <c r="C114" s="74" t="s">
        <v>358</v>
      </c>
      <c r="E114" s="181">
        <v>0</v>
      </c>
      <c r="F114" s="78">
        <f t="shared" si="30"/>
        <v>0</v>
      </c>
      <c r="G114" s="78">
        <f t="shared" si="30"/>
        <v>0</v>
      </c>
      <c r="H114" s="78">
        <f t="shared" si="30"/>
        <v>0</v>
      </c>
      <c r="I114" s="78">
        <f t="shared" si="30"/>
        <v>0</v>
      </c>
      <c r="J114" s="78">
        <f t="shared" si="30"/>
        <v>0</v>
      </c>
      <c r="K114" s="78">
        <f t="shared" si="28"/>
        <v>0</v>
      </c>
      <c r="L114" s="78">
        <f t="shared" si="28"/>
        <v>0</v>
      </c>
      <c r="M114" s="78">
        <f t="shared" si="28"/>
        <v>0</v>
      </c>
      <c r="N114" s="45"/>
    </row>
    <row r="115" spans="1:14">
      <c r="A115" s="74">
        <v>1</v>
      </c>
      <c r="C115" s="74" t="s">
        <v>359</v>
      </c>
      <c r="E115" s="181">
        <f>Inputs!$C$7+$A115</f>
        <v>46</v>
      </c>
      <c r="F115" s="78">
        <f>E115-1</f>
        <v>45</v>
      </c>
      <c r="G115" s="78">
        <f t="shared" ref="G115:M123" si="31">F115-1</f>
        <v>44</v>
      </c>
      <c r="H115" s="78">
        <f t="shared" si="31"/>
        <v>43</v>
      </c>
      <c r="I115" s="78">
        <f t="shared" si="31"/>
        <v>42</v>
      </c>
      <c r="J115" s="78">
        <f t="shared" si="31"/>
        <v>41</v>
      </c>
      <c r="K115" s="78">
        <f t="shared" si="31"/>
        <v>40</v>
      </c>
      <c r="L115" s="78">
        <f t="shared" si="31"/>
        <v>39</v>
      </c>
      <c r="M115" s="78">
        <f t="shared" si="31"/>
        <v>38</v>
      </c>
      <c r="N115" s="45"/>
    </row>
    <row r="116" spans="1:14">
      <c r="A116" s="74">
        <v>2</v>
      </c>
      <c r="C116" s="74" t="s">
        <v>360</v>
      </c>
      <c r="E116" s="181">
        <f>Inputs!$C$7+$A116</f>
        <v>47</v>
      </c>
      <c r="F116" s="78">
        <f t="shared" ref="F116:J123" si="32">E116-1</f>
        <v>46</v>
      </c>
      <c r="G116" s="78">
        <f t="shared" si="32"/>
        <v>45</v>
      </c>
      <c r="H116" s="78">
        <f t="shared" si="32"/>
        <v>44</v>
      </c>
      <c r="I116" s="78">
        <f t="shared" si="32"/>
        <v>43</v>
      </c>
      <c r="J116" s="78">
        <f t="shared" si="32"/>
        <v>42</v>
      </c>
      <c r="K116" s="78">
        <f t="shared" si="31"/>
        <v>41</v>
      </c>
      <c r="L116" s="78">
        <f t="shared" si="31"/>
        <v>40</v>
      </c>
      <c r="M116" s="78">
        <f t="shared" si="31"/>
        <v>39</v>
      </c>
      <c r="N116" s="45"/>
    </row>
    <row r="117" spans="1:14">
      <c r="A117" s="74">
        <v>3</v>
      </c>
      <c r="C117" s="74" t="s">
        <v>361</v>
      </c>
      <c r="E117" s="181">
        <f>Inputs!$C$7+$A117</f>
        <v>48</v>
      </c>
      <c r="F117" s="78">
        <f t="shared" si="32"/>
        <v>47</v>
      </c>
      <c r="G117" s="78">
        <f t="shared" si="32"/>
        <v>46</v>
      </c>
      <c r="H117" s="78">
        <f t="shared" si="32"/>
        <v>45</v>
      </c>
      <c r="I117" s="78">
        <f t="shared" si="32"/>
        <v>44</v>
      </c>
      <c r="J117" s="78">
        <f t="shared" si="32"/>
        <v>43</v>
      </c>
      <c r="K117" s="78">
        <f t="shared" si="31"/>
        <v>42</v>
      </c>
      <c r="L117" s="78">
        <f t="shared" si="31"/>
        <v>41</v>
      </c>
      <c r="M117" s="78">
        <f t="shared" si="31"/>
        <v>40</v>
      </c>
      <c r="N117" s="45"/>
    </row>
    <row r="118" spans="1:14">
      <c r="A118" s="74">
        <v>4</v>
      </c>
      <c r="C118" s="74" t="s">
        <v>362</v>
      </c>
      <c r="E118" s="181">
        <f>Inputs!$C$7+$A118</f>
        <v>49</v>
      </c>
      <c r="F118" s="78">
        <f t="shared" si="32"/>
        <v>48</v>
      </c>
      <c r="G118" s="78">
        <f t="shared" si="32"/>
        <v>47</v>
      </c>
      <c r="H118" s="78">
        <f t="shared" si="32"/>
        <v>46</v>
      </c>
      <c r="I118" s="78">
        <f t="shared" si="32"/>
        <v>45</v>
      </c>
      <c r="J118" s="78">
        <f t="shared" si="32"/>
        <v>44</v>
      </c>
      <c r="K118" s="78">
        <f t="shared" si="31"/>
        <v>43</v>
      </c>
      <c r="L118" s="78">
        <f t="shared" si="31"/>
        <v>42</v>
      </c>
      <c r="M118" s="78">
        <f t="shared" si="31"/>
        <v>41</v>
      </c>
      <c r="N118" s="45"/>
    </row>
    <row r="119" spans="1:14">
      <c r="A119" s="74">
        <v>5</v>
      </c>
      <c r="C119" s="74" t="s">
        <v>363</v>
      </c>
      <c r="E119" s="181">
        <f>Inputs!$C$7+$A119</f>
        <v>50</v>
      </c>
      <c r="F119" s="78">
        <f t="shared" si="32"/>
        <v>49</v>
      </c>
      <c r="G119" s="78">
        <f t="shared" si="32"/>
        <v>48</v>
      </c>
      <c r="H119" s="78">
        <f t="shared" si="32"/>
        <v>47</v>
      </c>
      <c r="I119" s="78">
        <f t="shared" si="32"/>
        <v>46</v>
      </c>
      <c r="J119" s="78">
        <f t="shared" si="32"/>
        <v>45</v>
      </c>
      <c r="K119" s="78">
        <f t="shared" si="31"/>
        <v>44</v>
      </c>
      <c r="L119" s="78">
        <f t="shared" si="31"/>
        <v>43</v>
      </c>
      <c r="M119" s="78">
        <f t="shared" si="31"/>
        <v>42</v>
      </c>
      <c r="N119" s="45"/>
    </row>
    <row r="120" spans="1:14">
      <c r="A120" s="74">
        <v>6</v>
      </c>
      <c r="C120" s="74" t="s">
        <v>364</v>
      </c>
      <c r="E120" s="181">
        <f>Inputs!$C$7+$A120</f>
        <v>51</v>
      </c>
      <c r="F120" s="78">
        <f t="shared" si="32"/>
        <v>50</v>
      </c>
      <c r="G120" s="78">
        <f t="shared" si="32"/>
        <v>49</v>
      </c>
      <c r="H120" s="78">
        <f t="shared" si="32"/>
        <v>48</v>
      </c>
      <c r="I120" s="78">
        <f t="shared" si="32"/>
        <v>47</v>
      </c>
      <c r="J120" s="78">
        <f t="shared" si="32"/>
        <v>46</v>
      </c>
      <c r="K120" s="78">
        <f t="shared" si="31"/>
        <v>45</v>
      </c>
      <c r="L120" s="78">
        <f t="shared" si="31"/>
        <v>44</v>
      </c>
      <c r="M120" s="78">
        <f t="shared" si="31"/>
        <v>43</v>
      </c>
      <c r="N120" s="45"/>
    </row>
    <row r="121" spans="1:14">
      <c r="A121" s="74">
        <v>7</v>
      </c>
      <c r="C121" s="74" t="s">
        <v>365</v>
      </c>
      <c r="E121" s="181">
        <f>Inputs!$C$7+$A121</f>
        <v>52</v>
      </c>
      <c r="F121" s="78">
        <f t="shared" si="32"/>
        <v>51</v>
      </c>
      <c r="G121" s="78">
        <f t="shared" si="32"/>
        <v>50</v>
      </c>
      <c r="H121" s="78">
        <f t="shared" si="32"/>
        <v>49</v>
      </c>
      <c r="I121" s="78">
        <f t="shared" si="32"/>
        <v>48</v>
      </c>
      <c r="J121" s="78">
        <f t="shared" si="32"/>
        <v>47</v>
      </c>
      <c r="K121" s="78">
        <f t="shared" si="31"/>
        <v>46</v>
      </c>
      <c r="L121" s="78">
        <f t="shared" si="31"/>
        <v>45</v>
      </c>
      <c r="M121" s="78">
        <f t="shared" si="31"/>
        <v>44</v>
      </c>
      <c r="N121" s="45"/>
    </row>
    <row r="122" spans="1:14">
      <c r="A122" s="74">
        <v>8</v>
      </c>
      <c r="C122" s="74" t="s">
        <v>366</v>
      </c>
      <c r="E122" s="181">
        <f>Inputs!$C$7+$A122</f>
        <v>53</v>
      </c>
      <c r="F122" s="78">
        <f t="shared" si="32"/>
        <v>52</v>
      </c>
      <c r="G122" s="78">
        <f t="shared" si="32"/>
        <v>51</v>
      </c>
      <c r="H122" s="78">
        <f t="shared" si="32"/>
        <v>50</v>
      </c>
      <c r="I122" s="78">
        <f t="shared" si="32"/>
        <v>49</v>
      </c>
      <c r="J122" s="78">
        <f t="shared" si="32"/>
        <v>48</v>
      </c>
      <c r="K122" s="78">
        <f t="shared" si="31"/>
        <v>47</v>
      </c>
      <c r="L122" s="78">
        <f t="shared" si="31"/>
        <v>46</v>
      </c>
      <c r="M122" s="78">
        <f t="shared" si="31"/>
        <v>45</v>
      </c>
      <c r="N122" s="45"/>
    </row>
    <row r="123" spans="1:14">
      <c r="A123" s="74">
        <v>9</v>
      </c>
      <c r="C123" s="74" t="s">
        <v>367</v>
      </c>
      <c r="E123" s="181">
        <f>Inputs!$C$7+$A123</f>
        <v>54</v>
      </c>
      <c r="F123" s="78">
        <f t="shared" si="32"/>
        <v>53</v>
      </c>
      <c r="G123" s="78">
        <f t="shared" si="32"/>
        <v>52</v>
      </c>
      <c r="H123" s="78">
        <f t="shared" si="32"/>
        <v>51</v>
      </c>
      <c r="I123" s="78">
        <f t="shared" si="32"/>
        <v>50</v>
      </c>
      <c r="J123" s="78">
        <f t="shared" si="32"/>
        <v>49</v>
      </c>
      <c r="K123" s="78">
        <f t="shared" si="31"/>
        <v>48</v>
      </c>
      <c r="L123" s="78">
        <f t="shared" si="31"/>
        <v>47</v>
      </c>
      <c r="M123" s="78">
        <f t="shared" si="31"/>
        <v>46</v>
      </c>
      <c r="N123" s="45"/>
    </row>
    <row r="124" spans="1:14">
      <c r="A124" s="74">
        <v>1</v>
      </c>
      <c r="C124" s="74" t="s">
        <v>368</v>
      </c>
      <c r="E124" s="78">
        <f>E106*E$84</f>
        <v>0</v>
      </c>
      <c r="F124" s="78">
        <f t="shared" ref="F124:M132" si="33">F106*F$84</f>
        <v>0</v>
      </c>
      <c r="G124" s="78">
        <f t="shared" si="33"/>
        <v>0</v>
      </c>
      <c r="H124" s="78">
        <f t="shared" si="33"/>
        <v>0</v>
      </c>
      <c r="I124" s="78">
        <f t="shared" si="33"/>
        <v>0</v>
      </c>
      <c r="J124" s="78">
        <f t="shared" si="33"/>
        <v>0</v>
      </c>
      <c r="K124" s="78">
        <f t="shared" si="33"/>
        <v>0</v>
      </c>
      <c r="L124" s="78">
        <f t="shared" si="33"/>
        <v>0</v>
      </c>
      <c r="M124" s="78">
        <f t="shared" si="33"/>
        <v>0</v>
      </c>
      <c r="N124" s="45"/>
    </row>
    <row r="125" spans="1:14">
      <c r="A125" s="74">
        <v>2</v>
      </c>
      <c r="C125" s="74" t="s">
        <v>369</v>
      </c>
      <c r="E125" s="78">
        <f t="shared" ref="E125:J132" si="34">E107*E$84</f>
        <v>0</v>
      </c>
      <c r="F125" s="78">
        <f t="shared" si="34"/>
        <v>0</v>
      </c>
      <c r="G125" s="78">
        <f t="shared" si="34"/>
        <v>216.24459809853082</v>
      </c>
      <c r="H125" s="78">
        <f t="shared" si="34"/>
        <v>480.64640739841923</v>
      </c>
      <c r="I125" s="78">
        <f t="shared" si="34"/>
        <v>451.1534779544275</v>
      </c>
      <c r="J125" s="78">
        <f t="shared" si="34"/>
        <v>495.06329646913503</v>
      </c>
      <c r="K125" s="78">
        <f t="shared" si="33"/>
        <v>470.3044707376967</v>
      </c>
      <c r="L125" s="78">
        <f t="shared" si="33"/>
        <v>444.88879489654039</v>
      </c>
      <c r="M125" s="78">
        <f t="shared" si="33"/>
        <v>442.66435092205774</v>
      </c>
      <c r="N125" s="45"/>
    </row>
    <row r="126" spans="1:14">
      <c r="A126" s="74">
        <v>3</v>
      </c>
      <c r="C126" s="74" t="s">
        <v>370</v>
      </c>
      <c r="E126" s="78">
        <f t="shared" si="34"/>
        <v>0</v>
      </c>
      <c r="F126" s="78">
        <f t="shared" si="34"/>
        <v>0</v>
      </c>
      <c r="G126" s="78">
        <f t="shared" si="34"/>
        <v>0</v>
      </c>
      <c r="H126" s="78">
        <f t="shared" si="34"/>
        <v>450.89100733295118</v>
      </c>
      <c r="I126" s="78">
        <f t="shared" si="34"/>
        <v>423.43793072218324</v>
      </c>
      <c r="J126" s="78">
        <f t="shared" si="34"/>
        <v>464.89661336110174</v>
      </c>
      <c r="K126" s="78">
        <f t="shared" si="33"/>
        <v>441.89141850337302</v>
      </c>
      <c r="L126" s="78">
        <f t="shared" si="33"/>
        <v>418.25476509840178</v>
      </c>
      <c r="M126" s="78">
        <f t="shared" si="33"/>
        <v>416.41852466626244</v>
      </c>
      <c r="N126" s="45"/>
    </row>
    <row r="127" spans="1:14">
      <c r="A127" s="74">
        <v>4</v>
      </c>
      <c r="C127" s="74" t="s">
        <v>371</v>
      </c>
      <c r="E127" s="78">
        <f t="shared" si="34"/>
        <v>0</v>
      </c>
      <c r="F127" s="78">
        <f t="shared" si="34"/>
        <v>0</v>
      </c>
      <c r="G127" s="78">
        <f t="shared" si="34"/>
        <v>0</v>
      </c>
      <c r="H127" s="78">
        <f t="shared" si="34"/>
        <v>0</v>
      </c>
      <c r="I127" s="78">
        <f t="shared" si="34"/>
        <v>502.59949462174012</v>
      </c>
      <c r="J127" s="78">
        <f t="shared" si="34"/>
        <v>552.0882831944075</v>
      </c>
      <c r="K127" s="78">
        <f t="shared" si="33"/>
        <v>525.04611894718676</v>
      </c>
      <c r="L127" s="78">
        <f t="shared" si="33"/>
        <v>497.23747067647781</v>
      </c>
      <c r="M127" s="78">
        <f t="shared" si="33"/>
        <v>495.34323269294845</v>
      </c>
      <c r="N127" s="45"/>
    </row>
    <row r="128" spans="1:14">
      <c r="A128" s="74">
        <v>5</v>
      </c>
      <c r="C128" s="74" t="s">
        <v>372</v>
      </c>
      <c r="E128" s="78">
        <f t="shared" si="34"/>
        <v>0</v>
      </c>
      <c r="F128" s="78">
        <f t="shared" si="34"/>
        <v>0</v>
      </c>
      <c r="G128" s="78">
        <f t="shared" si="34"/>
        <v>0</v>
      </c>
      <c r="H128" s="78">
        <f t="shared" si="34"/>
        <v>0</v>
      </c>
      <c r="I128" s="78">
        <f t="shared" si="34"/>
        <v>0</v>
      </c>
      <c r="J128" s="78">
        <f t="shared" si="34"/>
        <v>624.61714973065921</v>
      </c>
      <c r="K128" s="78">
        <f t="shared" si="33"/>
        <v>594.32259213231271</v>
      </c>
      <c r="L128" s="78">
        <f t="shared" si="33"/>
        <v>563.14290841753109</v>
      </c>
      <c r="M128" s="78">
        <f t="shared" si="33"/>
        <v>561.30941987849724</v>
      </c>
      <c r="N128" s="45"/>
    </row>
    <row r="129" spans="1:14">
      <c r="A129" s="74">
        <v>6</v>
      </c>
      <c r="C129" s="74" t="s">
        <v>373</v>
      </c>
      <c r="E129" s="78">
        <f t="shared" si="34"/>
        <v>0</v>
      </c>
      <c r="F129" s="78">
        <f t="shared" si="34"/>
        <v>0</v>
      </c>
      <c r="G129" s="78">
        <f t="shared" si="34"/>
        <v>0</v>
      </c>
      <c r="H129" s="78">
        <f t="shared" si="34"/>
        <v>0</v>
      </c>
      <c r="I129" s="78">
        <f t="shared" si="34"/>
        <v>0</v>
      </c>
      <c r="J129" s="78">
        <f t="shared" si="34"/>
        <v>0</v>
      </c>
      <c r="K129" s="78">
        <f t="shared" si="33"/>
        <v>388.11803533960483</v>
      </c>
      <c r="L129" s="78">
        <f t="shared" si="33"/>
        <v>367.9424136494427</v>
      </c>
      <c r="M129" s="78">
        <f t="shared" si="33"/>
        <v>366.93893433948966</v>
      </c>
      <c r="N129" s="45"/>
    </row>
    <row r="130" spans="1:14">
      <c r="A130" s="74">
        <v>7</v>
      </c>
      <c r="C130" s="74" t="s">
        <v>374</v>
      </c>
      <c r="E130" s="78">
        <f t="shared" si="34"/>
        <v>0</v>
      </c>
      <c r="F130" s="78">
        <f t="shared" si="34"/>
        <v>0</v>
      </c>
      <c r="G130" s="78">
        <f t="shared" si="34"/>
        <v>0</v>
      </c>
      <c r="H130" s="78">
        <f t="shared" si="34"/>
        <v>0</v>
      </c>
      <c r="I130" s="78">
        <f t="shared" si="34"/>
        <v>0</v>
      </c>
      <c r="J130" s="78">
        <f t="shared" si="34"/>
        <v>0</v>
      </c>
      <c r="K130" s="78">
        <f t="shared" si="33"/>
        <v>0</v>
      </c>
      <c r="L130" s="78">
        <f t="shared" si="33"/>
        <v>298.93054542425494</v>
      </c>
      <c r="M130" s="78">
        <f t="shared" si="33"/>
        <v>298.26625532331218</v>
      </c>
      <c r="N130" s="45"/>
    </row>
    <row r="131" spans="1:14">
      <c r="A131" s="74">
        <v>8</v>
      </c>
      <c r="C131" s="74" t="s">
        <v>375</v>
      </c>
      <c r="E131" s="78">
        <f t="shared" si="34"/>
        <v>0</v>
      </c>
      <c r="F131" s="78">
        <f t="shared" si="34"/>
        <v>0</v>
      </c>
      <c r="G131" s="78">
        <f t="shared" si="34"/>
        <v>0</v>
      </c>
      <c r="H131" s="78">
        <f t="shared" si="34"/>
        <v>0</v>
      </c>
      <c r="I131" s="78">
        <f t="shared" si="34"/>
        <v>0</v>
      </c>
      <c r="J131" s="78">
        <f t="shared" si="34"/>
        <v>0</v>
      </c>
      <c r="K131" s="78">
        <f t="shared" si="33"/>
        <v>0</v>
      </c>
      <c r="L131" s="78">
        <f t="shared" si="33"/>
        <v>0</v>
      </c>
      <c r="M131" s="78">
        <f t="shared" si="33"/>
        <v>303.14789591279538</v>
      </c>
      <c r="N131" s="45"/>
    </row>
    <row r="132" spans="1:14">
      <c r="A132" s="74">
        <v>9</v>
      </c>
      <c r="C132" s="74" t="s">
        <v>376</v>
      </c>
      <c r="E132" s="78">
        <f t="shared" si="34"/>
        <v>0</v>
      </c>
      <c r="F132" s="78">
        <f t="shared" si="34"/>
        <v>0</v>
      </c>
      <c r="G132" s="78">
        <f t="shared" si="34"/>
        <v>0</v>
      </c>
      <c r="H132" s="78">
        <f t="shared" si="34"/>
        <v>0</v>
      </c>
      <c r="I132" s="78">
        <f t="shared" si="34"/>
        <v>0</v>
      </c>
      <c r="J132" s="78">
        <f t="shared" si="34"/>
        <v>0</v>
      </c>
      <c r="K132" s="78">
        <f t="shared" si="33"/>
        <v>0</v>
      </c>
      <c r="L132" s="78">
        <f t="shared" si="33"/>
        <v>0</v>
      </c>
      <c r="M132" s="78">
        <f t="shared" si="33"/>
        <v>0</v>
      </c>
      <c r="N132" s="45"/>
    </row>
    <row r="133" spans="1:14">
      <c r="A133" s="74">
        <v>1</v>
      </c>
      <c r="C133" s="74" t="s">
        <v>377</v>
      </c>
      <c r="E133" s="29">
        <f t="shared" ref="E133:M141" si="35">E106/E115</f>
        <v>0</v>
      </c>
      <c r="F133" s="29">
        <f t="shared" si="35"/>
        <v>0</v>
      </c>
      <c r="G133" s="29">
        <f t="shared" si="35"/>
        <v>0</v>
      </c>
      <c r="H133" s="29">
        <f t="shared" si="35"/>
        <v>0</v>
      </c>
      <c r="I133" s="29">
        <f t="shared" si="35"/>
        <v>0</v>
      </c>
      <c r="J133" s="29">
        <f t="shared" si="35"/>
        <v>0</v>
      </c>
      <c r="K133" s="29">
        <f t="shared" si="35"/>
        <v>0</v>
      </c>
      <c r="L133" s="29">
        <f t="shared" si="35"/>
        <v>0</v>
      </c>
      <c r="M133" s="29">
        <f t="shared" si="35"/>
        <v>0</v>
      </c>
      <c r="N133" s="45"/>
    </row>
    <row r="134" spans="1:14">
      <c r="A134" s="74">
        <v>2</v>
      </c>
      <c r="C134" s="74" t="s">
        <v>378</v>
      </c>
      <c r="E134" s="29">
        <f t="shared" si="35"/>
        <v>0</v>
      </c>
      <c r="F134" s="29">
        <f t="shared" si="35"/>
        <v>0</v>
      </c>
      <c r="G134" s="29">
        <f t="shared" si="35"/>
        <v>505.44444444444446</v>
      </c>
      <c r="H134" s="29">
        <f t="shared" si="35"/>
        <v>510.35909440122924</v>
      </c>
      <c r="I134" s="29">
        <f t="shared" si="35"/>
        <v>521.53691782909948</v>
      </c>
      <c r="J134" s="29">
        <f t="shared" si="35"/>
        <v>532.27866730420487</v>
      </c>
      <c r="K134" s="29">
        <f t="shared" si="35"/>
        <v>544.35338185223259</v>
      </c>
      <c r="L134" s="29">
        <f t="shared" si="35"/>
        <v>556.110993620675</v>
      </c>
      <c r="M134" s="29">
        <f t="shared" si="35"/>
        <v>567.51839861802227</v>
      </c>
      <c r="N134" s="45"/>
    </row>
    <row r="135" spans="1:14">
      <c r="A135" s="74">
        <v>3</v>
      </c>
      <c r="C135" s="74" t="s">
        <v>379</v>
      </c>
      <c r="E135" s="29">
        <f t="shared" si="35"/>
        <v>0</v>
      </c>
      <c r="F135" s="29">
        <f t="shared" si="35"/>
        <v>0</v>
      </c>
      <c r="G135" s="29">
        <f t="shared" si="35"/>
        <v>0</v>
      </c>
      <c r="H135" s="29">
        <f t="shared" si="35"/>
        <v>468.12506361323159</v>
      </c>
      <c r="I135" s="29">
        <f t="shared" si="35"/>
        <v>478.37258650716228</v>
      </c>
      <c r="J135" s="29">
        <f t="shared" si="35"/>
        <v>488.21998024488749</v>
      </c>
      <c r="K135" s="29">
        <f t="shared" si="35"/>
        <v>499.28894722967561</v>
      </c>
      <c r="L135" s="29">
        <f t="shared" si="35"/>
        <v>510.06678670536758</v>
      </c>
      <c r="M135" s="29">
        <f t="shared" si="35"/>
        <v>520.52315583282757</v>
      </c>
      <c r="N135" s="45"/>
    </row>
    <row r="136" spans="1:14">
      <c r="A136" s="74">
        <v>4</v>
      </c>
      <c r="C136" s="74" t="s">
        <v>380</v>
      </c>
      <c r="E136" s="29">
        <f t="shared" si="35"/>
        <v>0</v>
      </c>
      <c r="F136" s="29">
        <f t="shared" si="35"/>
        <v>0</v>
      </c>
      <c r="G136" s="29">
        <f t="shared" si="35"/>
        <v>0</v>
      </c>
      <c r="H136" s="29">
        <f t="shared" si="35"/>
        <v>0</v>
      </c>
      <c r="I136" s="29">
        <f t="shared" si="35"/>
        <v>555.18629359605052</v>
      </c>
      <c r="J136" s="29">
        <f t="shared" si="35"/>
        <v>566.6090093829082</v>
      </c>
      <c r="K136" s="29">
        <f t="shared" si="35"/>
        <v>579.44827178277819</v>
      </c>
      <c r="L136" s="29">
        <f t="shared" si="35"/>
        <v>591.9493698529493</v>
      </c>
      <c r="M136" s="29">
        <f t="shared" si="35"/>
        <v>604.07711304018051</v>
      </c>
      <c r="N136" s="45"/>
    </row>
    <row r="137" spans="1:14">
      <c r="A137" s="74">
        <v>5</v>
      </c>
      <c r="C137" s="74" t="s">
        <v>381</v>
      </c>
      <c r="E137" s="29">
        <f t="shared" si="35"/>
        <v>0</v>
      </c>
      <c r="F137" s="29">
        <f t="shared" si="35"/>
        <v>0</v>
      </c>
      <c r="G137" s="29">
        <f t="shared" si="35"/>
        <v>0</v>
      </c>
      <c r="H137" s="29">
        <f t="shared" si="35"/>
        <v>0</v>
      </c>
      <c r="I137" s="29">
        <f t="shared" si="35"/>
        <v>0</v>
      </c>
      <c r="J137" s="29">
        <f t="shared" si="35"/>
        <v>626.80003542617715</v>
      </c>
      <c r="K137" s="29">
        <f t="shared" si="35"/>
        <v>640.99587973823759</v>
      </c>
      <c r="L137" s="29">
        <f t="shared" si="35"/>
        <v>654.81733536922161</v>
      </c>
      <c r="M137" s="29">
        <f t="shared" si="35"/>
        <v>668.22549985535329</v>
      </c>
      <c r="N137" s="45"/>
    </row>
    <row r="138" spans="1:14">
      <c r="A138" s="74">
        <v>6</v>
      </c>
      <c r="C138" s="74" t="s">
        <v>382</v>
      </c>
      <c r="E138" s="29">
        <f t="shared" si="35"/>
        <v>0</v>
      </c>
      <c r="F138" s="29">
        <f t="shared" si="35"/>
        <v>0</v>
      </c>
      <c r="G138" s="29">
        <f t="shared" si="35"/>
        <v>0</v>
      </c>
      <c r="H138" s="29">
        <f t="shared" si="35"/>
        <v>0</v>
      </c>
      <c r="I138" s="29">
        <f t="shared" si="35"/>
        <v>0</v>
      </c>
      <c r="J138" s="29">
        <f t="shared" si="35"/>
        <v>0</v>
      </c>
      <c r="K138" s="29">
        <f t="shared" si="35"/>
        <v>409.29551470755712</v>
      </c>
      <c r="L138" s="29">
        <f t="shared" si="35"/>
        <v>418.1163791470936</v>
      </c>
      <c r="M138" s="29">
        <f t="shared" si="35"/>
        <v>426.67317946452249</v>
      </c>
      <c r="N138" s="45"/>
    </row>
    <row r="139" spans="1:14">
      <c r="A139" s="74">
        <v>7</v>
      </c>
      <c r="C139" s="74" t="s">
        <v>383</v>
      </c>
      <c r="E139" s="29">
        <f t="shared" si="35"/>
        <v>0</v>
      </c>
      <c r="F139" s="29">
        <f t="shared" si="35"/>
        <v>0</v>
      </c>
      <c r="G139" s="29">
        <f t="shared" si="35"/>
        <v>0</v>
      </c>
      <c r="H139" s="29">
        <f t="shared" si="35"/>
        <v>0</v>
      </c>
      <c r="I139" s="29">
        <f t="shared" si="35"/>
        <v>0</v>
      </c>
      <c r="J139" s="29">
        <f t="shared" si="35"/>
        <v>0</v>
      </c>
      <c r="K139" s="29">
        <f t="shared" si="35"/>
        <v>0</v>
      </c>
      <c r="L139" s="29">
        <f t="shared" si="35"/>
        <v>332.14505047139409</v>
      </c>
      <c r="M139" s="29">
        <f t="shared" si="35"/>
        <v>338.93892650376353</v>
      </c>
      <c r="N139" s="45"/>
    </row>
    <row r="140" spans="1:14">
      <c r="A140" s="74">
        <v>8</v>
      </c>
      <c r="C140" s="74" t="s">
        <v>384</v>
      </c>
      <c r="E140" s="29">
        <f t="shared" si="35"/>
        <v>0</v>
      </c>
      <c r="F140" s="29">
        <f t="shared" si="35"/>
        <v>0</v>
      </c>
      <c r="G140" s="29">
        <f t="shared" si="35"/>
        <v>0</v>
      </c>
      <c r="H140" s="29">
        <f t="shared" si="35"/>
        <v>0</v>
      </c>
      <c r="I140" s="29">
        <f t="shared" si="35"/>
        <v>0</v>
      </c>
      <c r="J140" s="29">
        <f t="shared" si="35"/>
        <v>0</v>
      </c>
      <c r="K140" s="29">
        <f t="shared" si="35"/>
        <v>0</v>
      </c>
      <c r="L140" s="29">
        <f t="shared" si="35"/>
        <v>0</v>
      </c>
      <c r="M140" s="29">
        <f t="shared" si="35"/>
        <v>336.83099545866122</v>
      </c>
      <c r="N140" s="45"/>
    </row>
    <row r="141" spans="1:14">
      <c r="A141" s="74">
        <v>9</v>
      </c>
      <c r="C141" s="74" t="s">
        <v>385</v>
      </c>
      <c r="E141" s="29">
        <f t="shared" si="35"/>
        <v>0</v>
      </c>
      <c r="F141" s="29">
        <f t="shared" si="35"/>
        <v>0</v>
      </c>
      <c r="G141" s="29">
        <f t="shared" si="35"/>
        <v>0</v>
      </c>
      <c r="H141" s="29">
        <f t="shared" si="35"/>
        <v>0</v>
      </c>
      <c r="I141" s="29">
        <f t="shared" si="35"/>
        <v>0</v>
      </c>
      <c r="J141" s="29">
        <f t="shared" si="35"/>
        <v>0</v>
      </c>
      <c r="K141" s="29">
        <f t="shared" si="35"/>
        <v>0</v>
      </c>
      <c r="L141" s="29">
        <f t="shared" si="35"/>
        <v>0</v>
      </c>
      <c r="M141" s="29">
        <f t="shared" si="35"/>
        <v>0</v>
      </c>
      <c r="N141" s="45"/>
    </row>
    <row r="142" spans="1:14">
      <c r="A142" s="74">
        <v>1</v>
      </c>
      <c r="C142" s="74" t="s">
        <v>386</v>
      </c>
      <c r="E142" s="78">
        <f t="shared" ref="E142:M150" si="36">E106+E124-E133+IF($A142=E$104,E$105,0)</f>
        <v>0</v>
      </c>
      <c r="F142" s="78">
        <f t="shared" si="36"/>
        <v>0</v>
      </c>
      <c r="G142" s="78">
        <f t="shared" si="36"/>
        <v>0</v>
      </c>
      <c r="H142" s="78">
        <f t="shared" si="36"/>
        <v>0</v>
      </c>
      <c r="I142" s="78">
        <f t="shared" si="36"/>
        <v>0</v>
      </c>
      <c r="J142" s="29">
        <f t="shared" si="36"/>
        <v>0</v>
      </c>
      <c r="K142" s="29">
        <f t="shared" si="36"/>
        <v>0</v>
      </c>
      <c r="L142" s="29">
        <f t="shared" si="36"/>
        <v>0</v>
      </c>
      <c r="M142" s="29">
        <f t="shared" si="36"/>
        <v>0</v>
      </c>
      <c r="N142" s="45"/>
    </row>
    <row r="143" spans="1:14">
      <c r="A143" s="74">
        <v>2</v>
      </c>
      <c r="C143" s="74" t="s">
        <v>387</v>
      </c>
      <c r="E143" s="78">
        <f t="shared" si="36"/>
        <v>0</v>
      </c>
      <c r="F143" s="78">
        <f t="shared" si="36"/>
        <v>22745</v>
      </c>
      <c r="G143" s="78">
        <f t="shared" si="36"/>
        <v>22455.800153654087</v>
      </c>
      <c r="H143" s="78">
        <f t="shared" si="36"/>
        <v>22426.087466651279</v>
      </c>
      <c r="I143" s="78">
        <f t="shared" si="36"/>
        <v>22355.704026776606</v>
      </c>
      <c r="J143" s="29">
        <f t="shared" si="36"/>
        <v>22318.488655941535</v>
      </c>
      <c r="K143" s="29">
        <f t="shared" si="36"/>
        <v>22244.439744826999</v>
      </c>
      <c r="L143" s="29">
        <f t="shared" si="36"/>
        <v>22133.217546102867</v>
      </c>
      <c r="M143" s="29">
        <f t="shared" si="36"/>
        <v>22008.363498406903</v>
      </c>
      <c r="N143" s="45"/>
    </row>
    <row r="144" spans="1:14">
      <c r="A144" s="74">
        <v>3</v>
      </c>
      <c r="C144" s="74" t="s">
        <v>388</v>
      </c>
      <c r="E144" s="78">
        <f t="shared" si="36"/>
        <v>0</v>
      </c>
      <c r="F144" s="78">
        <f t="shared" si="36"/>
        <v>0</v>
      </c>
      <c r="G144" s="78">
        <f t="shared" si="36"/>
        <v>21065.627862595422</v>
      </c>
      <c r="H144" s="78">
        <f t="shared" si="36"/>
        <v>21048.39380631514</v>
      </c>
      <c r="I144" s="78">
        <f t="shared" si="36"/>
        <v>20993.459150530161</v>
      </c>
      <c r="J144" s="29">
        <f t="shared" si="36"/>
        <v>20970.135783646376</v>
      </c>
      <c r="K144" s="29">
        <f t="shared" si="36"/>
        <v>20912.73825492007</v>
      </c>
      <c r="L144" s="29">
        <f t="shared" si="36"/>
        <v>20820.926233313105</v>
      </c>
      <c r="M144" s="29">
        <f t="shared" si="36"/>
        <v>20716.821602146541</v>
      </c>
      <c r="N144" s="45"/>
    </row>
    <row r="145" spans="1:14">
      <c r="A145" s="74">
        <v>4</v>
      </c>
      <c r="C145" s="74" t="s">
        <v>389</v>
      </c>
      <c r="E145" s="78">
        <f t="shared" si="36"/>
        <v>0</v>
      </c>
      <c r="F145" s="78">
        <f t="shared" si="36"/>
        <v>0</v>
      </c>
      <c r="G145" s="78">
        <f t="shared" si="36"/>
        <v>0</v>
      </c>
      <c r="H145" s="78">
        <f t="shared" si="36"/>
        <v>24983.383211822271</v>
      </c>
      <c r="I145" s="78">
        <f t="shared" si="36"/>
        <v>24930.796412847962</v>
      </c>
      <c r="J145" s="29">
        <f t="shared" si="36"/>
        <v>24916.275686659461</v>
      </c>
      <c r="K145" s="29">
        <f t="shared" si="36"/>
        <v>24861.873533823869</v>
      </c>
      <c r="L145" s="29">
        <f t="shared" si="36"/>
        <v>24767.1616346474</v>
      </c>
      <c r="M145" s="29">
        <f t="shared" si="36"/>
        <v>24658.427754300166</v>
      </c>
      <c r="N145" s="45"/>
    </row>
    <row r="146" spans="1:14">
      <c r="A146" s="74">
        <v>5</v>
      </c>
      <c r="C146" s="74" t="s">
        <v>390</v>
      </c>
      <c r="E146" s="78">
        <f t="shared" si="36"/>
        <v>0</v>
      </c>
      <c r="F146" s="78">
        <f t="shared" si="36"/>
        <v>0</v>
      </c>
      <c r="G146" s="78">
        <f t="shared" si="36"/>
        <v>0</v>
      </c>
      <c r="H146" s="78">
        <f t="shared" si="36"/>
        <v>0</v>
      </c>
      <c r="I146" s="78">
        <f t="shared" si="36"/>
        <v>28206.001594177971</v>
      </c>
      <c r="J146" s="29">
        <f t="shared" si="36"/>
        <v>28203.818708482453</v>
      </c>
      <c r="K146" s="29">
        <f t="shared" si="36"/>
        <v>28157.145420876528</v>
      </c>
      <c r="L146" s="29">
        <f t="shared" si="36"/>
        <v>28065.470993924839</v>
      </c>
      <c r="M146" s="29">
        <f t="shared" si="36"/>
        <v>27958.554913947981</v>
      </c>
      <c r="N146" s="45"/>
    </row>
    <row r="147" spans="1:14">
      <c r="A147" s="74">
        <v>6</v>
      </c>
      <c r="C147" s="74" t="s">
        <v>391</v>
      </c>
      <c r="E147" s="78">
        <f t="shared" si="36"/>
        <v>0</v>
      </c>
      <c r="F147" s="78">
        <f t="shared" si="36"/>
        <v>0</v>
      </c>
      <c r="G147" s="78">
        <f t="shared" si="36"/>
        <v>0</v>
      </c>
      <c r="H147" s="78">
        <f t="shared" si="36"/>
        <v>0</v>
      </c>
      <c r="I147" s="78">
        <f t="shared" si="36"/>
        <v>0</v>
      </c>
      <c r="J147" s="29">
        <f t="shared" si="36"/>
        <v>18418.29816184007</v>
      </c>
      <c r="K147" s="29">
        <f t="shared" si="36"/>
        <v>18397.120682472119</v>
      </c>
      <c r="L147" s="29">
        <f t="shared" si="36"/>
        <v>18346.946716974468</v>
      </c>
      <c r="M147" s="29">
        <f t="shared" si="36"/>
        <v>18287.212471849434</v>
      </c>
      <c r="N147" s="45"/>
    </row>
    <row r="148" spans="1:14">
      <c r="A148" s="74">
        <v>7</v>
      </c>
      <c r="C148" s="74" t="s">
        <v>392</v>
      </c>
      <c r="E148" s="78">
        <f t="shared" si="36"/>
        <v>0</v>
      </c>
      <c r="F148" s="78">
        <f t="shared" si="36"/>
        <v>0</v>
      </c>
      <c r="G148" s="78">
        <f t="shared" si="36"/>
        <v>0</v>
      </c>
      <c r="H148" s="78">
        <f t="shared" si="36"/>
        <v>0</v>
      </c>
      <c r="I148" s="78">
        <f t="shared" si="36"/>
        <v>0</v>
      </c>
      <c r="J148" s="29">
        <f t="shared" si="36"/>
        <v>0</v>
      </c>
      <c r="K148" s="29">
        <f t="shared" si="36"/>
        <v>14946.527271212733</v>
      </c>
      <c r="L148" s="29">
        <f t="shared" si="36"/>
        <v>14913.312766165594</v>
      </c>
      <c r="M148" s="29">
        <f t="shared" si="36"/>
        <v>14872.640094985141</v>
      </c>
      <c r="N148" s="45"/>
    </row>
    <row r="149" spans="1:14">
      <c r="A149" s="74">
        <v>8</v>
      </c>
      <c r="C149" s="74" t="s">
        <v>393</v>
      </c>
      <c r="E149" s="78">
        <f t="shared" si="36"/>
        <v>0</v>
      </c>
      <c r="F149" s="78">
        <f t="shared" si="36"/>
        <v>0</v>
      </c>
      <c r="G149" s="78">
        <f t="shared" si="36"/>
        <v>0</v>
      </c>
      <c r="H149" s="78">
        <f t="shared" si="36"/>
        <v>0</v>
      </c>
      <c r="I149" s="78">
        <f t="shared" si="36"/>
        <v>0</v>
      </c>
      <c r="J149" s="29">
        <f t="shared" si="36"/>
        <v>0</v>
      </c>
      <c r="K149" s="29">
        <f t="shared" si="36"/>
        <v>0</v>
      </c>
      <c r="L149" s="29">
        <f t="shared" si="36"/>
        <v>15157.394795639755</v>
      </c>
      <c r="M149" s="29">
        <f t="shared" si="36"/>
        <v>15123.711696093889</v>
      </c>
      <c r="N149" s="45"/>
    </row>
    <row r="150" spans="1:14">
      <c r="A150" s="74">
        <v>9</v>
      </c>
      <c r="C150" s="74" t="s">
        <v>394</v>
      </c>
      <c r="E150" s="78">
        <f t="shared" si="36"/>
        <v>0</v>
      </c>
      <c r="F150" s="78">
        <f t="shared" si="36"/>
        <v>0</v>
      </c>
      <c r="G150" s="78">
        <f t="shared" si="36"/>
        <v>0</v>
      </c>
      <c r="H150" s="78">
        <f t="shared" si="36"/>
        <v>0</v>
      </c>
      <c r="I150" s="78">
        <f t="shared" si="36"/>
        <v>0</v>
      </c>
      <c r="J150" s="29">
        <f t="shared" si="36"/>
        <v>0</v>
      </c>
      <c r="K150" s="29">
        <f t="shared" si="36"/>
        <v>0</v>
      </c>
      <c r="L150" s="29">
        <f t="shared" si="36"/>
        <v>0</v>
      </c>
      <c r="M150" s="29">
        <f t="shared" si="36"/>
        <v>15455.228192284256</v>
      </c>
      <c r="N150" s="45"/>
    </row>
    <row r="151" spans="1:14">
      <c r="C151" s="74" t="s">
        <v>104</v>
      </c>
      <c r="E151" s="78">
        <f>SUM(E106:E114)</f>
        <v>0</v>
      </c>
      <c r="F151" s="78">
        <f t="shared" ref="F151:M151" si="37">SUM(F106:F114)</f>
        <v>0</v>
      </c>
      <c r="G151" s="78">
        <f t="shared" si="37"/>
        <v>22745</v>
      </c>
      <c r="H151" s="78">
        <f t="shared" si="37"/>
        <v>43521.428016249512</v>
      </c>
      <c r="I151" s="78">
        <f t="shared" si="37"/>
        <v>68457.86448478869</v>
      </c>
      <c r="J151" s="78">
        <f t="shared" si="37"/>
        <v>96485.9611843327</v>
      </c>
      <c r="K151" s="78">
        <f t="shared" si="37"/>
        <v>114827.0169965699</v>
      </c>
      <c r="L151" s="78">
        <f t="shared" si="37"/>
        <v>129519.84490813233</v>
      </c>
      <c r="M151" s="78">
        <f t="shared" si="37"/>
        <v>144204.43068676803</v>
      </c>
      <c r="N151" s="45"/>
    </row>
    <row r="152" spans="1:14">
      <c r="C152" s="74" t="s">
        <v>105</v>
      </c>
      <c r="E152" s="78">
        <f>SUM(E124:E132)</f>
        <v>0</v>
      </c>
      <c r="F152" s="78">
        <f t="shared" ref="F152:M152" si="38">SUM(F124:F132)</f>
        <v>0</v>
      </c>
      <c r="G152" s="78">
        <f t="shared" si="38"/>
        <v>216.24459809853082</v>
      </c>
      <c r="H152" s="78">
        <f t="shared" si="38"/>
        <v>931.5374147313704</v>
      </c>
      <c r="I152" s="78">
        <f t="shared" si="38"/>
        <v>1377.1909032983508</v>
      </c>
      <c r="J152" s="78">
        <f t="shared" si="38"/>
        <v>2136.6653427553033</v>
      </c>
      <c r="K152" s="78">
        <f t="shared" si="38"/>
        <v>2419.6826356601741</v>
      </c>
      <c r="L152" s="78">
        <f t="shared" si="38"/>
        <v>2590.3968981626485</v>
      </c>
      <c r="M152" s="78">
        <f t="shared" si="38"/>
        <v>2884.0886137353632</v>
      </c>
      <c r="N152" s="45"/>
    </row>
    <row r="153" spans="1:14">
      <c r="C153" s="74" t="s">
        <v>49</v>
      </c>
      <c r="E153" s="78">
        <f>SUM(E133:E141)</f>
        <v>0</v>
      </c>
      <c r="F153" s="78">
        <f t="shared" ref="F153:M153" si="39">SUM(F133:F141)</f>
        <v>0</v>
      </c>
      <c r="G153" s="78">
        <f t="shared" si="39"/>
        <v>505.44444444444446</v>
      </c>
      <c r="H153" s="78">
        <f t="shared" si="39"/>
        <v>978.48415801446083</v>
      </c>
      <c r="I153" s="78">
        <f t="shared" si="39"/>
        <v>1555.0957979323123</v>
      </c>
      <c r="J153" s="78">
        <f t="shared" si="39"/>
        <v>2213.9076923581779</v>
      </c>
      <c r="K153" s="78">
        <f t="shared" si="39"/>
        <v>2673.3819953104812</v>
      </c>
      <c r="L153" s="78">
        <f t="shared" si="39"/>
        <v>3063.2059151667008</v>
      </c>
      <c r="M153" s="78">
        <f t="shared" si="39"/>
        <v>3462.7872687733311</v>
      </c>
      <c r="N153" s="45"/>
    </row>
    <row r="154" spans="1:14">
      <c r="C154" s="74" t="s">
        <v>106</v>
      </c>
      <c r="E154" s="78"/>
      <c r="F154" s="78">
        <f t="shared" ref="F154:M154" si="40">SUM(F142:F150)</f>
        <v>22745</v>
      </c>
      <c r="G154" s="78">
        <f t="shared" si="40"/>
        <v>43521.428016249512</v>
      </c>
      <c r="H154" s="78">
        <f t="shared" si="40"/>
        <v>68457.86448478869</v>
      </c>
      <c r="I154" s="78">
        <f t="shared" si="40"/>
        <v>96485.9611843327</v>
      </c>
      <c r="J154" s="78">
        <f t="shared" si="40"/>
        <v>114827.0169965699</v>
      </c>
      <c r="K154" s="78">
        <f t="shared" si="40"/>
        <v>129519.84490813233</v>
      </c>
      <c r="L154" s="78">
        <f t="shared" si="40"/>
        <v>144204.43068676803</v>
      </c>
      <c r="M154" s="78">
        <f t="shared" si="40"/>
        <v>159080.96022401433</v>
      </c>
      <c r="N154" s="45"/>
    </row>
    <row r="155" spans="1:14">
      <c r="E155" s="78"/>
      <c r="F155" s="78"/>
      <c r="G155" s="78"/>
      <c r="H155" s="78"/>
      <c r="I155" s="78"/>
      <c r="J155" s="78"/>
      <c r="K155" s="78"/>
      <c r="L155" s="78"/>
      <c r="M155" s="78"/>
      <c r="N155" s="45"/>
    </row>
    <row r="156" spans="1:14" ht="15.75">
      <c r="C156" s="5" t="s">
        <v>198</v>
      </c>
      <c r="E156" s="10" t="str">
        <f>E$21</f>
        <v>2009/10</v>
      </c>
      <c r="F156" s="10" t="str">
        <f t="shared" ref="F156:M156" si="41">F$21</f>
        <v>2010/11</v>
      </c>
      <c r="G156" s="10" t="str">
        <f t="shared" si="41"/>
        <v>2011/12</v>
      </c>
      <c r="H156" s="10" t="str">
        <f t="shared" si="41"/>
        <v>2012/13</v>
      </c>
      <c r="I156" s="10" t="str">
        <f t="shared" si="41"/>
        <v>2013/14</v>
      </c>
      <c r="J156" s="10" t="str">
        <f t="shared" si="41"/>
        <v>2014/15</v>
      </c>
      <c r="K156" s="10" t="str">
        <f t="shared" si="41"/>
        <v>2015/16</v>
      </c>
      <c r="L156" s="10" t="str">
        <f t="shared" si="41"/>
        <v>2016/17</v>
      </c>
      <c r="M156" s="10" t="str">
        <f t="shared" si="41"/>
        <v>2017/18</v>
      </c>
      <c r="N156" s="45"/>
    </row>
    <row r="157" spans="1:14">
      <c r="C157" s="20" t="s">
        <v>41</v>
      </c>
      <c r="E157" s="20">
        <v>1</v>
      </c>
      <c r="F157" s="20">
        <v>2</v>
      </c>
      <c r="G157" s="20">
        <v>3</v>
      </c>
      <c r="H157" s="20">
        <v>4</v>
      </c>
      <c r="I157" s="20">
        <v>5</v>
      </c>
      <c r="J157" s="20">
        <v>6</v>
      </c>
      <c r="K157" s="20">
        <v>7</v>
      </c>
      <c r="L157" s="20">
        <v>8</v>
      </c>
      <c r="M157" s="20">
        <v>9</v>
      </c>
      <c r="N157" s="45"/>
    </row>
    <row r="158" spans="1:14">
      <c r="C158" s="74" t="s">
        <v>22</v>
      </c>
      <c r="D158" s="78"/>
      <c r="E158" s="181">
        <v>0</v>
      </c>
      <c r="F158" s="78">
        <f t="shared" ref="F158:M158" si="42">F$48</f>
        <v>22745</v>
      </c>
      <c r="G158" s="78">
        <f t="shared" si="42"/>
        <v>21065.627862595422</v>
      </c>
      <c r="H158" s="78">
        <f t="shared" si="42"/>
        <v>24983.383211822271</v>
      </c>
      <c r="I158" s="78">
        <f t="shared" si="42"/>
        <v>28206.001594177971</v>
      </c>
      <c r="J158" s="78">
        <f t="shared" si="42"/>
        <v>18418.29816184007</v>
      </c>
      <c r="K158" s="78">
        <f t="shared" si="42"/>
        <v>14946.527271212733</v>
      </c>
      <c r="L158" s="78">
        <f t="shared" si="42"/>
        <v>15157.394795639755</v>
      </c>
      <c r="M158" s="78">
        <f t="shared" si="42"/>
        <v>15455.228192284256</v>
      </c>
      <c r="N158" s="45"/>
    </row>
    <row r="159" spans="1:14">
      <c r="A159" s="74">
        <v>1</v>
      </c>
      <c r="C159" s="74" t="s">
        <v>395</v>
      </c>
      <c r="E159" s="181">
        <v>0</v>
      </c>
      <c r="F159" s="78">
        <f>E186</f>
        <v>0</v>
      </c>
      <c r="G159" s="78">
        <f t="shared" ref="G159:M167" si="43">F186</f>
        <v>0</v>
      </c>
      <c r="H159" s="78">
        <f t="shared" si="43"/>
        <v>0</v>
      </c>
      <c r="I159" s="78">
        <f t="shared" si="43"/>
        <v>0</v>
      </c>
      <c r="J159" s="78">
        <f t="shared" si="43"/>
        <v>0</v>
      </c>
      <c r="K159" s="78">
        <f t="shared" si="43"/>
        <v>0</v>
      </c>
      <c r="L159" s="78">
        <f t="shared" si="43"/>
        <v>0</v>
      </c>
      <c r="M159" s="78">
        <f t="shared" si="43"/>
        <v>0</v>
      </c>
      <c r="N159" s="45"/>
    </row>
    <row r="160" spans="1:14">
      <c r="A160" s="74">
        <v>2</v>
      </c>
      <c r="C160" s="74" t="s">
        <v>396</v>
      </c>
      <c r="E160" s="181">
        <v>0</v>
      </c>
      <c r="F160" s="78">
        <f t="shared" ref="F160:J163" si="44">E187</f>
        <v>0</v>
      </c>
      <c r="G160" s="78">
        <f t="shared" si="44"/>
        <v>22745</v>
      </c>
      <c r="H160" s="78">
        <f t="shared" si="44"/>
        <v>22239.555555555555</v>
      </c>
      <c r="I160" s="78">
        <f t="shared" si="44"/>
        <v>21734.111111111109</v>
      </c>
      <c r="J160" s="78">
        <f t="shared" si="44"/>
        <v>21228.666666666664</v>
      </c>
      <c r="K160" s="78">
        <f t="shared" si="43"/>
        <v>20723.222222222219</v>
      </c>
      <c r="L160" s="78">
        <f t="shared" si="43"/>
        <v>20217.777777777774</v>
      </c>
      <c r="M160" s="78">
        <f t="shared" si="43"/>
        <v>19712.333333333328</v>
      </c>
      <c r="N160" s="45"/>
    </row>
    <row r="161" spans="1:14">
      <c r="A161" s="74">
        <v>3</v>
      </c>
      <c r="C161" s="74" t="s">
        <v>397</v>
      </c>
      <c r="E161" s="181">
        <v>0</v>
      </c>
      <c r="F161" s="78">
        <f t="shared" si="44"/>
        <v>0</v>
      </c>
      <c r="G161" s="78">
        <f t="shared" si="44"/>
        <v>0</v>
      </c>
      <c r="H161" s="78">
        <f t="shared" si="44"/>
        <v>21065.627862595422</v>
      </c>
      <c r="I161" s="78">
        <f t="shared" si="44"/>
        <v>20597.50279898219</v>
      </c>
      <c r="J161" s="78">
        <f t="shared" si="44"/>
        <v>20129.377735368958</v>
      </c>
      <c r="K161" s="78">
        <f t="shared" si="43"/>
        <v>19661.252671755727</v>
      </c>
      <c r="L161" s="78">
        <f t="shared" si="43"/>
        <v>19193.127608142495</v>
      </c>
      <c r="M161" s="78">
        <f t="shared" si="43"/>
        <v>18725.002544529263</v>
      </c>
      <c r="N161" s="45"/>
    </row>
    <row r="162" spans="1:14">
      <c r="A162" s="74">
        <v>4</v>
      </c>
      <c r="C162" s="74" t="s">
        <v>398</v>
      </c>
      <c r="E162" s="181">
        <v>0</v>
      </c>
      <c r="F162" s="78">
        <f t="shared" si="44"/>
        <v>0</v>
      </c>
      <c r="G162" s="78">
        <f t="shared" si="44"/>
        <v>0</v>
      </c>
      <c r="H162" s="78">
        <f t="shared" si="44"/>
        <v>0</v>
      </c>
      <c r="I162" s="78">
        <f t="shared" si="44"/>
        <v>24983.383211822271</v>
      </c>
      <c r="J162" s="78">
        <f t="shared" si="44"/>
        <v>24428.196918226222</v>
      </c>
      <c r="K162" s="78">
        <f t="shared" si="43"/>
        <v>23873.010624630173</v>
      </c>
      <c r="L162" s="78">
        <f t="shared" si="43"/>
        <v>23317.824331034124</v>
      </c>
      <c r="M162" s="78">
        <f t="shared" si="43"/>
        <v>22762.638037438075</v>
      </c>
      <c r="N162" s="45"/>
    </row>
    <row r="163" spans="1:14">
      <c r="A163" s="74">
        <v>5</v>
      </c>
      <c r="C163" s="74" t="s">
        <v>399</v>
      </c>
      <c r="E163" s="181">
        <v>0</v>
      </c>
      <c r="F163" s="78">
        <f t="shared" si="44"/>
        <v>0</v>
      </c>
      <c r="G163" s="78">
        <f t="shared" si="44"/>
        <v>0</v>
      </c>
      <c r="H163" s="78">
        <f t="shared" si="44"/>
        <v>0</v>
      </c>
      <c r="I163" s="78">
        <f t="shared" si="44"/>
        <v>0</v>
      </c>
      <c r="J163" s="78">
        <f t="shared" si="44"/>
        <v>28206.001594177971</v>
      </c>
      <c r="K163" s="78">
        <f t="shared" si="43"/>
        <v>27579.201558751793</v>
      </c>
      <c r="L163" s="78">
        <f t="shared" si="43"/>
        <v>26952.401523325614</v>
      </c>
      <c r="M163" s="78">
        <f t="shared" si="43"/>
        <v>26325.601487899436</v>
      </c>
      <c r="N163" s="45"/>
    </row>
    <row r="164" spans="1:14">
      <c r="A164" s="74">
        <v>6</v>
      </c>
      <c r="C164" s="74" t="s">
        <v>400</v>
      </c>
      <c r="E164" s="181">
        <v>0</v>
      </c>
      <c r="F164" s="78">
        <f>E191</f>
        <v>0</v>
      </c>
      <c r="G164" s="78">
        <f>F191</f>
        <v>0</v>
      </c>
      <c r="H164" s="78">
        <f>G191</f>
        <v>0</v>
      </c>
      <c r="I164" s="78">
        <f>H191</f>
        <v>0</v>
      </c>
      <c r="J164" s="78">
        <f>I191</f>
        <v>0</v>
      </c>
      <c r="K164" s="78">
        <f t="shared" si="43"/>
        <v>18418.29816184007</v>
      </c>
      <c r="L164" s="78">
        <f t="shared" si="43"/>
        <v>18009.002647132515</v>
      </c>
      <c r="M164" s="78">
        <f t="shared" si="43"/>
        <v>17599.707132424959</v>
      </c>
      <c r="N164" s="45"/>
    </row>
    <row r="165" spans="1:14">
      <c r="A165" s="74">
        <v>7</v>
      </c>
      <c r="C165" s="74" t="s">
        <v>401</v>
      </c>
      <c r="E165" s="181">
        <v>0</v>
      </c>
      <c r="F165" s="78">
        <f t="shared" ref="F165:J167" si="45">E192</f>
        <v>0</v>
      </c>
      <c r="G165" s="78">
        <f t="shared" si="45"/>
        <v>0</v>
      </c>
      <c r="H165" s="78">
        <f t="shared" si="45"/>
        <v>0</v>
      </c>
      <c r="I165" s="78">
        <f t="shared" si="45"/>
        <v>0</v>
      </c>
      <c r="J165" s="78">
        <f t="shared" si="45"/>
        <v>0</v>
      </c>
      <c r="K165" s="78">
        <f t="shared" si="43"/>
        <v>0</v>
      </c>
      <c r="L165" s="78">
        <f t="shared" si="43"/>
        <v>14946.527271212733</v>
      </c>
      <c r="M165" s="78">
        <f t="shared" si="43"/>
        <v>14614.38222074134</v>
      </c>
      <c r="N165" s="45"/>
    </row>
    <row r="166" spans="1:14">
      <c r="A166" s="74">
        <v>8</v>
      </c>
      <c r="C166" s="74" t="s">
        <v>402</v>
      </c>
      <c r="E166" s="181">
        <v>0</v>
      </c>
      <c r="F166" s="78">
        <f t="shared" si="45"/>
        <v>0</v>
      </c>
      <c r="G166" s="78">
        <f t="shared" si="45"/>
        <v>0</v>
      </c>
      <c r="H166" s="78">
        <f t="shared" si="45"/>
        <v>0</v>
      </c>
      <c r="I166" s="78">
        <f t="shared" si="45"/>
        <v>0</v>
      </c>
      <c r="J166" s="78">
        <f t="shared" si="45"/>
        <v>0</v>
      </c>
      <c r="K166" s="78">
        <f t="shared" si="43"/>
        <v>0</v>
      </c>
      <c r="L166" s="78">
        <f t="shared" si="43"/>
        <v>0</v>
      </c>
      <c r="M166" s="78">
        <f t="shared" si="43"/>
        <v>15157.394795639755</v>
      </c>
      <c r="N166" s="45"/>
    </row>
    <row r="167" spans="1:14">
      <c r="A167" s="74">
        <v>9</v>
      </c>
      <c r="C167" s="74" t="s">
        <v>403</v>
      </c>
      <c r="E167" s="181">
        <v>0</v>
      </c>
      <c r="F167" s="78">
        <f t="shared" si="45"/>
        <v>0</v>
      </c>
      <c r="G167" s="78">
        <f t="shared" si="45"/>
        <v>0</v>
      </c>
      <c r="H167" s="78">
        <f t="shared" si="45"/>
        <v>0</v>
      </c>
      <c r="I167" s="78">
        <f t="shared" si="45"/>
        <v>0</v>
      </c>
      <c r="J167" s="78">
        <f t="shared" si="45"/>
        <v>0</v>
      </c>
      <c r="K167" s="78">
        <f t="shared" si="43"/>
        <v>0</v>
      </c>
      <c r="L167" s="78">
        <f t="shared" si="43"/>
        <v>0</v>
      </c>
      <c r="M167" s="78">
        <f t="shared" si="43"/>
        <v>0</v>
      </c>
      <c r="N167" s="45"/>
    </row>
    <row r="168" spans="1:14">
      <c r="A168" s="74">
        <v>1</v>
      </c>
      <c r="C168" s="74" t="s">
        <v>359</v>
      </c>
      <c r="E168" s="181">
        <f>Inputs!$C$7+$A168</f>
        <v>46</v>
      </c>
      <c r="F168" s="78">
        <f>E168-1</f>
        <v>45</v>
      </c>
      <c r="G168" s="78">
        <f t="shared" ref="G168:M176" si="46">F168-1</f>
        <v>44</v>
      </c>
      <c r="H168" s="78">
        <f t="shared" si="46"/>
        <v>43</v>
      </c>
      <c r="I168" s="78">
        <f t="shared" si="46"/>
        <v>42</v>
      </c>
      <c r="J168" s="78">
        <f t="shared" si="46"/>
        <v>41</v>
      </c>
      <c r="K168" s="78">
        <f t="shared" si="46"/>
        <v>40</v>
      </c>
      <c r="L168" s="78">
        <f t="shared" si="46"/>
        <v>39</v>
      </c>
      <c r="M168" s="78">
        <f t="shared" si="46"/>
        <v>38</v>
      </c>
      <c r="N168" s="45"/>
    </row>
    <row r="169" spans="1:14">
      <c r="A169" s="74">
        <v>2</v>
      </c>
      <c r="C169" s="74" t="s">
        <v>360</v>
      </c>
      <c r="E169" s="181">
        <f>Inputs!$C$7+$A169</f>
        <v>47</v>
      </c>
      <c r="F169" s="78">
        <f t="shared" ref="F169:J176" si="47">E169-1</f>
        <v>46</v>
      </c>
      <c r="G169" s="78">
        <f t="shared" si="47"/>
        <v>45</v>
      </c>
      <c r="H169" s="78">
        <f t="shared" si="47"/>
        <v>44</v>
      </c>
      <c r="I169" s="78">
        <f t="shared" si="47"/>
        <v>43</v>
      </c>
      <c r="J169" s="78">
        <f t="shared" si="47"/>
        <v>42</v>
      </c>
      <c r="K169" s="78">
        <f t="shared" si="46"/>
        <v>41</v>
      </c>
      <c r="L169" s="78">
        <f t="shared" si="46"/>
        <v>40</v>
      </c>
      <c r="M169" s="78">
        <f t="shared" si="46"/>
        <v>39</v>
      </c>
      <c r="N169" s="45"/>
    </row>
    <row r="170" spans="1:14">
      <c r="A170" s="74">
        <v>3</v>
      </c>
      <c r="C170" s="74" t="s">
        <v>361</v>
      </c>
      <c r="E170" s="181">
        <f>Inputs!$C$7+$A170</f>
        <v>48</v>
      </c>
      <c r="F170" s="78">
        <f t="shared" si="47"/>
        <v>47</v>
      </c>
      <c r="G170" s="78">
        <f t="shared" si="47"/>
        <v>46</v>
      </c>
      <c r="H170" s="78">
        <f t="shared" si="47"/>
        <v>45</v>
      </c>
      <c r="I170" s="78">
        <f t="shared" si="47"/>
        <v>44</v>
      </c>
      <c r="J170" s="78">
        <f t="shared" si="47"/>
        <v>43</v>
      </c>
      <c r="K170" s="78">
        <f t="shared" si="46"/>
        <v>42</v>
      </c>
      <c r="L170" s="78">
        <f t="shared" si="46"/>
        <v>41</v>
      </c>
      <c r="M170" s="78">
        <f t="shared" si="46"/>
        <v>40</v>
      </c>
      <c r="N170" s="45"/>
    </row>
    <row r="171" spans="1:14">
      <c r="A171" s="74">
        <v>4</v>
      </c>
      <c r="C171" s="74" t="s">
        <v>362</v>
      </c>
      <c r="E171" s="181">
        <f>Inputs!$C$7+$A171</f>
        <v>49</v>
      </c>
      <c r="F171" s="78">
        <f t="shared" si="47"/>
        <v>48</v>
      </c>
      <c r="G171" s="78">
        <f t="shared" si="47"/>
        <v>47</v>
      </c>
      <c r="H171" s="78">
        <f t="shared" si="47"/>
        <v>46</v>
      </c>
      <c r="I171" s="78">
        <f t="shared" si="47"/>
        <v>45</v>
      </c>
      <c r="J171" s="78">
        <f t="shared" si="47"/>
        <v>44</v>
      </c>
      <c r="K171" s="78">
        <f t="shared" si="46"/>
        <v>43</v>
      </c>
      <c r="L171" s="78">
        <f t="shared" si="46"/>
        <v>42</v>
      </c>
      <c r="M171" s="78">
        <f t="shared" si="46"/>
        <v>41</v>
      </c>
      <c r="N171" s="45"/>
    </row>
    <row r="172" spans="1:14">
      <c r="A172" s="74">
        <v>5</v>
      </c>
      <c r="C172" s="74" t="s">
        <v>363</v>
      </c>
      <c r="E172" s="181">
        <f>Inputs!$C$7+$A172</f>
        <v>50</v>
      </c>
      <c r="F172" s="78">
        <f t="shared" si="47"/>
        <v>49</v>
      </c>
      <c r="G172" s="78">
        <f t="shared" si="47"/>
        <v>48</v>
      </c>
      <c r="H172" s="78">
        <f t="shared" si="47"/>
        <v>47</v>
      </c>
      <c r="I172" s="78">
        <f t="shared" si="47"/>
        <v>46</v>
      </c>
      <c r="J172" s="78">
        <f t="shared" si="47"/>
        <v>45</v>
      </c>
      <c r="K172" s="78">
        <f t="shared" si="46"/>
        <v>44</v>
      </c>
      <c r="L172" s="78">
        <f t="shared" si="46"/>
        <v>43</v>
      </c>
      <c r="M172" s="78">
        <f t="shared" si="46"/>
        <v>42</v>
      </c>
      <c r="N172" s="45"/>
    </row>
    <row r="173" spans="1:14">
      <c r="A173" s="74">
        <v>6</v>
      </c>
      <c r="C173" s="74" t="s">
        <v>364</v>
      </c>
      <c r="E173" s="181">
        <f>Inputs!$C$7+$A173</f>
        <v>51</v>
      </c>
      <c r="F173" s="78">
        <f t="shared" si="47"/>
        <v>50</v>
      </c>
      <c r="G173" s="78">
        <f t="shared" si="47"/>
        <v>49</v>
      </c>
      <c r="H173" s="78">
        <f t="shared" si="47"/>
        <v>48</v>
      </c>
      <c r="I173" s="78">
        <f t="shared" si="47"/>
        <v>47</v>
      </c>
      <c r="J173" s="78">
        <f t="shared" si="47"/>
        <v>46</v>
      </c>
      <c r="K173" s="78">
        <f t="shared" si="46"/>
        <v>45</v>
      </c>
      <c r="L173" s="78">
        <f t="shared" si="46"/>
        <v>44</v>
      </c>
      <c r="M173" s="78">
        <f t="shared" si="46"/>
        <v>43</v>
      </c>
      <c r="N173" s="45"/>
    </row>
    <row r="174" spans="1:14">
      <c r="A174" s="74">
        <v>7</v>
      </c>
      <c r="C174" s="74" t="s">
        <v>365</v>
      </c>
      <c r="E174" s="181">
        <f>Inputs!$C$7+$A174</f>
        <v>52</v>
      </c>
      <c r="F174" s="78">
        <f t="shared" si="47"/>
        <v>51</v>
      </c>
      <c r="G174" s="78">
        <f t="shared" si="47"/>
        <v>50</v>
      </c>
      <c r="H174" s="78">
        <f t="shared" si="47"/>
        <v>49</v>
      </c>
      <c r="I174" s="78">
        <f t="shared" si="47"/>
        <v>48</v>
      </c>
      <c r="J174" s="78">
        <f t="shared" si="47"/>
        <v>47</v>
      </c>
      <c r="K174" s="78">
        <f t="shared" si="46"/>
        <v>46</v>
      </c>
      <c r="L174" s="78">
        <f t="shared" si="46"/>
        <v>45</v>
      </c>
      <c r="M174" s="78">
        <f t="shared" si="46"/>
        <v>44</v>
      </c>
      <c r="N174" s="45"/>
    </row>
    <row r="175" spans="1:14">
      <c r="A175" s="74">
        <v>8</v>
      </c>
      <c r="C175" s="74" t="s">
        <v>366</v>
      </c>
      <c r="E175" s="181">
        <f>Inputs!$C$7+$A175</f>
        <v>53</v>
      </c>
      <c r="F175" s="78">
        <f t="shared" si="47"/>
        <v>52</v>
      </c>
      <c r="G175" s="78">
        <f t="shared" si="47"/>
        <v>51</v>
      </c>
      <c r="H175" s="78">
        <f t="shared" si="47"/>
        <v>50</v>
      </c>
      <c r="I175" s="78">
        <f t="shared" si="47"/>
        <v>49</v>
      </c>
      <c r="J175" s="78">
        <f t="shared" si="47"/>
        <v>48</v>
      </c>
      <c r="K175" s="78">
        <f t="shared" si="46"/>
        <v>47</v>
      </c>
      <c r="L175" s="78">
        <f t="shared" si="46"/>
        <v>46</v>
      </c>
      <c r="M175" s="78">
        <f t="shared" si="46"/>
        <v>45</v>
      </c>
      <c r="N175" s="45"/>
    </row>
    <row r="176" spans="1:14">
      <c r="A176" s="74">
        <v>9</v>
      </c>
      <c r="C176" s="74" t="s">
        <v>367</v>
      </c>
      <c r="E176" s="181">
        <f>Inputs!$C$7+$A176</f>
        <v>54</v>
      </c>
      <c r="F176" s="78">
        <f t="shared" si="47"/>
        <v>53</v>
      </c>
      <c r="G176" s="78">
        <f t="shared" si="47"/>
        <v>52</v>
      </c>
      <c r="H176" s="78">
        <f t="shared" si="47"/>
        <v>51</v>
      </c>
      <c r="I176" s="78">
        <f t="shared" si="47"/>
        <v>50</v>
      </c>
      <c r="J176" s="78">
        <f t="shared" si="47"/>
        <v>49</v>
      </c>
      <c r="K176" s="78">
        <f t="shared" si="46"/>
        <v>48</v>
      </c>
      <c r="L176" s="78">
        <f t="shared" si="46"/>
        <v>47</v>
      </c>
      <c r="M176" s="78">
        <f t="shared" si="46"/>
        <v>46</v>
      </c>
      <c r="N176" s="45"/>
    </row>
    <row r="177" spans="1:14">
      <c r="A177" s="74">
        <v>1</v>
      </c>
      <c r="C177" s="74" t="s">
        <v>404</v>
      </c>
      <c r="E177" s="78">
        <f t="shared" ref="E177:M185" si="48">E159/E168</f>
        <v>0</v>
      </c>
      <c r="F177" s="78">
        <f t="shared" si="48"/>
        <v>0</v>
      </c>
      <c r="G177" s="78">
        <f t="shared" si="48"/>
        <v>0</v>
      </c>
      <c r="H177" s="78">
        <f t="shared" si="48"/>
        <v>0</v>
      </c>
      <c r="I177" s="78">
        <f t="shared" si="48"/>
        <v>0</v>
      </c>
      <c r="J177" s="78">
        <f t="shared" si="48"/>
        <v>0</v>
      </c>
      <c r="K177" s="78">
        <f t="shared" si="48"/>
        <v>0</v>
      </c>
      <c r="L177" s="78">
        <f t="shared" si="48"/>
        <v>0</v>
      </c>
      <c r="M177" s="78">
        <f t="shared" si="48"/>
        <v>0</v>
      </c>
      <c r="N177" s="45"/>
    </row>
    <row r="178" spans="1:14">
      <c r="A178" s="74">
        <v>2</v>
      </c>
      <c r="C178" s="74" t="s">
        <v>405</v>
      </c>
      <c r="E178" s="78">
        <f t="shared" si="48"/>
        <v>0</v>
      </c>
      <c r="F178" s="78">
        <f t="shared" si="48"/>
        <v>0</v>
      </c>
      <c r="G178" s="78">
        <f t="shared" si="48"/>
        <v>505.44444444444446</v>
      </c>
      <c r="H178" s="78">
        <f t="shared" si="48"/>
        <v>505.4444444444444</v>
      </c>
      <c r="I178" s="78">
        <f t="shared" si="48"/>
        <v>505.4444444444444</v>
      </c>
      <c r="J178" s="78">
        <f t="shared" si="48"/>
        <v>505.4444444444444</v>
      </c>
      <c r="K178" s="78">
        <f t="shared" si="48"/>
        <v>505.44444444444434</v>
      </c>
      <c r="L178" s="78">
        <f t="shared" si="48"/>
        <v>505.44444444444434</v>
      </c>
      <c r="M178" s="78">
        <f t="shared" si="48"/>
        <v>505.44444444444434</v>
      </c>
      <c r="N178" s="45"/>
    </row>
    <row r="179" spans="1:14">
      <c r="A179" s="74">
        <v>3</v>
      </c>
      <c r="C179" s="74" t="s">
        <v>406</v>
      </c>
      <c r="E179" s="78">
        <f t="shared" si="48"/>
        <v>0</v>
      </c>
      <c r="F179" s="78">
        <f t="shared" si="48"/>
        <v>0</v>
      </c>
      <c r="G179" s="78">
        <f t="shared" si="48"/>
        <v>0</v>
      </c>
      <c r="H179" s="78">
        <f t="shared" si="48"/>
        <v>468.12506361323159</v>
      </c>
      <c r="I179" s="78">
        <f t="shared" si="48"/>
        <v>468.12506361323159</v>
      </c>
      <c r="J179" s="78">
        <f t="shared" si="48"/>
        <v>468.12506361323159</v>
      </c>
      <c r="K179" s="78">
        <f t="shared" si="48"/>
        <v>468.12506361323159</v>
      </c>
      <c r="L179" s="78">
        <f t="shared" si="48"/>
        <v>468.12506361323159</v>
      </c>
      <c r="M179" s="78">
        <f t="shared" si="48"/>
        <v>468.12506361323159</v>
      </c>
      <c r="N179" s="45"/>
    </row>
    <row r="180" spans="1:14">
      <c r="A180" s="74">
        <v>4</v>
      </c>
      <c r="C180" s="74" t="s">
        <v>407</v>
      </c>
      <c r="E180" s="78">
        <f t="shared" si="48"/>
        <v>0</v>
      </c>
      <c r="F180" s="78">
        <f t="shared" si="48"/>
        <v>0</v>
      </c>
      <c r="G180" s="78">
        <f t="shared" si="48"/>
        <v>0</v>
      </c>
      <c r="H180" s="78">
        <f t="shared" si="48"/>
        <v>0</v>
      </c>
      <c r="I180" s="78">
        <f t="shared" si="48"/>
        <v>555.18629359605052</v>
      </c>
      <c r="J180" s="78">
        <f t="shared" si="48"/>
        <v>555.18629359605052</v>
      </c>
      <c r="K180" s="78">
        <f t="shared" si="48"/>
        <v>555.18629359605052</v>
      </c>
      <c r="L180" s="78">
        <f t="shared" si="48"/>
        <v>555.18629359605052</v>
      </c>
      <c r="M180" s="78">
        <f t="shared" si="48"/>
        <v>555.18629359605063</v>
      </c>
      <c r="N180" s="45"/>
    </row>
    <row r="181" spans="1:14">
      <c r="A181" s="74">
        <v>5</v>
      </c>
      <c r="C181" s="74" t="s">
        <v>408</v>
      </c>
      <c r="E181" s="78">
        <f t="shared" si="48"/>
        <v>0</v>
      </c>
      <c r="F181" s="78">
        <f t="shared" si="48"/>
        <v>0</v>
      </c>
      <c r="G181" s="78">
        <f t="shared" si="48"/>
        <v>0</v>
      </c>
      <c r="H181" s="78">
        <f t="shared" si="48"/>
        <v>0</v>
      </c>
      <c r="I181" s="78">
        <f t="shared" si="48"/>
        <v>0</v>
      </c>
      <c r="J181" s="78">
        <f t="shared" si="48"/>
        <v>626.80003542617715</v>
      </c>
      <c r="K181" s="78">
        <f t="shared" si="48"/>
        <v>626.80003542617715</v>
      </c>
      <c r="L181" s="78">
        <f t="shared" si="48"/>
        <v>626.80003542617703</v>
      </c>
      <c r="M181" s="78">
        <f t="shared" si="48"/>
        <v>626.80003542617703</v>
      </c>
      <c r="N181" s="45"/>
    </row>
    <row r="182" spans="1:14">
      <c r="A182" s="74">
        <v>6</v>
      </c>
      <c r="C182" s="74" t="s">
        <v>409</v>
      </c>
      <c r="E182" s="78">
        <f t="shared" si="48"/>
        <v>0</v>
      </c>
      <c r="F182" s="78">
        <f t="shared" si="48"/>
        <v>0</v>
      </c>
      <c r="G182" s="78">
        <f t="shared" si="48"/>
        <v>0</v>
      </c>
      <c r="H182" s="78">
        <f t="shared" si="48"/>
        <v>0</v>
      </c>
      <c r="I182" s="78">
        <f t="shared" si="48"/>
        <v>0</v>
      </c>
      <c r="J182" s="78">
        <f t="shared" si="48"/>
        <v>0</v>
      </c>
      <c r="K182" s="78">
        <f t="shared" si="48"/>
        <v>409.29551470755712</v>
      </c>
      <c r="L182" s="78">
        <f t="shared" si="48"/>
        <v>409.29551470755717</v>
      </c>
      <c r="M182" s="78">
        <f t="shared" si="48"/>
        <v>409.29551470755717</v>
      </c>
      <c r="N182" s="45"/>
    </row>
    <row r="183" spans="1:14">
      <c r="A183" s="74">
        <v>7</v>
      </c>
      <c r="C183" s="74" t="s">
        <v>410</v>
      </c>
      <c r="E183" s="78">
        <f t="shared" si="48"/>
        <v>0</v>
      </c>
      <c r="F183" s="78">
        <f t="shared" si="48"/>
        <v>0</v>
      </c>
      <c r="G183" s="78">
        <f t="shared" si="48"/>
        <v>0</v>
      </c>
      <c r="H183" s="78">
        <f t="shared" si="48"/>
        <v>0</v>
      </c>
      <c r="I183" s="78">
        <f t="shared" si="48"/>
        <v>0</v>
      </c>
      <c r="J183" s="78">
        <f t="shared" si="48"/>
        <v>0</v>
      </c>
      <c r="K183" s="78">
        <f t="shared" si="48"/>
        <v>0</v>
      </c>
      <c r="L183" s="78">
        <f t="shared" si="48"/>
        <v>332.14505047139409</v>
      </c>
      <c r="M183" s="78">
        <f t="shared" si="48"/>
        <v>332.14505047139409</v>
      </c>
      <c r="N183" s="45"/>
    </row>
    <row r="184" spans="1:14">
      <c r="A184" s="74">
        <v>8</v>
      </c>
      <c r="C184" s="74" t="s">
        <v>411</v>
      </c>
      <c r="E184" s="78">
        <f t="shared" si="48"/>
        <v>0</v>
      </c>
      <c r="F184" s="78">
        <f t="shared" si="48"/>
        <v>0</v>
      </c>
      <c r="G184" s="78">
        <f t="shared" si="48"/>
        <v>0</v>
      </c>
      <c r="H184" s="78">
        <f t="shared" si="48"/>
        <v>0</v>
      </c>
      <c r="I184" s="78">
        <f t="shared" si="48"/>
        <v>0</v>
      </c>
      <c r="J184" s="78">
        <f t="shared" si="48"/>
        <v>0</v>
      </c>
      <c r="K184" s="78">
        <f t="shared" si="48"/>
        <v>0</v>
      </c>
      <c r="L184" s="78">
        <f t="shared" si="48"/>
        <v>0</v>
      </c>
      <c r="M184" s="78">
        <f t="shared" si="48"/>
        <v>336.83099545866122</v>
      </c>
      <c r="N184" s="45"/>
    </row>
    <row r="185" spans="1:14">
      <c r="A185" s="74">
        <v>9</v>
      </c>
      <c r="C185" s="74" t="s">
        <v>412</v>
      </c>
      <c r="E185" s="78">
        <f t="shared" si="48"/>
        <v>0</v>
      </c>
      <c r="F185" s="78">
        <f t="shared" si="48"/>
        <v>0</v>
      </c>
      <c r="G185" s="78">
        <f t="shared" si="48"/>
        <v>0</v>
      </c>
      <c r="H185" s="78">
        <f t="shared" si="48"/>
        <v>0</v>
      </c>
      <c r="I185" s="78">
        <f t="shared" si="48"/>
        <v>0</v>
      </c>
      <c r="J185" s="78">
        <f t="shared" si="48"/>
        <v>0</v>
      </c>
      <c r="K185" s="78">
        <f t="shared" si="48"/>
        <v>0</v>
      </c>
      <c r="L185" s="78">
        <f t="shared" si="48"/>
        <v>0</v>
      </c>
      <c r="M185" s="78">
        <f t="shared" si="48"/>
        <v>0</v>
      </c>
      <c r="N185" s="45"/>
    </row>
    <row r="186" spans="1:14">
      <c r="A186" s="74">
        <v>1</v>
      </c>
      <c r="C186" s="74" t="s">
        <v>413</v>
      </c>
      <c r="E186" s="78">
        <f t="shared" ref="E186:M194" si="49">E159-E177+IF($A186=E$157,E$158,0)</f>
        <v>0</v>
      </c>
      <c r="F186" s="78">
        <f t="shared" si="49"/>
        <v>0</v>
      </c>
      <c r="G186" s="78">
        <f t="shared" si="49"/>
        <v>0</v>
      </c>
      <c r="H186" s="78">
        <f t="shared" si="49"/>
        <v>0</v>
      </c>
      <c r="I186" s="78">
        <f t="shared" si="49"/>
        <v>0</v>
      </c>
      <c r="J186" s="78">
        <f t="shared" si="49"/>
        <v>0</v>
      </c>
      <c r="K186" s="78">
        <f t="shared" si="49"/>
        <v>0</v>
      </c>
      <c r="L186" s="78">
        <f t="shared" si="49"/>
        <v>0</v>
      </c>
      <c r="M186" s="78">
        <f t="shared" si="49"/>
        <v>0</v>
      </c>
      <c r="N186" s="45"/>
    </row>
    <row r="187" spans="1:14">
      <c r="A187" s="74">
        <v>2</v>
      </c>
      <c r="C187" s="74" t="s">
        <v>414</v>
      </c>
      <c r="E187" s="78">
        <f t="shared" si="49"/>
        <v>0</v>
      </c>
      <c r="F187" s="78">
        <f t="shared" si="49"/>
        <v>22745</v>
      </c>
      <c r="G187" s="78">
        <f t="shared" si="49"/>
        <v>22239.555555555555</v>
      </c>
      <c r="H187" s="78">
        <f t="shared" si="49"/>
        <v>21734.111111111109</v>
      </c>
      <c r="I187" s="78">
        <f t="shared" si="49"/>
        <v>21228.666666666664</v>
      </c>
      <c r="J187" s="78">
        <f t="shared" si="49"/>
        <v>20723.222222222219</v>
      </c>
      <c r="K187" s="78">
        <f t="shared" si="49"/>
        <v>20217.777777777774</v>
      </c>
      <c r="L187" s="78">
        <f t="shared" si="49"/>
        <v>19712.333333333328</v>
      </c>
      <c r="M187" s="78">
        <f t="shared" si="49"/>
        <v>19206.888888888883</v>
      </c>
      <c r="N187" s="45"/>
    </row>
    <row r="188" spans="1:14">
      <c r="A188" s="74">
        <v>3</v>
      </c>
      <c r="C188" s="74" t="s">
        <v>415</v>
      </c>
      <c r="E188" s="78">
        <f t="shared" si="49"/>
        <v>0</v>
      </c>
      <c r="F188" s="78">
        <f t="shared" si="49"/>
        <v>0</v>
      </c>
      <c r="G188" s="78">
        <f t="shared" si="49"/>
        <v>21065.627862595422</v>
      </c>
      <c r="H188" s="78">
        <f t="shared" si="49"/>
        <v>20597.50279898219</v>
      </c>
      <c r="I188" s="78">
        <f t="shared" si="49"/>
        <v>20129.377735368958</v>
      </c>
      <c r="J188" s="78">
        <f t="shared" si="49"/>
        <v>19661.252671755727</v>
      </c>
      <c r="K188" s="78">
        <f t="shared" si="49"/>
        <v>19193.127608142495</v>
      </c>
      <c r="L188" s="78">
        <f t="shared" si="49"/>
        <v>18725.002544529263</v>
      </c>
      <c r="M188" s="78">
        <f t="shared" si="49"/>
        <v>18256.877480916031</v>
      </c>
      <c r="N188" s="45"/>
    </row>
    <row r="189" spans="1:14">
      <c r="A189" s="74">
        <v>4</v>
      </c>
      <c r="C189" s="74" t="s">
        <v>416</v>
      </c>
      <c r="E189" s="78">
        <f t="shared" si="49"/>
        <v>0</v>
      </c>
      <c r="F189" s="78">
        <f t="shared" si="49"/>
        <v>0</v>
      </c>
      <c r="G189" s="78">
        <f t="shared" si="49"/>
        <v>0</v>
      </c>
      <c r="H189" s="78">
        <f t="shared" si="49"/>
        <v>24983.383211822271</v>
      </c>
      <c r="I189" s="78">
        <f t="shared" si="49"/>
        <v>24428.196918226222</v>
      </c>
      <c r="J189" s="78">
        <f t="shared" si="49"/>
        <v>23873.010624630173</v>
      </c>
      <c r="K189" s="78">
        <f t="shared" si="49"/>
        <v>23317.824331034124</v>
      </c>
      <c r="L189" s="78">
        <f t="shared" si="49"/>
        <v>22762.638037438075</v>
      </c>
      <c r="M189" s="78">
        <f t="shared" si="49"/>
        <v>22207.451743842026</v>
      </c>
      <c r="N189" s="45"/>
    </row>
    <row r="190" spans="1:14">
      <c r="A190" s="74">
        <v>5</v>
      </c>
      <c r="C190" s="74" t="s">
        <v>417</v>
      </c>
      <c r="E190" s="78">
        <f t="shared" si="49"/>
        <v>0</v>
      </c>
      <c r="F190" s="78">
        <f t="shared" si="49"/>
        <v>0</v>
      </c>
      <c r="G190" s="78">
        <f t="shared" si="49"/>
        <v>0</v>
      </c>
      <c r="H190" s="78">
        <f t="shared" si="49"/>
        <v>0</v>
      </c>
      <c r="I190" s="78">
        <f t="shared" si="49"/>
        <v>28206.001594177971</v>
      </c>
      <c r="J190" s="78">
        <f t="shared" si="49"/>
        <v>27579.201558751793</v>
      </c>
      <c r="K190" s="78">
        <f t="shared" si="49"/>
        <v>26952.401523325614</v>
      </c>
      <c r="L190" s="78">
        <f t="shared" si="49"/>
        <v>26325.601487899436</v>
      </c>
      <c r="M190" s="78">
        <f t="shared" si="49"/>
        <v>25698.801452473257</v>
      </c>
      <c r="N190" s="45"/>
    </row>
    <row r="191" spans="1:14">
      <c r="A191" s="74">
        <v>6</v>
      </c>
      <c r="C191" s="74" t="s">
        <v>418</v>
      </c>
      <c r="E191" s="78">
        <f t="shared" si="49"/>
        <v>0</v>
      </c>
      <c r="F191" s="78">
        <f t="shared" si="49"/>
        <v>0</v>
      </c>
      <c r="G191" s="78">
        <f t="shared" si="49"/>
        <v>0</v>
      </c>
      <c r="H191" s="78">
        <f t="shared" si="49"/>
        <v>0</v>
      </c>
      <c r="I191" s="78">
        <f t="shared" si="49"/>
        <v>0</v>
      </c>
      <c r="J191" s="78">
        <f t="shared" si="49"/>
        <v>18418.29816184007</v>
      </c>
      <c r="K191" s="78">
        <f t="shared" si="49"/>
        <v>18009.002647132515</v>
      </c>
      <c r="L191" s="78">
        <f t="shared" si="49"/>
        <v>17599.707132424959</v>
      </c>
      <c r="M191" s="78">
        <f t="shared" si="49"/>
        <v>17190.411617717404</v>
      </c>
      <c r="N191" s="45"/>
    </row>
    <row r="192" spans="1:14">
      <c r="A192" s="74">
        <v>7</v>
      </c>
      <c r="C192" s="74" t="s">
        <v>419</v>
      </c>
      <c r="E192" s="78">
        <f t="shared" si="49"/>
        <v>0</v>
      </c>
      <c r="F192" s="78">
        <f t="shared" si="49"/>
        <v>0</v>
      </c>
      <c r="G192" s="78">
        <f t="shared" si="49"/>
        <v>0</v>
      </c>
      <c r="H192" s="78">
        <f t="shared" si="49"/>
        <v>0</v>
      </c>
      <c r="I192" s="78">
        <f t="shared" si="49"/>
        <v>0</v>
      </c>
      <c r="J192" s="78">
        <f t="shared" si="49"/>
        <v>0</v>
      </c>
      <c r="K192" s="78">
        <f t="shared" si="49"/>
        <v>14946.527271212733</v>
      </c>
      <c r="L192" s="78">
        <f t="shared" si="49"/>
        <v>14614.38222074134</v>
      </c>
      <c r="M192" s="78">
        <f t="shared" si="49"/>
        <v>14282.237170269946</v>
      </c>
      <c r="N192" s="45"/>
    </row>
    <row r="193" spans="1:14">
      <c r="A193" s="74">
        <v>8</v>
      </c>
      <c r="C193" s="74" t="s">
        <v>420</v>
      </c>
      <c r="E193" s="78">
        <f t="shared" si="49"/>
        <v>0</v>
      </c>
      <c r="F193" s="78">
        <f t="shared" si="49"/>
        <v>0</v>
      </c>
      <c r="G193" s="78">
        <f t="shared" si="49"/>
        <v>0</v>
      </c>
      <c r="H193" s="78">
        <f t="shared" si="49"/>
        <v>0</v>
      </c>
      <c r="I193" s="78">
        <f t="shared" si="49"/>
        <v>0</v>
      </c>
      <c r="J193" s="78">
        <f t="shared" si="49"/>
        <v>0</v>
      </c>
      <c r="K193" s="78">
        <f t="shared" si="49"/>
        <v>0</v>
      </c>
      <c r="L193" s="78">
        <f t="shared" si="49"/>
        <v>15157.394795639755</v>
      </c>
      <c r="M193" s="78">
        <f t="shared" si="49"/>
        <v>14820.563800181093</v>
      </c>
      <c r="N193" s="45"/>
    </row>
    <row r="194" spans="1:14">
      <c r="A194" s="74">
        <v>9</v>
      </c>
      <c r="C194" s="74" t="s">
        <v>421</v>
      </c>
      <c r="E194" s="78">
        <f t="shared" si="49"/>
        <v>0</v>
      </c>
      <c r="F194" s="78">
        <f t="shared" si="49"/>
        <v>0</v>
      </c>
      <c r="G194" s="78">
        <f t="shared" si="49"/>
        <v>0</v>
      </c>
      <c r="H194" s="78">
        <f t="shared" si="49"/>
        <v>0</v>
      </c>
      <c r="I194" s="78">
        <f t="shared" si="49"/>
        <v>0</v>
      </c>
      <c r="J194" s="78">
        <f t="shared" si="49"/>
        <v>0</v>
      </c>
      <c r="K194" s="78">
        <f t="shared" si="49"/>
        <v>0</v>
      </c>
      <c r="L194" s="78">
        <f t="shared" si="49"/>
        <v>0</v>
      </c>
      <c r="M194" s="78">
        <f t="shared" si="49"/>
        <v>15455.228192284256</v>
      </c>
      <c r="N194" s="45"/>
    </row>
    <row r="195" spans="1:14">
      <c r="C195" s="74" t="s">
        <v>47</v>
      </c>
      <c r="E195" s="78">
        <f>SUM(E159:E167)</f>
        <v>0</v>
      </c>
      <c r="F195" s="78">
        <f t="shared" ref="F195:M195" si="50">SUM(F159:F167)</f>
        <v>0</v>
      </c>
      <c r="G195" s="78">
        <f t="shared" si="50"/>
        <v>22745</v>
      </c>
      <c r="H195" s="78">
        <f>SUM(H159:H167)</f>
        <v>43305.183418150977</v>
      </c>
      <c r="I195" s="78">
        <f t="shared" si="50"/>
        <v>67314.99712191557</v>
      </c>
      <c r="J195" s="78">
        <f t="shared" si="50"/>
        <v>93992.242914439819</v>
      </c>
      <c r="K195" s="78">
        <f t="shared" si="50"/>
        <v>110254.98523919997</v>
      </c>
      <c r="L195" s="78">
        <f t="shared" si="50"/>
        <v>122636.66115862524</v>
      </c>
      <c r="M195" s="78">
        <f t="shared" si="50"/>
        <v>134897.05955200616</v>
      </c>
      <c r="N195" s="45"/>
    </row>
    <row r="196" spans="1:14">
      <c r="C196" s="74" t="s">
        <v>43</v>
      </c>
      <c r="E196" s="78">
        <f>SUM(E177:E185)</f>
        <v>0</v>
      </c>
      <c r="F196" s="78">
        <f t="shared" ref="F196:M196" si="51">SUM(F177:F185)</f>
        <v>0</v>
      </c>
      <c r="G196" s="78">
        <f t="shared" si="51"/>
        <v>505.44444444444446</v>
      </c>
      <c r="H196" s="78">
        <f t="shared" si="51"/>
        <v>973.56950805767599</v>
      </c>
      <c r="I196" s="78">
        <f t="shared" si="51"/>
        <v>1528.7558016537264</v>
      </c>
      <c r="J196" s="78">
        <f t="shared" si="51"/>
        <v>2155.5558370799035</v>
      </c>
      <c r="K196" s="78">
        <f t="shared" si="51"/>
        <v>2564.8513517874608</v>
      </c>
      <c r="L196" s="78">
        <f t="shared" si="51"/>
        <v>2896.9964022588547</v>
      </c>
      <c r="M196" s="78">
        <f t="shared" si="51"/>
        <v>3233.8273977175159</v>
      </c>
      <c r="N196" s="45"/>
    </row>
    <row r="197" spans="1:14" s="40" customFormat="1">
      <c r="C197" s="40" t="s">
        <v>48</v>
      </c>
      <c r="E197" s="63">
        <f>SUM(E186:E194)</f>
        <v>0</v>
      </c>
      <c r="F197" s="63">
        <f t="shared" ref="F197:M197" si="52">SUM(F186:F194)</f>
        <v>22745</v>
      </c>
      <c r="G197" s="63">
        <f t="shared" si="52"/>
        <v>43305.183418150977</v>
      </c>
      <c r="H197" s="63">
        <f t="shared" si="52"/>
        <v>67314.99712191557</v>
      </c>
      <c r="I197" s="63">
        <f t="shared" si="52"/>
        <v>93992.242914439819</v>
      </c>
      <c r="J197" s="63">
        <f t="shared" si="52"/>
        <v>110254.98523919997</v>
      </c>
      <c r="K197" s="63">
        <f t="shared" si="52"/>
        <v>122636.66115862524</v>
      </c>
      <c r="L197" s="63">
        <f t="shared" si="52"/>
        <v>134897.05955200616</v>
      </c>
      <c r="M197" s="63">
        <f t="shared" si="52"/>
        <v>147118.46034657292</v>
      </c>
      <c r="N197" s="70"/>
    </row>
    <row r="198" spans="1:14" s="40" customFormat="1">
      <c r="E198" s="63"/>
      <c r="F198" s="63"/>
      <c r="G198" s="63"/>
      <c r="H198" s="63"/>
      <c r="I198" s="63"/>
      <c r="J198" s="63"/>
      <c r="K198" s="63"/>
      <c r="L198" s="63"/>
      <c r="M198" s="63"/>
      <c r="N198" s="70"/>
    </row>
    <row r="199" spans="1:14" ht="15.75">
      <c r="C199" s="5" t="s">
        <v>199</v>
      </c>
      <c r="N199" s="45"/>
    </row>
    <row r="200" spans="1:14">
      <c r="C200" s="74" t="s">
        <v>45</v>
      </c>
      <c r="E200" s="63">
        <f>E97</f>
        <v>418694</v>
      </c>
      <c r="F200" s="182">
        <f>F26-E99</f>
        <v>416890.05410915817</v>
      </c>
      <c r="G200" s="78">
        <f t="shared" ref="G200:M200" si="53">F203</f>
        <v>404525.27026751201</v>
      </c>
      <c r="H200" s="78">
        <f t="shared" si="53"/>
        <v>392160.48642586585</v>
      </c>
      <c r="I200" s="78">
        <f t="shared" si="53"/>
        <v>379795.70258421969</v>
      </c>
      <c r="J200" s="78">
        <f t="shared" si="53"/>
        <v>367430.91874257353</v>
      </c>
      <c r="K200" s="78">
        <f t="shared" si="53"/>
        <v>355066.13490092737</v>
      </c>
      <c r="L200" s="78">
        <f t="shared" si="53"/>
        <v>342701.35105928121</v>
      </c>
      <c r="M200" s="78">
        <f t="shared" si="53"/>
        <v>330336.56721763505</v>
      </c>
      <c r="N200" s="45"/>
    </row>
    <row r="201" spans="1:14">
      <c r="C201" s="74" t="s">
        <v>23</v>
      </c>
      <c r="E201" s="78">
        <f t="shared" ref="E201:M201" si="54">E93</f>
        <v>723</v>
      </c>
      <c r="F201" s="78">
        <f t="shared" si="54"/>
        <v>0</v>
      </c>
      <c r="G201" s="78">
        <f t="shared" si="54"/>
        <v>0</v>
      </c>
      <c r="H201" s="78">
        <f t="shared" si="54"/>
        <v>0</v>
      </c>
      <c r="I201" s="78">
        <f t="shared" si="54"/>
        <v>0</v>
      </c>
      <c r="J201" s="78">
        <f t="shared" si="54"/>
        <v>0</v>
      </c>
      <c r="K201" s="78">
        <f t="shared" si="54"/>
        <v>0</v>
      </c>
      <c r="L201" s="78">
        <f t="shared" si="54"/>
        <v>0</v>
      </c>
      <c r="M201" s="78">
        <f t="shared" si="54"/>
        <v>0</v>
      </c>
      <c r="N201" s="45"/>
    </row>
    <row r="202" spans="1:14">
      <c r="C202" s="80" t="s">
        <v>44</v>
      </c>
      <c r="E202" s="78">
        <f t="shared" ref="E202:M202" si="55">E200/E$91</f>
        <v>12060.576487637689</v>
      </c>
      <c r="F202" s="78">
        <f t="shared" si="55"/>
        <v>12364.783841646158</v>
      </c>
      <c r="G202" s="78">
        <f t="shared" si="55"/>
        <v>12364.783841646158</v>
      </c>
      <c r="H202" s="78">
        <f t="shared" si="55"/>
        <v>12364.783841646158</v>
      </c>
      <c r="I202" s="78">
        <f t="shared" si="55"/>
        <v>12364.783841646158</v>
      </c>
      <c r="J202" s="78">
        <f t="shared" si="55"/>
        <v>12364.783841646158</v>
      </c>
      <c r="K202" s="78">
        <f t="shared" si="55"/>
        <v>12364.783841646158</v>
      </c>
      <c r="L202" s="78">
        <f t="shared" si="55"/>
        <v>12364.783841646158</v>
      </c>
      <c r="M202" s="78">
        <f t="shared" si="55"/>
        <v>12364.783841646158</v>
      </c>
      <c r="N202" s="45"/>
    </row>
    <row r="203" spans="1:14">
      <c r="C203" s="74" t="s">
        <v>42</v>
      </c>
      <c r="E203" s="78"/>
      <c r="F203" s="78">
        <f t="shared" ref="F203:M203" si="56">F200-F201-F202</f>
        <v>404525.27026751201</v>
      </c>
      <c r="G203" s="78">
        <f t="shared" si="56"/>
        <v>392160.48642586585</v>
      </c>
      <c r="H203" s="78">
        <f t="shared" si="56"/>
        <v>379795.70258421969</v>
      </c>
      <c r="I203" s="78">
        <f t="shared" si="56"/>
        <v>367430.91874257353</v>
      </c>
      <c r="J203" s="78">
        <f t="shared" si="56"/>
        <v>355066.13490092737</v>
      </c>
      <c r="K203" s="78">
        <f t="shared" si="56"/>
        <v>342701.35105928121</v>
      </c>
      <c r="L203" s="78">
        <f t="shared" si="56"/>
        <v>330336.56721763505</v>
      </c>
      <c r="M203" s="78">
        <f t="shared" si="56"/>
        <v>317971.78337598889</v>
      </c>
      <c r="N203" s="45"/>
    </row>
    <row r="204" spans="1:14">
      <c r="E204" s="78"/>
      <c r="F204" s="78"/>
      <c r="G204" s="78"/>
      <c r="H204" s="78"/>
      <c r="I204" s="78"/>
      <c r="J204" s="78"/>
      <c r="K204" s="78"/>
      <c r="L204" s="78"/>
      <c r="M204" s="78"/>
      <c r="N204" s="45"/>
    </row>
    <row r="205" spans="1:14" ht="15.75">
      <c r="C205" s="5" t="s">
        <v>46</v>
      </c>
      <c r="E205" s="109"/>
      <c r="F205" s="109"/>
      <c r="G205" s="109"/>
      <c r="H205" s="109"/>
      <c r="I205" s="109"/>
      <c r="J205" s="109"/>
      <c r="K205" s="109"/>
      <c r="L205" s="109"/>
      <c r="M205" s="109"/>
      <c r="N205" s="45"/>
    </row>
    <row r="206" spans="1:14">
      <c r="C206" s="74" t="s">
        <v>111</v>
      </c>
      <c r="E206" s="63">
        <f>E97</f>
        <v>418694</v>
      </c>
      <c r="F206" s="181">
        <f>F97</f>
        <v>423842.82146160956</v>
      </c>
      <c r="G206" s="78">
        <f t="shared" ref="G206:M206" si="57">G97+G151</f>
        <v>447622.37339885929</v>
      </c>
      <c r="H206" s="78">
        <f t="shared" si="57"/>
        <v>459447.34893658041</v>
      </c>
      <c r="I206" s="78">
        <f t="shared" si="57"/>
        <v>480163.30108171829</v>
      </c>
      <c r="J206" s="78">
        <f t="shared" si="57"/>
        <v>503061.88806308131</v>
      </c>
      <c r="K206" s="78">
        <f t="shared" si="57"/>
        <v>516715.40416894085</v>
      </c>
      <c r="L206" s="78">
        <f t="shared" si="57"/>
        <v>525873.20570036955</v>
      </c>
      <c r="M206" s="78">
        <f t="shared" si="57"/>
        <v>534176.3646296995</v>
      </c>
      <c r="N206" s="45"/>
    </row>
    <row r="207" spans="1:14">
      <c r="C207" s="74" t="s">
        <v>110</v>
      </c>
      <c r="E207" s="78">
        <f t="shared" ref="E207:M209" si="58">E99+E152</f>
        <v>6952.767352451403</v>
      </c>
      <c r="F207" s="78">
        <f t="shared" si="58"/>
        <v>13605.5519372497</v>
      </c>
      <c r="G207" s="78">
        <f t="shared" si="58"/>
        <v>4251.6615871046397</v>
      </c>
      <c r="H207" s="78">
        <f t="shared" si="58"/>
        <v>9825.1588830406963</v>
      </c>
      <c r="I207" s="78">
        <f t="shared" si="58"/>
        <v>9651.3313457526747</v>
      </c>
      <c r="J207" s="78">
        <f t="shared" si="58"/>
        <v>11131.217138848064</v>
      </c>
      <c r="K207" s="78">
        <f t="shared" si="58"/>
        <v>10879.973035710924</v>
      </c>
      <c r="L207" s="78">
        <f t="shared" si="58"/>
        <v>10509.537046791556</v>
      </c>
      <c r="M207" s="78">
        <f t="shared" si="58"/>
        <v>10675.727853915141</v>
      </c>
      <c r="N207" s="45"/>
    </row>
    <row r="208" spans="1:14">
      <c r="C208" s="74" t="s">
        <v>109</v>
      </c>
      <c r="E208" s="78"/>
      <c r="F208" s="78">
        <f t="shared" si="58"/>
        <v>12571</v>
      </c>
      <c r="G208" s="78">
        <f t="shared" si="58"/>
        <v>13492.313911978903</v>
      </c>
      <c r="H208" s="78">
        <f t="shared" si="58"/>
        <v>14092.58994972509</v>
      </c>
      <c r="I208" s="78">
        <f t="shared" si="58"/>
        <v>14958.745958567662</v>
      </c>
      <c r="J208" s="78">
        <f t="shared" si="58"/>
        <v>15895.999194828586</v>
      </c>
      <c r="K208" s="78">
        <f t="shared" si="58"/>
        <v>16668.698775494882</v>
      </c>
      <c r="L208" s="78">
        <f t="shared" si="58"/>
        <v>17363.772913101442</v>
      </c>
      <c r="M208" s="78">
        <f t="shared" si="58"/>
        <v>18059.774541866369</v>
      </c>
      <c r="N208" s="45"/>
    </row>
    <row r="209" spans="3:15">
      <c r="C209" s="74" t="s">
        <v>112</v>
      </c>
      <c r="E209" s="78"/>
      <c r="F209" s="78">
        <f t="shared" si="58"/>
        <v>447622.37339885929</v>
      </c>
      <c r="G209" s="78">
        <f t="shared" si="58"/>
        <v>459447.34893658041</v>
      </c>
      <c r="H209" s="78">
        <f t="shared" si="58"/>
        <v>480163.30108171829</v>
      </c>
      <c r="I209" s="78">
        <f t="shared" si="58"/>
        <v>503061.88806308131</v>
      </c>
      <c r="J209" s="29">
        <f t="shared" si="58"/>
        <v>516715.40416894085</v>
      </c>
      <c r="K209" s="29">
        <f t="shared" si="58"/>
        <v>525873.20570036955</v>
      </c>
      <c r="L209" s="29">
        <f t="shared" si="58"/>
        <v>534176.3646296995</v>
      </c>
      <c r="M209" s="29">
        <f t="shared" si="58"/>
        <v>542247.54613403254</v>
      </c>
      <c r="N209" s="45"/>
    </row>
    <row r="210" spans="3:15">
      <c r="C210" s="74" t="s">
        <v>28</v>
      </c>
      <c r="E210" s="78">
        <f t="shared" ref="E210:M210" si="59">E196+E202</f>
        <v>12060.576487637689</v>
      </c>
      <c r="F210" s="78">
        <f t="shared" si="59"/>
        <v>12364.783841646158</v>
      </c>
      <c r="G210" s="78">
        <f t="shared" si="59"/>
        <v>12870.228286090603</v>
      </c>
      <c r="H210" s="78">
        <f t="shared" si="59"/>
        <v>13338.353349703833</v>
      </c>
      <c r="I210" s="78">
        <f t="shared" si="59"/>
        <v>13893.539643299884</v>
      </c>
      <c r="J210" s="78">
        <f t="shared" si="59"/>
        <v>14520.339678726061</v>
      </c>
      <c r="K210" s="78">
        <f t="shared" si="59"/>
        <v>14929.63519343362</v>
      </c>
      <c r="L210" s="78">
        <f t="shared" si="59"/>
        <v>15261.780243905014</v>
      </c>
      <c r="M210" s="78">
        <f t="shared" si="59"/>
        <v>15598.611239363674</v>
      </c>
      <c r="N210" s="45"/>
    </row>
    <row r="211" spans="3:15">
      <c r="C211" s="74" t="s">
        <v>134</v>
      </c>
      <c r="E211" s="82"/>
      <c r="F211" s="82">
        <f>F206+F158+F207-F208-F93-F209</f>
        <v>0</v>
      </c>
      <c r="G211" s="82">
        <f>G206+G158+G207-G208-G93-G209</f>
        <v>0</v>
      </c>
      <c r="H211" s="82">
        <f>H206+H158+H207-H208-H93-H209</f>
        <v>0</v>
      </c>
      <c r="I211" s="82">
        <f>I206+I158+I207-I208-I93-I209</f>
        <v>0</v>
      </c>
      <c r="J211" s="82">
        <f>J206+J158+J207-J208-J93-J209</f>
        <v>0</v>
      </c>
      <c r="K211" s="82">
        <f t="shared" ref="K211:M211" si="60">K206+K158+K207-K208-K93-K209</f>
        <v>0</v>
      </c>
      <c r="L211" s="82">
        <f t="shared" si="60"/>
        <v>0</v>
      </c>
      <c r="M211" s="82">
        <f t="shared" si="60"/>
        <v>0</v>
      </c>
      <c r="N211" s="45"/>
    </row>
    <row r="212" spans="3:15">
      <c r="F212" s="78"/>
      <c r="G212" s="78"/>
      <c r="N212" s="45"/>
    </row>
    <row r="213" spans="3:15" ht="15.75">
      <c r="C213" s="5" t="s">
        <v>56</v>
      </c>
      <c r="N213" s="45"/>
    </row>
    <row r="214" spans="3:15" ht="15.75">
      <c r="C214" s="16" t="s">
        <v>115</v>
      </c>
      <c r="E214" s="63"/>
      <c r="F214" s="116">
        <f>F206/$F$206</f>
        <v>1</v>
      </c>
      <c r="G214" s="116">
        <f t="shared" ref="G214:M214" si="61">G206/$F$206</f>
        <v>1.0561046471313271</v>
      </c>
      <c r="H214" s="116">
        <f t="shared" si="61"/>
        <v>1.0840040828158648</v>
      </c>
      <c r="I214" s="116">
        <f t="shared" si="61"/>
        <v>1.1328805792342764</v>
      </c>
      <c r="J214" s="116">
        <f t="shared" si="61"/>
        <v>1.1869067083129712</v>
      </c>
      <c r="K214" s="116">
        <f t="shared" si="61"/>
        <v>1.2191203389668437</v>
      </c>
      <c r="L214" s="116">
        <f t="shared" si="61"/>
        <v>1.2407269371388931</v>
      </c>
      <c r="M214" s="116">
        <f t="shared" si="61"/>
        <v>1.2603171213036191</v>
      </c>
      <c r="N214" s="45"/>
    </row>
    <row r="215" spans="3:15">
      <c r="C215" s="74" t="s">
        <v>56</v>
      </c>
      <c r="F215" s="181">
        <f>IF(F40&gt;0,F40,0)</f>
        <v>87</v>
      </c>
      <c r="G215" s="78">
        <f t="shared" ref="G215:M215" si="62">$F215*G214</f>
        <v>91.881104300425463</v>
      </c>
      <c r="H215" s="78">
        <f t="shared" si="62"/>
        <v>94.308355204980231</v>
      </c>
      <c r="I215" s="78">
        <f t="shared" si="62"/>
        <v>98.560610393382049</v>
      </c>
      <c r="J215" s="78">
        <f t="shared" si="62"/>
        <v>103.26088362322849</v>
      </c>
      <c r="K215" s="78">
        <f t="shared" si="62"/>
        <v>106.06346949011539</v>
      </c>
      <c r="L215" s="78">
        <f t="shared" si="62"/>
        <v>107.94324353108371</v>
      </c>
      <c r="M215" s="78">
        <f t="shared" si="62"/>
        <v>109.64758955341486</v>
      </c>
      <c r="N215" s="45"/>
    </row>
    <row r="216" spans="3:15">
      <c r="N216" s="45"/>
    </row>
    <row r="217" spans="3:15" ht="15.75">
      <c r="C217" s="5" t="s">
        <v>29</v>
      </c>
      <c r="N217" s="45"/>
    </row>
    <row r="218" spans="3:15">
      <c r="C218" s="74" t="s">
        <v>166</v>
      </c>
      <c r="D218" s="35">
        <f>F30/F31</f>
        <v>0.11672469189943883</v>
      </c>
      <c r="N218" s="45"/>
    </row>
    <row r="219" spans="3:15">
      <c r="C219" s="74" t="s">
        <v>122</v>
      </c>
      <c r="D219" s="78"/>
      <c r="E219" s="88">
        <f>E35</f>
        <v>240659</v>
      </c>
      <c r="F219" s="179">
        <f>F31</f>
        <v>223466</v>
      </c>
      <c r="G219" s="78">
        <f t="shared" ref="G219:M219" si="63">F223</f>
        <v>220127</v>
      </c>
      <c r="H219" s="78">
        <f t="shared" si="63"/>
        <v>215498.37160884766</v>
      </c>
      <c r="I219" s="78">
        <f t="shared" si="63"/>
        <v>215327.77378979643</v>
      </c>
      <c r="J219" s="78">
        <f t="shared" si="63"/>
        <v>218399.70733096835</v>
      </c>
      <c r="K219" s="78">
        <f t="shared" si="63"/>
        <v>211325.36694367352</v>
      </c>
      <c r="L219" s="78">
        <f t="shared" si="63"/>
        <v>201605.00586785009</v>
      </c>
      <c r="M219" s="78">
        <f t="shared" si="63"/>
        <v>193230.1184681805</v>
      </c>
      <c r="N219" s="45"/>
    </row>
    <row r="220" spans="3:15">
      <c r="C220" s="74" t="s">
        <v>17</v>
      </c>
      <c r="E220" s="181">
        <f>E36</f>
        <v>26719</v>
      </c>
      <c r="F220" s="78">
        <f t="shared" ref="F220:M220" si="64">F219*$D218</f>
        <v>26084</v>
      </c>
      <c r="G220" s="78">
        <f t="shared" si="64"/>
        <v>25694.256253747772</v>
      </c>
      <c r="H220" s="78">
        <f t="shared" si="64"/>
        <v>25153.981030873521</v>
      </c>
      <c r="I220" s="78">
        <f t="shared" si="64"/>
        <v>25134.068053006049</v>
      </c>
      <c r="J220" s="78">
        <f t="shared" si="64"/>
        <v>25492.638549134892</v>
      </c>
      <c r="K220" s="78">
        <f t="shared" si="64"/>
        <v>24666.888347036147</v>
      </c>
      <c r="L220" s="78">
        <f t="shared" si="64"/>
        <v>23532.282195309359</v>
      </c>
      <c r="M220" s="78">
        <f t="shared" si="64"/>
        <v>22554.726043890434</v>
      </c>
      <c r="N220" s="45"/>
    </row>
    <row r="221" spans="3:15">
      <c r="C221" s="74" t="s">
        <v>65</v>
      </c>
      <c r="E221" s="97"/>
      <c r="F221" s="78">
        <f t="shared" ref="F221:M221" si="65">F48</f>
        <v>22745</v>
      </c>
      <c r="G221" s="78">
        <f t="shared" si="65"/>
        <v>21065.627862595422</v>
      </c>
      <c r="H221" s="78">
        <f t="shared" si="65"/>
        <v>24983.383211822271</v>
      </c>
      <c r="I221" s="78">
        <f t="shared" si="65"/>
        <v>28206.001594177971</v>
      </c>
      <c r="J221" s="78">
        <f t="shared" si="65"/>
        <v>18418.29816184007</v>
      </c>
      <c r="K221" s="78">
        <f t="shared" si="65"/>
        <v>14946.527271212733</v>
      </c>
      <c r="L221" s="78">
        <f t="shared" si="65"/>
        <v>15157.394795639755</v>
      </c>
      <c r="M221" s="78">
        <f t="shared" si="65"/>
        <v>15455.228192284256</v>
      </c>
      <c r="N221" s="45"/>
      <c r="O221" s="15"/>
    </row>
    <row r="222" spans="3:15">
      <c r="C222" s="74" t="s">
        <v>23</v>
      </c>
      <c r="E222" s="97"/>
      <c r="F222" s="78">
        <f t="shared" ref="F222:M222" si="66">F93</f>
        <v>0</v>
      </c>
      <c r="G222" s="78">
        <f t="shared" si="66"/>
        <v>0</v>
      </c>
      <c r="H222" s="78">
        <f t="shared" si="66"/>
        <v>0</v>
      </c>
      <c r="I222" s="78">
        <f t="shared" si="66"/>
        <v>0</v>
      </c>
      <c r="J222" s="78">
        <f t="shared" si="66"/>
        <v>0</v>
      </c>
      <c r="K222" s="78">
        <f t="shared" si="66"/>
        <v>0</v>
      </c>
      <c r="L222" s="78">
        <f t="shared" si="66"/>
        <v>0</v>
      </c>
      <c r="M222" s="78">
        <f t="shared" si="66"/>
        <v>0</v>
      </c>
      <c r="N222" s="45"/>
      <c r="O222" s="15"/>
    </row>
    <row r="223" spans="3:15">
      <c r="C223" s="74" t="s">
        <v>87</v>
      </c>
      <c r="E223" s="97"/>
      <c r="F223" s="78">
        <f t="shared" ref="F223:M223" si="67">F219-F220+F221-F222</f>
        <v>220127</v>
      </c>
      <c r="G223" s="78">
        <f t="shared" si="67"/>
        <v>215498.37160884766</v>
      </c>
      <c r="H223" s="78">
        <f t="shared" si="67"/>
        <v>215327.77378979643</v>
      </c>
      <c r="I223" s="78">
        <f t="shared" si="67"/>
        <v>218399.70733096835</v>
      </c>
      <c r="J223" s="78">
        <f t="shared" si="67"/>
        <v>211325.36694367352</v>
      </c>
      <c r="K223" s="78">
        <f t="shared" si="67"/>
        <v>201605.00586785009</v>
      </c>
      <c r="L223" s="78">
        <f t="shared" si="67"/>
        <v>193230.1184681805</v>
      </c>
      <c r="M223" s="78">
        <f t="shared" si="67"/>
        <v>186130.62061657434</v>
      </c>
      <c r="N223" s="45"/>
      <c r="O223" s="15"/>
    </row>
    <row r="224" spans="3:15">
      <c r="E224" s="97"/>
      <c r="F224" s="78"/>
      <c r="G224" s="78"/>
      <c r="H224" s="78"/>
      <c r="I224" s="78"/>
      <c r="J224" s="78"/>
      <c r="K224" s="78"/>
      <c r="L224" s="78"/>
      <c r="M224" s="78"/>
      <c r="N224" s="45"/>
      <c r="O224" s="15"/>
    </row>
    <row r="225" spans="1:15" ht="21">
      <c r="C225" s="3" t="s">
        <v>226</v>
      </c>
      <c r="D225" s="3"/>
      <c r="E225" s="3"/>
      <c r="F225" s="3"/>
      <c r="G225" s="3"/>
      <c r="N225" s="45"/>
      <c r="O225" s="15"/>
    </row>
    <row r="226" spans="1:15" ht="15.75">
      <c r="C226" s="5" t="s">
        <v>88</v>
      </c>
      <c r="N226" s="45"/>
      <c r="O226" s="15"/>
    </row>
    <row r="227" spans="1:15">
      <c r="A227" s="80"/>
      <c r="B227" s="80"/>
      <c r="C227" s="74" t="s">
        <v>238</v>
      </c>
      <c r="E227" s="78">
        <f t="shared" ref="E227:M227" si="68">E210-E220</f>
        <v>-14658.423512362311</v>
      </c>
      <c r="F227" s="78">
        <f t="shared" si="68"/>
        <v>-13719.216158353842</v>
      </c>
      <c r="G227" s="78">
        <f t="shared" si="68"/>
        <v>-12824.027967657168</v>
      </c>
      <c r="H227" s="78">
        <f t="shared" si="68"/>
        <v>-11815.627681169688</v>
      </c>
      <c r="I227" s="78">
        <f t="shared" si="68"/>
        <v>-11240.528409706165</v>
      </c>
      <c r="J227" s="78">
        <f t="shared" si="68"/>
        <v>-10972.298870408831</v>
      </c>
      <c r="K227" s="78">
        <f t="shared" si="68"/>
        <v>-9737.2531536025272</v>
      </c>
      <c r="L227" s="78">
        <f t="shared" si="68"/>
        <v>-8270.5019514043452</v>
      </c>
      <c r="M227" s="78">
        <f t="shared" si="68"/>
        <v>-6956.1148045267601</v>
      </c>
      <c r="N227" s="45"/>
      <c r="O227" s="15"/>
    </row>
    <row r="228" spans="1:15">
      <c r="A228" s="80"/>
      <c r="B228" s="80"/>
      <c r="C228" s="74" t="s">
        <v>239</v>
      </c>
      <c r="E228" s="97"/>
      <c r="F228" s="97"/>
      <c r="G228" s="78">
        <f t="shared" ref="G228:M228" si="69">G208-G220</f>
        <v>-12201.942341768869</v>
      </c>
      <c r="H228" s="78">
        <f t="shared" si="69"/>
        <v>-11061.391081148431</v>
      </c>
      <c r="I228" s="78">
        <f t="shared" si="69"/>
        <v>-10175.322094438387</v>
      </c>
      <c r="J228" s="78">
        <f t="shared" si="69"/>
        <v>-9596.6393543063059</v>
      </c>
      <c r="K228" s="78">
        <f t="shared" si="69"/>
        <v>-7998.1895715412647</v>
      </c>
      <c r="L228" s="78">
        <f t="shared" si="69"/>
        <v>-6168.5092822079168</v>
      </c>
      <c r="M228" s="78">
        <f t="shared" si="69"/>
        <v>-4494.9515020240651</v>
      </c>
      <c r="N228" s="45"/>
      <c r="O228" s="15"/>
    </row>
    <row r="229" spans="1:15">
      <c r="N229" s="45"/>
      <c r="O229" s="15"/>
    </row>
    <row r="230" spans="1:15" ht="15.75">
      <c r="A230" s="110"/>
      <c r="C230" s="5" t="s">
        <v>215</v>
      </c>
      <c r="N230" s="45"/>
      <c r="O230" s="15"/>
    </row>
    <row r="231" spans="1:15">
      <c r="A231" s="110"/>
      <c r="C231" s="74" t="s">
        <v>107</v>
      </c>
      <c r="E231" s="186">
        <v>0</v>
      </c>
      <c r="F231" s="22">
        <f>E234</f>
        <v>-5639.6317048714836</v>
      </c>
      <c r="G231" s="22">
        <f t="shared" ref="G231:M231" si="70">F234</f>
        <v>-10997.501203540427</v>
      </c>
      <c r="H231" s="22">
        <f t="shared" si="70"/>
        <v>-15747.526708903039</v>
      </c>
      <c r="I231" s="22">
        <f t="shared" si="70"/>
        <v>-20215.200134049155</v>
      </c>
      <c r="J231" s="22">
        <f t="shared" si="70"/>
        <v>-24521.845763185487</v>
      </c>
      <c r="K231" s="22">
        <f t="shared" si="70"/>
        <v>-28753.387121318563</v>
      </c>
      <c r="L231" s="22">
        <f t="shared" si="70"/>
        <v>-32639.115678745875</v>
      </c>
      <c r="M231" s="22">
        <f t="shared" si="70"/>
        <v>-36114.153899557699</v>
      </c>
      <c r="N231" s="45"/>
      <c r="O231" s="15"/>
    </row>
    <row r="232" spans="1:15">
      <c r="A232" s="110"/>
      <c r="C232" s="74" t="s">
        <v>86</v>
      </c>
      <c r="E232" s="78">
        <f t="shared" ref="E232:M232" si="71">E227</f>
        <v>-14658.423512362311</v>
      </c>
      <c r="F232" s="78">
        <f t="shared" si="71"/>
        <v>-13719.216158353842</v>
      </c>
      <c r="G232" s="78">
        <f t="shared" si="71"/>
        <v>-12824.027967657168</v>
      </c>
      <c r="H232" s="78">
        <f t="shared" si="71"/>
        <v>-11815.627681169688</v>
      </c>
      <c r="I232" s="78">
        <f t="shared" si="71"/>
        <v>-11240.528409706165</v>
      </c>
      <c r="J232" s="78">
        <f t="shared" si="71"/>
        <v>-10972.298870408831</v>
      </c>
      <c r="K232" s="78">
        <f t="shared" si="71"/>
        <v>-9737.2531536025272</v>
      </c>
      <c r="L232" s="78">
        <f t="shared" si="71"/>
        <v>-8270.5019514043452</v>
      </c>
      <c r="M232" s="78">
        <f t="shared" si="71"/>
        <v>-6956.1148045267601</v>
      </c>
      <c r="N232" s="45"/>
      <c r="O232" s="15"/>
    </row>
    <row r="233" spans="1:15">
      <c r="A233" s="110"/>
      <c r="C233" s="74" t="s">
        <v>30</v>
      </c>
      <c r="E233" s="178">
        <f>(E33-E35)/E37</f>
        <v>4140.3488372093025</v>
      </c>
      <c r="F233" s="78">
        <f>E233</f>
        <v>4140.3488372093025</v>
      </c>
      <c r="G233" s="78">
        <f t="shared" ref="G233:M233" si="72">F233</f>
        <v>4140.3488372093025</v>
      </c>
      <c r="H233" s="78">
        <f t="shared" si="72"/>
        <v>4140.3488372093025</v>
      </c>
      <c r="I233" s="78">
        <f t="shared" si="72"/>
        <v>4140.3488372093025</v>
      </c>
      <c r="J233" s="78">
        <f t="shared" si="72"/>
        <v>4140.3488372093025</v>
      </c>
      <c r="K233" s="78">
        <f t="shared" si="72"/>
        <v>4140.3488372093025</v>
      </c>
      <c r="L233" s="78">
        <f t="shared" si="72"/>
        <v>4140.3488372093025</v>
      </c>
      <c r="M233" s="78">
        <f t="shared" si="72"/>
        <v>4140.3488372093025</v>
      </c>
      <c r="N233" s="45"/>
      <c r="O233" s="15"/>
    </row>
    <row r="234" spans="1:15">
      <c r="A234" s="110"/>
      <c r="C234" s="74" t="s">
        <v>108</v>
      </c>
      <c r="E234" s="22">
        <f t="shared" ref="E234:M234" si="73">E231+(E232-E233)*E90</f>
        <v>-5639.6317048714836</v>
      </c>
      <c r="F234" s="22">
        <f t="shared" si="73"/>
        <v>-10997.501203540427</v>
      </c>
      <c r="G234" s="22">
        <f t="shared" si="73"/>
        <v>-15747.526708903039</v>
      </c>
      <c r="H234" s="22">
        <f t="shared" si="73"/>
        <v>-20215.200134049155</v>
      </c>
      <c r="I234" s="22">
        <f t="shared" si="73"/>
        <v>-24521.845763185487</v>
      </c>
      <c r="J234" s="22">
        <f t="shared" si="73"/>
        <v>-28753.387121318563</v>
      </c>
      <c r="K234" s="22">
        <f t="shared" si="73"/>
        <v>-32639.115678745875</v>
      </c>
      <c r="L234" s="22">
        <f t="shared" si="73"/>
        <v>-36114.153899557699</v>
      </c>
      <c r="M234" s="22">
        <f t="shared" si="73"/>
        <v>-39221.163719243799</v>
      </c>
      <c r="N234" s="45"/>
      <c r="O234" s="15"/>
    </row>
    <row r="235" spans="1:15">
      <c r="E235" s="22"/>
      <c r="F235" s="22"/>
      <c r="G235" s="22"/>
      <c r="H235" s="22"/>
      <c r="I235" s="22"/>
      <c r="J235" s="22"/>
      <c r="K235" s="22"/>
      <c r="L235" s="22"/>
      <c r="M235" s="22"/>
      <c r="N235" s="45"/>
      <c r="O235" s="15"/>
    </row>
    <row r="236" spans="1:15" ht="21">
      <c r="C236" s="3" t="s">
        <v>225</v>
      </c>
      <c r="D236" s="3"/>
      <c r="E236" s="3"/>
      <c r="F236" s="3"/>
      <c r="G236" s="3"/>
      <c r="H236" s="22"/>
      <c r="I236" s="22"/>
      <c r="J236" s="22"/>
      <c r="K236" s="22"/>
      <c r="L236" s="22"/>
      <c r="M236" s="22"/>
      <c r="N236" s="45"/>
      <c r="O236" s="15"/>
    </row>
    <row r="237" spans="1:15" ht="15.75">
      <c r="C237" s="5" t="s">
        <v>31</v>
      </c>
      <c r="E237" s="97"/>
      <c r="F237" s="97"/>
      <c r="G237" s="97"/>
      <c r="N237" s="45"/>
      <c r="O237" s="15"/>
    </row>
    <row r="238" spans="1:15">
      <c r="C238" s="80" t="s">
        <v>32</v>
      </c>
      <c r="D238" s="80"/>
      <c r="E238" s="207"/>
      <c r="F238" s="97"/>
      <c r="G238" s="97"/>
      <c r="H238" s="22">
        <f t="shared" ref="H238:M238" si="74">(H260*Leverage*Debt+H215)/SQRT(1+Debt)</f>
        <v>10698.188443392044</v>
      </c>
      <c r="I238" s="22">
        <f t="shared" si="74"/>
        <v>10702.330730742475</v>
      </c>
      <c r="J238" s="22">
        <f t="shared" si="74"/>
        <v>11135.636213758937</v>
      </c>
      <c r="K238" s="22">
        <f t="shared" si="74"/>
        <v>11355.635334523762</v>
      </c>
      <c r="L238" s="22">
        <f t="shared" si="74"/>
        <v>11479.039533201758</v>
      </c>
      <c r="M238" s="22">
        <f t="shared" si="74"/>
        <v>11592.035382650991</v>
      </c>
      <c r="N238" s="45"/>
      <c r="O238" s="15"/>
    </row>
    <row r="239" spans="1:15">
      <c r="C239" s="74" t="s">
        <v>33</v>
      </c>
      <c r="E239" s="97"/>
      <c r="F239" s="97"/>
      <c r="G239" s="97"/>
      <c r="H239" s="22">
        <f t="shared" ref="H239:M239" si="75">H208-H210</f>
        <v>754.23660002125689</v>
      </c>
      <c r="I239" s="22">
        <f t="shared" si="75"/>
        <v>1065.2063152677783</v>
      </c>
      <c r="J239" s="22">
        <f t="shared" si="75"/>
        <v>1375.6595161025252</v>
      </c>
      <c r="K239" s="22">
        <f t="shared" si="75"/>
        <v>1739.0635820612624</v>
      </c>
      <c r="L239" s="22">
        <f t="shared" si="75"/>
        <v>2101.9926691964283</v>
      </c>
      <c r="M239" s="22">
        <f t="shared" si="75"/>
        <v>2461.1633025026949</v>
      </c>
      <c r="N239" s="45"/>
      <c r="O239" s="15"/>
    </row>
    <row r="240" spans="1:15">
      <c r="A240" s="110"/>
      <c r="C240" s="74" t="s">
        <v>34</v>
      </c>
      <c r="E240" s="97"/>
      <c r="F240" s="97"/>
      <c r="G240" s="97"/>
      <c r="H240" s="22">
        <f t="shared" ref="H240:M240" si="76">H233+H239-H238</f>
        <v>-5803.6030061614847</v>
      </c>
      <c r="I240" s="22">
        <f t="shared" si="76"/>
        <v>-5496.775578265394</v>
      </c>
      <c r="J240" s="22">
        <f t="shared" si="76"/>
        <v>-5619.627860447109</v>
      </c>
      <c r="K240" s="22">
        <f t="shared" si="76"/>
        <v>-5476.2229152531972</v>
      </c>
      <c r="L240" s="22">
        <f t="shared" si="76"/>
        <v>-5236.6980267960271</v>
      </c>
      <c r="M240" s="22">
        <f t="shared" si="76"/>
        <v>-4990.5232429389935</v>
      </c>
      <c r="N240" s="45"/>
      <c r="O240" s="15"/>
    </row>
    <row r="241" spans="1:15">
      <c r="E241" s="97"/>
      <c r="F241" s="97"/>
      <c r="G241" s="97"/>
      <c r="H241" s="78"/>
      <c r="I241" s="78"/>
      <c r="J241" s="78"/>
      <c r="K241" s="78"/>
      <c r="L241" s="78"/>
      <c r="M241" s="78"/>
      <c r="N241" s="45"/>
      <c r="O241" s="15"/>
    </row>
    <row r="242" spans="1:15" ht="15.75">
      <c r="C242" s="5" t="s">
        <v>73</v>
      </c>
      <c r="E242" s="97"/>
      <c r="F242" s="97"/>
      <c r="G242" s="97"/>
      <c r="H242" s="78"/>
      <c r="I242" s="78"/>
      <c r="J242" s="78"/>
      <c r="K242" s="78"/>
      <c r="L242" s="78"/>
      <c r="M242" s="78"/>
      <c r="N242" s="45"/>
      <c r="O242" s="15"/>
    </row>
    <row r="243" spans="1:15">
      <c r="C243" s="74" t="s">
        <v>109</v>
      </c>
      <c r="E243" s="97"/>
      <c r="F243" s="97"/>
      <c r="G243" s="97"/>
      <c r="H243" s="78">
        <f t="shared" ref="H243:M243" si="77">H208</f>
        <v>14092.58994972509</v>
      </c>
      <c r="I243" s="78">
        <f t="shared" si="77"/>
        <v>14958.745958567662</v>
      </c>
      <c r="J243" s="78">
        <f t="shared" si="77"/>
        <v>15895.999194828586</v>
      </c>
      <c r="K243" s="78">
        <f t="shared" si="77"/>
        <v>16668.698775494882</v>
      </c>
      <c r="L243" s="78">
        <f t="shared" si="77"/>
        <v>17363.772913101442</v>
      </c>
      <c r="M243" s="78">
        <f t="shared" si="77"/>
        <v>18059.774541866369</v>
      </c>
      <c r="N243" s="45"/>
      <c r="O243" s="15"/>
    </row>
    <row r="244" spans="1:15">
      <c r="C244" s="74" t="s">
        <v>116</v>
      </c>
      <c r="E244" s="97"/>
      <c r="F244" s="97"/>
      <c r="G244" s="97"/>
      <c r="H244" s="78">
        <f t="shared" ref="H244:M244" si="78">H93</f>
        <v>0</v>
      </c>
      <c r="I244" s="78">
        <f t="shared" si="78"/>
        <v>0</v>
      </c>
      <c r="J244" s="78">
        <f t="shared" si="78"/>
        <v>0</v>
      </c>
      <c r="K244" s="78">
        <f t="shared" si="78"/>
        <v>0</v>
      </c>
      <c r="L244" s="78">
        <f t="shared" si="78"/>
        <v>0</v>
      </c>
      <c r="M244" s="78">
        <f t="shared" si="78"/>
        <v>0</v>
      </c>
      <c r="N244" s="45"/>
      <c r="O244" s="15"/>
    </row>
    <row r="245" spans="1:15" ht="15.75" thickBot="1">
      <c r="C245" s="74" t="s">
        <v>73</v>
      </c>
      <c r="E245" s="97"/>
      <c r="F245" s="97"/>
      <c r="G245" s="97"/>
      <c r="H245" s="48">
        <f t="shared" ref="H245:M245" si="79">H243+H244</f>
        <v>14092.58994972509</v>
      </c>
      <c r="I245" s="48">
        <f t="shared" si="79"/>
        <v>14958.745958567662</v>
      </c>
      <c r="J245" s="48">
        <f t="shared" si="79"/>
        <v>15895.999194828586</v>
      </c>
      <c r="K245" s="48">
        <f t="shared" si="79"/>
        <v>16668.698775494882</v>
      </c>
      <c r="L245" s="48">
        <f t="shared" si="79"/>
        <v>17363.772913101442</v>
      </c>
      <c r="M245" s="48">
        <f t="shared" si="79"/>
        <v>18059.774541866369</v>
      </c>
      <c r="N245" s="45"/>
      <c r="O245" s="15"/>
    </row>
    <row r="246" spans="1:15" ht="15.75" thickTop="1">
      <c r="E246" s="97"/>
      <c r="F246" s="97"/>
      <c r="G246" s="97"/>
      <c r="H246" s="49"/>
      <c r="I246" s="49"/>
      <c r="J246" s="49"/>
      <c r="K246" s="49"/>
      <c r="L246" s="49"/>
      <c r="M246" s="49"/>
      <c r="N246" s="45"/>
      <c r="O246" s="15"/>
    </row>
    <row r="247" spans="1:15" ht="15.75">
      <c r="C247" s="79" t="s">
        <v>85</v>
      </c>
      <c r="E247" s="97"/>
      <c r="F247" s="97"/>
      <c r="G247" s="97"/>
      <c r="H247" s="49"/>
      <c r="I247" s="49"/>
      <c r="J247" s="49"/>
      <c r="K247" s="49"/>
      <c r="L247" s="49"/>
      <c r="M247" s="49"/>
      <c r="N247" s="45"/>
      <c r="O247" s="15"/>
    </row>
    <row r="248" spans="1:15">
      <c r="C248" s="74" t="s">
        <v>85</v>
      </c>
      <c r="E248" s="97"/>
      <c r="F248" s="97"/>
      <c r="G248" s="97"/>
      <c r="H248" s="78">
        <f t="shared" ref="H248:M248" si="80">H86</f>
        <v>0</v>
      </c>
      <c r="I248" s="78">
        <f t="shared" si="80"/>
        <v>0</v>
      </c>
      <c r="J248" s="78">
        <f t="shared" si="80"/>
        <v>0</v>
      </c>
      <c r="K248" s="78">
        <f t="shared" si="80"/>
        <v>0</v>
      </c>
      <c r="L248" s="78">
        <f t="shared" si="80"/>
        <v>0</v>
      </c>
      <c r="M248" s="78">
        <f t="shared" si="80"/>
        <v>0</v>
      </c>
      <c r="N248" s="45"/>
      <c r="O248" s="15"/>
    </row>
    <row r="249" spans="1:15">
      <c r="E249" s="97"/>
      <c r="F249" s="97"/>
      <c r="G249" s="97"/>
      <c r="H249" s="49"/>
      <c r="I249" s="49"/>
      <c r="J249" s="49"/>
      <c r="K249" s="49"/>
      <c r="L249" s="49"/>
      <c r="M249" s="49"/>
      <c r="N249" s="45"/>
      <c r="O249" s="15"/>
    </row>
    <row r="250" spans="1:15" ht="15.75">
      <c r="C250" s="5" t="s">
        <v>135</v>
      </c>
      <c r="E250" s="97"/>
      <c r="F250" s="97"/>
      <c r="G250" s="97"/>
      <c r="H250" s="78">
        <f t="shared" ref="H250:M250" si="81">H47</f>
        <v>20762.956283591477</v>
      </c>
      <c r="I250" s="78">
        <f t="shared" si="81"/>
        <v>21575.007847129284</v>
      </c>
      <c r="J250" s="78">
        <f t="shared" si="81"/>
        <v>22420.152642681369</v>
      </c>
      <c r="K250" s="78">
        <f t="shared" si="81"/>
        <v>23381.165203583729</v>
      </c>
      <c r="L250" s="78">
        <f t="shared" si="81"/>
        <v>24261.979394821963</v>
      </c>
      <c r="M250" s="78">
        <f t="shared" si="81"/>
        <v>25220.697311075277</v>
      </c>
      <c r="N250" s="45"/>
      <c r="O250" s="15"/>
    </row>
    <row r="251" spans="1:15">
      <c r="C251" s="74" t="s">
        <v>136</v>
      </c>
      <c r="E251" s="97"/>
      <c r="F251" s="97"/>
      <c r="G251" s="97"/>
      <c r="H251" s="78">
        <f>H250*H67</f>
        <v>20762.956283591477</v>
      </c>
      <c r="I251" s="78">
        <f>I250*I67</f>
        <v>22361.002441364722</v>
      </c>
      <c r="J251" s="78">
        <f>J250*J67</f>
        <v>23236.936530035819</v>
      </c>
      <c r="K251" s="78">
        <f>K250*K67</f>
        <v>24232.959538360199</v>
      </c>
      <c r="L251" s="181">
        <f>L250*L67</f>
        <v>25145.862487004433</v>
      </c>
      <c r="M251" s="78">
        <f>M250*IF(ISNUMBER(M67),M67,0)</f>
        <v>25449.828480951604</v>
      </c>
      <c r="N251" s="45"/>
      <c r="O251" s="15"/>
    </row>
    <row r="252" spans="1:15">
      <c r="E252" s="97"/>
      <c r="F252" s="97"/>
      <c r="G252" s="97"/>
      <c r="H252" s="78"/>
      <c r="I252" s="78"/>
      <c r="J252" s="78"/>
      <c r="K252" s="78"/>
      <c r="L252" s="78"/>
      <c r="M252" s="78"/>
      <c r="N252" s="45"/>
      <c r="O252" s="15"/>
    </row>
    <row r="253" spans="1:15" ht="15.75">
      <c r="A253" s="110"/>
      <c r="C253" s="5" t="s">
        <v>124</v>
      </c>
      <c r="E253" s="97"/>
      <c r="F253" s="97"/>
      <c r="G253" s="97"/>
      <c r="O253" s="15"/>
    </row>
    <row r="254" spans="1:15" ht="46.5" customHeight="1">
      <c r="A254" s="110"/>
      <c r="C254" s="125" t="s">
        <v>234</v>
      </c>
      <c r="E254" s="97"/>
      <c r="F254" s="97"/>
      <c r="G254" s="126"/>
      <c r="H254" s="127" t="str">
        <f t="shared" ref="H254:M254" si="82">H13</f>
        <v/>
      </c>
      <c r="I254" s="127" t="str">
        <f t="shared" si="82"/>
        <v>01/07/13 to 30/06/14</v>
      </c>
      <c r="J254" s="127" t="str">
        <f t="shared" si="82"/>
        <v>01/07/14 to 30/06/15</v>
      </c>
      <c r="K254" s="127" t="str">
        <f t="shared" si="82"/>
        <v>01/07/15 to 30/06/16</v>
      </c>
      <c r="L254" s="127" t="str">
        <f t="shared" si="82"/>
        <v>01/07/16 to 30/06/17</v>
      </c>
      <c r="M254" s="127" t="str">
        <f t="shared" si="82"/>
        <v>01/07/17 to 30/09/17</v>
      </c>
      <c r="O254" s="15"/>
    </row>
    <row r="255" spans="1:15">
      <c r="A255" s="110"/>
      <c r="C255" s="133" t="s">
        <v>250</v>
      </c>
      <c r="E255" s="97"/>
      <c r="F255" s="97"/>
      <c r="G255" s="126"/>
      <c r="H255" s="118"/>
      <c r="I255" s="118"/>
      <c r="J255" s="118"/>
      <c r="K255" s="118"/>
      <c r="L255" s="118"/>
      <c r="M255" s="118"/>
      <c r="O255" s="15"/>
    </row>
    <row r="256" spans="1:15">
      <c r="A256" s="110"/>
      <c r="C256" s="74" t="s">
        <v>193</v>
      </c>
      <c r="E256" s="97"/>
      <c r="F256" s="97"/>
      <c r="G256" s="126"/>
      <c r="H256" s="17">
        <f t="shared" ref="H256:M256" si="83">H50/12</f>
        <v>0</v>
      </c>
      <c r="I256" s="17">
        <f t="shared" si="83"/>
        <v>1</v>
      </c>
      <c r="J256" s="17">
        <f t="shared" si="83"/>
        <v>1</v>
      </c>
      <c r="K256" s="17">
        <f t="shared" si="83"/>
        <v>1</v>
      </c>
      <c r="L256" s="17">
        <f t="shared" si="83"/>
        <v>1</v>
      </c>
      <c r="M256" s="17">
        <f t="shared" si="83"/>
        <v>0.25</v>
      </c>
      <c r="O256" s="15"/>
    </row>
    <row r="257" spans="1:62" ht="18">
      <c r="C257" s="74" t="s">
        <v>263</v>
      </c>
      <c r="E257" s="97"/>
      <c r="F257" s="97"/>
      <c r="G257" s="126"/>
      <c r="H257" s="44">
        <f t="shared" ref="H257:M257" si="84">(1+WACC)^H256-1</f>
        <v>0</v>
      </c>
      <c r="I257" s="44">
        <f t="shared" si="84"/>
        <v>7.4400000000000022E-2</v>
      </c>
      <c r="J257" s="44">
        <f t="shared" si="84"/>
        <v>7.4400000000000022E-2</v>
      </c>
      <c r="K257" s="44">
        <f t="shared" si="84"/>
        <v>7.4400000000000022E-2</v>
      </c>
      <c r="L257" s="44">
        <f t="shared" si="84"/>
        <v>7.4400000000000022E-2</v>
      </c>
      <c r="M257" s="44">
        <f t="shared" si="84"/>
        <v>1.8102490709061669E-2</v>
      </c>
      <c r="O257" s="15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</row>
    <row r="258" spans="1:62">
      <c r="E258" s="97"/>
      <c r="F258" s="97"/>
      <c r="G258" s="97"/>
      <c r="H258" s="77"/>
      <c r="I258" s="77"/>
      <c r="J258" s="77"/>
      <c r="K258" s="77"/>
      <c r="L258" s="77"/>
      <c r="M258" s="77"/>
      <c r="O258" s="15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</row>
    <row r="259" spans="1:62" ht="15.75">
      <c r="C259" s="5" t="s">
        <v>149</v>
      </c>
      <c r="N259" s="45"/>
      <c r="O259" s="15"/>
    </row>
    <row r="260" spans="1:62">
      <c r="A260" s="110"/>
      <c r="C260" s="74" t="s">
        <v>72</v>
      </c>
      <c r="E260" s="97"/>
      <c r="F260" s="97"/>
      <c r="G260" s="97"/>
      <c r="H260" s="181">
        <f>H206+(1-H256)*(H209-H206)+H231+(1-H256)*(H234-H231)</f>
        <v>459948.10094766913</v>
      </c>
      <c r="I260" s="63">
        <f>I206+I231</f>
        <v>459948.10094766913</v>
      </c>
      <c r="J260" s="63">
        <f>J206+J231</f>
        <v>478540.04229989584</v>
      </c>
      <c r="K260" s="63">
        <f>K206+K231</f>
        <v>487962.0170476223</v>
      </c>
      <c r="L260" s="63">
        <f>L206+L231</f>
        <v>493234.09002162365</v>
      </c>
      <c r="M260" s="63">
        <f>M206+M231</f>
        <v>498062.21073014179</v>
      </c>
      <c r="N260" s="45"/>
      <c r="O260" s="15"/>
    </row>
    <row r="261" spans="1:62">
      <c r="C261" s="74" t="s">
        <v>65</v>
      </c>
      <c r="E261" s="97"/>
      <c r="F261" s="97"/>
      <c r="G261" s="97"/>
      <c r="H261" s="78">
        <f t="shared" ref="H261:M261" si="85">H48*H256</f>
        <v>0</v>
      </c>
      <c r="I261" s="78">
        <f t="shared" si="85"/>
        <v>28206.001594177971</v>
      </c>
      <c r="J261" s="78">
        <f t="shared" si="85"/>
        <v>18418.29816184007</v>
      </c>
      <c r="K261" s="78">
        <f t="shared" si="85"/>
        <v>14946.527271212733</v>
      </c>
      <c r="L261" s="78">
        <f t="shared" si="85"/>
        <v>15157.394795639755</v>
      </c>
      <c r="M261" s="78">
        <f t="shared" si="85"/>
        <v>3863.8070480710639</v>
      </c>
      <c r="N261" s="45"/>
      <c r="O261" s="15"/>
    </row>
    <row r="262" spans="1:62">
      <c r="C262" s="74" t="s">
        <v>76</v>
      </c>
      <c r="E262" s="97"/>
      <c r="F262" s="97"/>
      <c r="G262" s="97"/>
      <c r="H262" s="47">
        <f t="shared" ref="H262:M262" si="86">H215*H256</f>
        <v>0</v>
      </c>
      <c r="I262" s="47">
        <f t="shared" si="86"/>
        <v>98.560610393382049</v>
      </c>
      <c r="J262" s="47">
        <f t="shared" si="86"/>
        <v>103.26088362322849</v>
      </c>
      <c r="K262" s="47">
        <f t="shared" si="86"/>
        <v>106.06346949011539</v>
      </c>
      <c r="L262" s="47">
        <f t="shared" si="86"/>
        <v>107.94324353108371</v>
      </c>
      <c r="M262" s="47">
        <f t="shared" si="86"/>
        <v>27.411897388353715</v>
      </c>
      <c r="N262" s="45"/>
      <c r="O262" s="15"/>
    </row>
    <row r="263" spans="1:62">
      <c r="C263" s="74" t="s">
        <v>27</v>
      </c>
      <c r="E263" s="97"/>
      <c r="F263" s="97"/>
      <c r="G263" s="97"/>
      <c r="H263" s="47">
        <f t="shared" ref="H263:M263" si="87">H207*H256</f>
        <v>0</v>
      </c>
      <c r="I263" s="47">
        <f t="shared" si="87"/>
        <v>9651.3313457526747</v>
      </c>
      <c r="J263" s="47">
        <f t="shared" si="87"/>
        <v>11131.217138848064</v>
      </c>
      <c r="K263" s="47">
        <f t="shared" si="87"/>
        <v>10879.973035710924</v>
      </c>
      <c r="L263" s="47">
        <f t="shared" si="87"/>
        <v>10509.537046791556</v>
      </c>
      <c r="M263" s="47">
        <f t="shared" si="87"/>
        <v>2668.9319634787853</v>
      </c>
      <c r="N263" s="45"/>
      <c r="O263" s="15"/>
    </row>
    <row r="264" spans="1:62" ht="15.75" thickBot="1">
      <c r="C264" s="74" t="s">
        <v>149</v>
      </c>
      <c r="E264" s="97"/>
      <c r="F264" s="97"/>
      <c r="G264" s="97"/>
      <c r="H264" s="28">
        <f t="shared" ref="H264:M264" si="88">H260*H257+H261*(H67-1)+H262-H263</f>
        <v>0</v>
      </c>
      <c r="I264" s="28">
        <f t="shared" si="88"/>
        <v>25694.934914408921</v>
      </c>
      <c r="J264" s="28">
        <f t="shared" si="88"/>
        <v>25246.416056422895</v>
      </c>
      <c r="K264" s="28">
        <f t="shared" si="88"/>
        <v>26074.978308142956</v>
      </c>
      <c r="L264" s="28">
        <f t="shared" si="88"/>
        <v>26847.218371007097</v>
      </c>
      <c r="M264" s="28">
        <f t="shared" si="88"/>
        <v>6409.7493370703896</v>
      </c>
      <c r="N264" s="45"/>
      <c r="O264" s="15"/>
    </row>
    <row r="265" spans="1:62" ht="15.75" thickTop="1"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15"/>
      <c r="AY265" s="92"/>
      <c r="AZ265" s="92"/>
      <c r="BA265" s="92"/>
    </row>
    <row r="266" spans="1:62">
      <c r="A266" s="110"/>
      <c r="C266" s="40" t="s">
        <v>214</v>
      </c>
      <c r="D266" s="40"/>
      <c r="E266" s="40"/>
      <c r="F266" s="40"/>
      <c r="G266" s="40"/>
      <c r="H266" s="134">
        <f t="shared" ref="H266:M266" si="89">H256*(H234-H231)</f>
        <v>0</v>
      </c>
      <c r="I266" s="134">
        <f t="shared" si="89"/>
        <v>-4306.645629136332</v>
      </c>
      <c r="J266" s="134">
        <f t="shared" si="89"/>
        <v>-4231.5413581330758</v>
      </c>
      <c r="K266" s="134">
        <f t="shared" si="89"/>
        <v>-3885.7285574273119</v>
      </c>
      <c r="L266" s="134">
        <f t="shared" si="89"/>
        <v>-3475.0382208118244</v>
      </c>
      <c r="M266" s="134">
        <f t="shared" si="89"/>
        <v>-776.75245492152499</v>
      </c>
      <c r="O266" s="15"/>
    </row>
    <row r="267" spans="1:62">
      <c r="A267" s="110"/>
      <c r="C267" s="74" t="s">
        <v>73</v>
      </c>
      <c r="H267" s="78">
        <f t="shared" ref="H267:L267" si="90">H256*H245</f>
        <v>0</v>
      </c>
      <c r="I267" s="78">
        <f t="shared" si="90"/>
        <v>14958.745958567662</v>
      </c>
      <c r="J267" s="78">
        <f t="shared" si="90"/>
        <v>15895.999194828586</v>
      </c>
      <c r="K267" s="78">
        <f t="shared" si="90"/>
        <v>16668.698775494882</v>
      </c>
      <c r="L267" s="78">
        <f t="shared" si="90"/>
        <v>17363.772913101442</v>
      </c>
      <c r="M267" s="78">
        <f>M256*M245</f>
        <v>4514.9436354665922</v>
      </c>
      <c r="O267" s="15"/>
    </row>
    <row r="268" spans="1:62">
      <c r="A268" s="110"/>
      <c r="C268" s="74" t="s">
        <v>135</v>
      </c>
      <c r="H268" s="78">
        <f t="shared" ref="H268:L268" si="91">H256*H250</f>
        <v>0</v>
      </c>
      <c r="I268" s="78">
        <f t="shared" si="91"/>
        <v>21575.007847129284</v>
      </c>
      <c r="J268" s="78">
        <f t="shared" si="91"/>
        <v>22420.152642681369</v>
      </c>
      <c r="K268" s="78">
        <f t="shared" si="91"/>
        <v>23381.165203583729</v>
      </c>
      <c r="L268" s="78">
        <f t="shared" si="91"/>
        <v>24261.979394821963</v>
      </c>
      <c r="M268" s="78">
        <f>M256*M250</f>
        <v>6305.1743277688192</v>
      </c>
      <c r="O268" s="15"/>
    </row>
    <row r="269" spans="1:62">
      <c r="A269" s="110"/>
      <c r="C269" s="74" t="s">
        <v>136</v>
      </c>
      <c r="H269" s="78">
        <f t="shared" ref="H269:L269" si="92">H256*H251</f>
        <v>0</v>
      </c>
      <c r="I269" s="78">
        <f t="shared" si="92"/>
        <v>22361.002441364722</v>
      </c>
      <c r="J269" s="78">
        <f t="shared" si="92"/>
        <v>23236.936530035819</v>
      </c>
      <c r="K269" s="78">
        <f t="shared" si="92"/>
        <v>24232.959538360199</v>
      </c>
      <c r="L269" s="78">
        <f t="shared" si="92"/>
        <v>25145.862487004433</v>
      </c>
      <c r="M269" s="78">
        <f>M256*M251</f>
        <v>6362.4571202379011</v>
      </c>
      <c r="O269" s="15"/>
    </row>
    <row r="270" spans="1:62">
      <c r="A270" s="110"/>
      <c r="C270" s="74" t="s">
        <v>85</v>
      </c>
      <c r="H270" s="78">
        <f t="shared" ref="H270:L270" si="93">H256*H248</f>
        <v>0</v>
      </c>
      <c r="I270" s="78">
        <f t="shared" si="93"/>
        <v>0</v>
      </c>
      <c r="J270" s="78">
        <f t="shared" si="93"/>
        <v>0</v>
      </c>
      <c r="K270" s="78">
        <f t="shared" si="93"/>
        <v>0</v>
      </c>
      <c r="L270" s="78">
        <f t="shared" si="93"/>
        <v>0</v>
      </c>
      <c r="M270" s="78">
        <f>M256*M248</f>
        <v>0</v>
      </c>
      <c r="O270" s="15"/>
    </row>
    <row r="271" spans="1:62">
      <c r="A271" s="110"/>
      <c r="C271" s="74" t="s">
        <v>34</v>
      </c>
      <c r="H271" s="22">
        <f t="shared" ref="H271:L271" si="94">H256*H240</f>
        <v>0</v>
      </c>
      <c r="I271" s="22">
        <f t="shared" si="94"/>
        <v>-5496.775578265394</v>
      </c>
      <c r="J271" s="22">
        <f t="shared" si="94"/>
        <v>-5619.627860447109</v>
      </c>
      <c r="K271" s="22">
        <f t="shared" si="94"/>
        <v>-5476.2229152531972</v>
      </c>
      <c r="L271" s="22">
        <f t="shared" si="94"/>
        <v>-5236.6980267960271</v>
      </c>
      <c r="M271" s="22">
        <f>M256*M240</f>
        <v>-1247.6308107347484</v>
      </c>
      <c r="O271" s="15"/>
    </row>
    <row r="272" spans="1:62">
      <c r="A272" s="110"/>
      <c r="C272" s="74" t="s">
        <v>244</v>
      </c>
      <c r="H272" s="78">
        <f t="shared" ref="H272:M272" si="95">H256*H208</f>
        <v>0</v>
      </c>
      <c r="I272" s="78">
        <f t="shared" si="95"/>
        <v>14958.745958567662</v>
      </c>
      <c r="J272" s="78">
        <f t="shared" si="95"/>
        <v>15895.999194828586</v>
      </c>
      <c r="K272" s="78">
        <f t="shared" si="95"/>
        <v>16668.698775494882</v>
      </c>
      <c r="L272" s="78">
        <f t="shared" si="95"/>
        <v>17363.772913101442</v>
      </c>
      <c r="M272" s="78">
        <f t="shared" si="95"/>
        <v>4514.9436354665922</v>
      </c>
      <c r="O272" s="15"/>
    </row>
    <row r="273" spans="1:16">
      <c r="A273" s="110"/>
      <c r="C273" s="74" t="s">
        <v>246</v>
      </c>
      <c r="H273" s="73"/>
      <c r="I273" s="73"/>
      <c r="J273" s="73"/>
      <c r="K273" s="73"/>
      <c r="L273" s="73"/>
      <c r="M273" s="73"/>
      <c r="O273" s="15"/>
    </row>
    <row r="274" spans="1:16">
      <c r="A274" s="110"/>
      <c r="C274" s="80" t="s">
        <v>125</v>
      </c>
      <c r="H274" s="22">
        <f t="shared" ref="H274:M274" si="96">(H264+H267+H269+((H270-H268-H272+H271)*H90+H266)*H67-H266-H270*H67)/(H68-H90*H67)</f>
        <v>0</v>
      </c>
      <c r="I274" s="22">
        <f t="shared" si="96"/>
        <v>68522.640123877311</v>
      </c>
      <c r="J274" s="22">
        <f t="shared" si="96"/>
        <v>69624.320325762979</v>
      </c>
      <c r="K274" s="22">
        <f t="shared" si="96"/>
        <v>72530.180193192515</v>
      </c>
      <c r="L274" s="22">
        <f t="shared" si="96"/>
        <v>75245.312694599721</v>
      </c>
      <c r="M274" s="22">
        <f t="shared" si="96"/>
        <v>19279.898077457248</v>
      </c>
      <c r="O274" s="15"/>
      <c r="P274" s="128"/>
    </row>
    <row r="275" spans="1:16">
      <c r="A275" s="110"/>
      <c r="C275" s="74" t="s">
        <v>133</v>
      </c>
      <c r="E275" s="97"/>
      <c r="F275" s="97"/>
      <c r="G275" s="97"/>
      <c r="H275" s="22">
        <f t="shared" ref="H275:M275" si="97">(H274+H270-H268-H272+H271)*H90</f>
        <v>0</v>
      </c>
      <c r="I275" s="22">
        <f t="shared" si="97"/>
        <v>7417.7910071761935</v>
      </c>
      <c r="J275" s="138">
        <f t="shared" si="97"/>
        <v>7192.7913757856586</v>
      </c>
      <c r="K275" s="138">
        <f t="shared" si="97"/>
        <v>7561.1461236809973</v>
      </c>
      <c r="L275" s="22">
        <f t="shared" si="97"/>
        <v>7947.2014607664823</v>
      </c>
      <c r="M275" s="22">
        <f t="shared" si="97"/>
        <v>2019.4018049763852</v>
      </c>
      <c r="O275" s="15"/>
      <c r="P275" s="128"/>
    </row>
    <row r="276" spans="1:16">
      <c r="A276" s="110"/>
      <c r="C276" s="74" t="s">
        <v>118</v>
      </c>
      <c r="E276" s="97"/>
      <c r="F276" s="97"/>
      <c r="G276" s="97"/>
      <c r="H276" s="22">
        <f t="shared" ref="H276" si="98">IF(H275&lt;0,#N/A,H275)</f>
        <v>0</v>
      </c>
      <c r="I276" s="22">
        <f>IF(I275&lt;0,#N/A,I275)</f>
        <v>7417.7910071761935</v>
      </c>
      <c r="J276" s="22">
        <f t="shared" ref="J276:M276" si="99">IF(J275&lt;0,#N/A,J275)</f>
        <v>7192.7913757856586</v>
      </c>
      <c r="K276" s="22">
        <f t="shared" si="99"/>
        <v>7561.1461236809973</v>
      </c>
      <c r="L276" s="22">
        <f t="shared" si="99"/>
        <v>7947.2014607664823</v>
      </c>
      <c r="M276" s="22">
        <f t="shared" si="99"/>
        <v>2019.4018049763852</v>
      </c>
      <c r="O276" s="15"/>
      <c r="P276" s="128"/>
    </row>
    <row r="277" spans="1:16">
      <c r="A277" s="110"/>
      <c r="C277" s="74" t="s">
        <v>126</v>
      </c>
      <c r="E277" s="97"/>
      <c r="F277" s="97"/>
      <c r="G277" s="97"/>
      <c r="H277" s="22">
        <f t="shared" ref="H277:M277" si="100">H264+H267+H269+(H276+H266)*H67-H266-H270*H67</f>
        <v>0</v>
      </c>
      <c r="I277" s="22">
        <f t="shared" si="100"/>
        <v>70545.815807478779</v>
      </c>
      <c r="J277" s="22">
        <f t="shared" si="100"/>
        <v>71680.023836539985</v>
      </c>
      <c r="K277" s="22">
        <f t="shared" si="100"/>
        <v>74671.681113600964</v>
      </c>
      <c r="L277" s="22">
        <f t="shared" si="100"/>
        <v>77466.979674644404</v>
      </c>
      <c r="M277" s="22">
        <f t="shared" si="100"/>
        <v>19317.841423009522</v>
      </c>
      <c r="O277" s="15"/>
      <c r="P277" s="128"/>
    </row>
    <row r="278" spans="1:16">
      <c r="A278" s="110"/>
      <c r="C278" s="74" t="s">
        <v>127</v>
      </c>
      <c r="E278" s="97"/>
      <c r="F278" s="97"/>
      <c r="G278" s="97"/>
      <c r="H278" s="22">
        <f t="shared" ref="H278:M278" si="101">H277/H68</f>
        <v>0</v>
      </c>
      <c r="I278" s="22">
        <f t="shared" si="101"/>
        <v>68522.640123877311</v>
      </c>
      <c r="J278" s="22">
        <f t="shared" si="101"/>
        <v>69624.320325762994</v>
      </c>
      <c r="K278" s="22">
        <f t="shared" si="101"/>
        <v>72530.180193192515</v>
      </c>
      <c r="L278" s="22">
        <f t="shared" si="101"/>
        <v>75245.312694599721</v>
      </c>
      <c r="M278" s="22">
        <f t="shared" si="101"/>
        <v>19279.898077457252</v>
      </c>
      <c r="O278" s="15"/>
      <c r="P278" s="128"/>
    </row>
    <row r="279" spans="1:16">
      <c r="A279" s="110"/>
      <c r="C279" s="74" t="s">
        <v>128</v>
      </c>
      <c r="E279" s="97"/>
      <c r="F279" s="97"/>
      <c r="G279" s="97"/>
      <c r="H279" s="69">
        <f t="shared" ref="H279:M279" si="102">H274-H278</f>
        <v>0</v>
      </c>
      <c r="I279" s="69">
        <f t="shared" si="102"/>
        <v>0</v>
      </c>
      <c r="J279" s="69">
        <f t="shared" si="102"/>
        <v>0</v>
      </c>
      <c r="K279" s="69">
        <f t="shared" si="102"/>
        <v>0</v>
      </c>
      <c r="L279" s="69">
        <f t="shared" si="102"/>
        <v>0</v>
      </c>
      <c r="M279" s="69">
        <f t="shared" si="102"/>
        <v>0</v>
      </c>
      <c r="O279" s="15"/>
      <c r="P279" s="128"/>
    </row>
    <row r="280" spans="1:16">
      <c r="E280" s="97"/>
      <c r="F280" s="97"/>
      <c r="G280" s="97"/>
      <c r="H280" s="22"/>
      <c r="I280" s="22"/>
      <c r="J280" s="22"/>
      <c r="K280" s="22"/>
      <c r="L280" s="22"/>
      <c r="M280" s="22"/>
      <c r="N280" s="97"/>
      <c r="O280" s="15"/>
      <c r="P280" s="128"/>
    </row>
    <row r="281" spans="1:16">
      <c r="E281" s="97"/>
      <c r="F281" s="97"/>
      <c r="G281" s="97"/>
      <c r="O281" s="15"/>
    </row>
    <row r="282" spans="1:16" ht="15.75">
      <c r="C282" s="113" t="s">
        <v>129</v>
      </c>
      <c r="E282" s="97"/>
      <c r="F282" s="97"/>
      <c r="G282" s="97"/>
      <c r="H282" s="83"/>
      <c r="I282" s="22"/>
      <c r="N282" s="45"/>
      <c r="O282" s="15"/>
    </row>
    <row r="283" spans="1:16">
      <c r="C283" s="74" t="s">
        <v>206</v>
      </c>
      <c r="D283" s="80"/>
      <c r="E283" s="97"/>
      <c r="F283" s="97"/>
      <c r="G283" s="97"/>
      <c r="H283" s="115">
        <f>I283-1</f>
        <v>0</v>
      </c>
      <c r="I283" s="183">
        <f>IF($G$1 = 4,1.5,1)</f>
        <v>1</v>
      </c>
      <c r="J283" s="65">
        <f>I283+J256</f>
        <v>2</v>
      </c>
      <c r="K283" s="65">
        <f>J283+K256</f>
        <v>3</v>
      </c>
      <c r="L283" s="65">
        <f>K283+L256</f>
        <v>4</v>
      </c>
      <c r="M283" s="65">
        <f>L283+M256</f>
        <v>4.25</v>
      </c>
      <c r="N283" s="45"/>
      <c r="O283" s="15"/>
    </row>
    <row r="284" spans="1:16">
      <c r="C284" s="74" t="s">
        <v>94</v>
      </c>
      <c r="D284" s="80"/>
      <c r="E284" s="97"/>
      <c r="F284" s="97"/>
      <c r="G284" s="97"/>
      <c r="H284" s="46">
        <f>H277</f>
        <v>0</v>
      </c>
      <c r="I284" s="46">
        <f t="shared" ref="I284:M284" si="103">I277</f>
        <v>70545.815807478779</v>
      </c>
      <c r="J284" s="46">
        <f t="shared" si="103"/>
        <v>71680.023836539985</v>
      </c>
      <c r="K284" s="46">
        <f t="shared" si="103"/>
        <v>74671.681113600964</v>
      </c>
      <c r="L284" s="46">
        <f t="shared" si="103"/>
        <v>77466.979674644404</v>
      </c>
      <c r="M284" s="46">
        <f t="shared" si="103"/>
        <v>19317.841423009522</v>
      </c>
      <c r="N284" s="45"/>
      <c r="O284" s="15"/>
    </row>
    <row r="285" spans="1:16">
      <c r="C285" s="74" t="s">
        <v>95</v>
      </c>
      <c r="D285" s="80"/>
      <c r="E285" s="80"/>
      <c r="F285" s="46"/>
      <c r="G285" s="46"/>
      <c r="H285" s="46">
        <f t="shared" ref="H285:M285" si="104">H284/(1+WACC)^H$283</f>
        <v>0</v>
      </c>
      <c r="I285" s="46">
        <f t="shared" si="104"/>
        <v>65660.662516268407</v>
      </c>
      <c r="J285" s="46">
        <f t="shared" si="104"/>
        <v>62096.359793171352</v>
      </c>
      <c r="K285" s="46">
        <f t="shared" si="104"/>
        <v>60208.516958441185</v>
      </c>
      <c r="L285" s="46">
        <f t="shared" si="104"/>
        <v>58137.001030896063</v>
      </c>
      <c r="M285" s="46">
        <f t="shared" si="104"/>
        <v>14239.774048688987</v>
      </c>
      <c r="N285" s="45"/>
      <c r="O285" s="15"/>
    </row>
    <row r="286" spans="1:16">
      <c r="C286" s="74" t="s">
        <v>68</v>
      </c>
      <c r="D286" s="46">
        <f>SUM(H285:M285)</f>
        <v>260342.31434746599</v>
      </c>
      <c r="E286" s="80"/>
      <c r="F286" s="46"/>
      <c r="G286" s="46"/>
      <c r="H286" s="46"/>
      <c r="I286" s="46"/>
      <c r="J286" s="46"/>
      <c r="K286" s="46"/>
      <c r="L286" s="46"/>
      <c r="M286" s="46"/>
      <c r="N286" s="45"/>
      <c r="O286" s="15"/>
    </row>
    <row r="287" spans="1:16" ht="21">
      <c r="D287" s="46"/>
      <c r="E287" s="123" t="str">
        <f>"All information above this line is in " &amp; E38 &amp; " year-ends."</f>
        <v>All information above this line is in June  year-ends.</v>
      </c>
      <c r="G287" s="46"/>
      <c r="H287" s="46"/>
      <c r="I287" s="46"/>
      <c r="J287" s="46"/>
      <c r="K287" s="46"/>
      <c r="L287" s="46"/>
      <c r="M287" s="46"/>
      <c r="N287" s="45"/>
      <c r="O287" s="15"/>
    </row>
    <row r="288" spans="1:16" ht="3" customHeight="1">
      <c r="A288" s="120"/>
      <c r="B288" s="120"/>
      <c r="C288" s="120"/>
      <c r="D288" s="121"/>
      <c r="E288" s="124"/>
      <c r="F288" s="120"/>
      <c r="G288" s="121"/>
      <c r="H288" s="121"/>
      <c r="I288" s="121"/>
      <c r="J288" s="121"/>
      <c r="K288" s="121"/>
      <c r="L288" s="121"/>
      <c r="M288" s="121"/>
      <c r="N288" s="122"/>
      <c r="O288" s="15"/>
    </row>
    <row r="289" spans="1:15" ht="21">
      <c r="D289" s="46"/>
      <c r="E289" s="123" t="str">
        <f>"All information below this line is in " &amp; E39 &amp; " year-ends."</f>
        <v>All information below this line is in September  year-ends.</v>
      </c>
      <c r="G289" s="46"/>
      <c r="H289" s="46"/>
      <c r="I289" s="46"/>
      <c r="J289" s="46"/>
      <c r="K289" s="46"/>
      <c r="L289" s="46"/>
      <c r="M289" s="46"/>
      <c r="N289" s="45"/>
      <c r="O289" s="15"/>
    </row>
    <row r="290" spans="1:15" ht="48.75" customHeight="1">
      <c r="C290" s="125" t="s">
        <v>235</v>
      </c>
      <c r="D290" s="46"/>
      <c r="E290" s="123"/>
      <c r="G290" s="46"/>
      <c r="H290" s="118" t="str">
        <f t="shared" ref="H290:M290" si="105">H14</f>
        <v>01/07/13 to 30/09/13</v>
      </c>
      <c r="I290" s="118" t="str">
        <f t="shared" si="105"/>
        <v>01/10/13 to 30/09/14</v>
      </c>
      <c r="J290" s="118" t="str">
        <f t="shared" si="105"/>
        <v>01/10/14 to 30/09/15</v>
      </c>
      <c r="K290" s="118" t="str">
        <f t="shared" si="105"/>
        <v>01/10/15 to 30/09/16</v>
      </c>
      <c r="L290" s="118" t="str">
        <f t="shared" si="105"/>
        <v>01/10/16 to 30/09/17</v>
      </c>
      <c r="M290" s="118" t="str">
        <f t="shared" si="105"/>
        <v/>
      </c>
      <c r="N290" s="45"/>
    </row>
    <row r="291" spans="1:15">
      <c r="D291" s="80"/>
      <c r="F291" s="54"/>
      <c r="N291" s="45"/>
    </row>
    <row r="292" spans="1:15" ht="21">
      <c r="C292" s="3" t="s">
        <v>70</v>
      </c>
      <c r="D292" s="80"/>
      <c r="F292" s="54"/>
      <c r="N292" s="45"/>
    </row>
    <row r="293" spans="1:15">
      <c r="D293" s="80"/>
      <c r="E293" s="10" t="str">
        <f t="shared" ref="E293:M293" si="106">E$21</f>
        <v>2009/10</v>
      </c>
      <c r="F293" s="10" t="str">
        <f t="shared" si="106"/>
        <v>2010/11</v>
      </c>
      <c r="G293" s="10" t="str">
        <f t="shared" si="106"/>
        <v>2011/12</v>
      </c>
      <c r="H293" s="10" t="str">
        <f t="shared" si="106"/>
        <v>2012/13</v>
      </c>
      <c r="I293" s="10" t="str">
        <f t="shared" si="106"/>
        <v>2013/14</v>
      </c>
      <c r="J293" s="10" t="str">
        <f t="shared" si="106"/>
        <v>2014/15</v>
      </c>
      <c r="K293" s="10" t="str">
        <f t="shared" si="106"/>
        <v>2015/16</v>
      </c>
      <c r="L293" s="10" t="str">
        <f t="shared" si="106"/>
        <v>2016/17</v>
      </c>
      <c r="M293" s="10" t="str">
        <f t="shared" si="106"/>
        <v>2017/18</v>
      </c>
      <c r="N293" s="45"/>
    </row>
    <row r="294" spans="1:15">
      <c r="C294" s="74" t="s">
        <v>264</v>
      </c>
      <c r="D294" s="29">
        <f>E41</f>
        <v>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45"/>
    </row>
    <row r="295" spans="1:15">
      <c r="C295" s="74" t="s">
        <v>35</v>
      </c>
      <c r="D295" s="29">
        <f>D286+D294</f>
        <v>260342.31434746599</v>
      </c>
      <c r="F295" s="55"/>
      <c r="G295" s="78"/>
      <c r="H295" s="78"/>
      <c r="I295" s="78"/>
      <c r="J295" s="78"/>
      <c r="K295" s="78"/>
      <c r="L295" s="78"/>
      <c r="M295" s="78"/>
      <c r="N295" s="45"/>
    </row>
    <row r="296" spans="1:15">
      <c r="C296" s="74" t="s">
        <v>203</v>
      </c>
      <c r="D296" s="29"/>
      <c r="F296" s="55"/>
      <c r="G296" s="78"/>
      <c r="H296" s="64">
        <f t="shared" ref="H296:M296" si="107">H51/12</f>
        <v>0.25</v>
      </c>
      <c r="I296" s="64">
        <f t="shared" si="107"/>
        <v>1</v>
      </c>
      <c r="J296" s="64">
        <f t="shared" si="107"/>
        <v>1</v>
      </c>
      <c r="K296" s="64">
        <f t="shared" si="107"/>
        <v>1</v>
      </c>
      <c r="L296" s="64">
        <f t="shared" si="107"/>
        <v>1</v>
      </c>
      <c r="M296" s="64">
        <f t="shared" si="107"/>
        <v>0</v>
      </c>
      <c r="N296" s="45"/>
    </row>
    <row r="297" spans="1:15">
      <c r="C297" s="74" t="s">
        <v>207</v>
      </c>
      <c r="D297" s="29"/>
      <c r="F297" s="55"/>
      <c r="G297" s="78"/>
      <c r="H297" s="116">
        <f>I297-1</f>
        <v>0.25</v>
      </c>
      <c r="I297" s="183">
        <f>IF($G$1 = 4,1,1.25)</f>
        <v>1.25</v>
      </c>
      <c r="J297" s="64">
        <f>I297+J296</f>
        <v>2.25</v>
      </c>
      <c r="K297" s="64">
        <f>J297+K296</f>
        <v>3.25</v>
      </c>
      <c r="L297" s="64">
        <f>K297+L296</f>
        <v>4.25</v>
      </c>
      <c r="M297" s="64">
        <f>L297+M296</f>
        <v>4.25</v>
      </c>
      <c r="N297" s="45"/>
    </row>
    <row r="298" spans="1:15">
      <c r="A298" s="110"/>
      <c r="C298" s="74" t="s">
        <v>102</v>
      </c>
      <c r="D298" s="80"/>
      <c r="F298" s="31"/>
      <c r="G298" s="31"/>
      <c r="H298" s="100">
        <f>H296*I298/((1+I$78)*(1+I$49)*(1-X_industry_wide))</f>
        <v>0.2453060360828313</v>
      </c>
      <c r="I298" s="184">
        <v>1</v>
      </c>
      <c r="J298" s="100">
        <f>J296*I298*(1+J$78)*(1+J$49)*(1-X_industry_wide)</f>
        <v>1.0247105086695898</v>
      </c>
      <c r="K298" s="31">
        <f>K296*J298*(1+K$78)*(1+K$49)*(1-X_industry_wide)</f>
        <v>1.052669881365724</v>
      </c>
      <c r="L298" s="100">
        <f>L296*K298*(1+L$78)*(1+L$49)*(1-X_industry_wide)</f>
        <v>1.081883913750227</v>
      </c>
      <c r="M298" s="100">
        <f>M296*L298*(1+M$78)*(1+M$49)*(1-X_industry_wide)</f>
        <v>0</v>
      </c>
      <c r="N298" s="70"/>
      <c r="O298" s="74" t="s">
        <v>422</v>
      </c>
    </row>
    <row r="299" spans="1:15">
      <c r="C299" s="74" t="s">
        <v>69</v>
      </c>
      <c r="D299" s="80"/>
      <c r="F299" s="57"/>
      <c r="G299" s="31"/>
      <c r="H299" s="31">
        <f t="shared" ref="H299:M299" si="108">H298/(1+WACC)^H$297</f>
        <v>0.2409443433460092</v>
      </c>
      <c r="I299" s="31">
        <f t="shared" si="108"/>
        <v>0.91420270174005624</v>
      </c>
      <c r="J299" s="31">
        <f t="shared" si="108"/>
        <v>0.87192211050555313</v>
      </c>
      <c r="K299" s="31">
        <f t="shared" si="108"/>
        <v>0.83368636440707267</v>
      </c>
      <c r="L299" s="31">
        <f t="shared" si="108"/>
        <v>0.79748985103297809</v>
      </c>
      <c r="M299" s="31">
        <f t="shared" si="108"/>
        <v>0</v>
      </c>
      <c r="N299" s="45"/>
      <c r="O299" s="74" t="s">
        <v>120</v>
      </c>
    </row>
    <row r="300" spans="1:15">
      <c r="C300" s="74" t="s">
        <v>57</v>
      </c>
      <c r="D300" s="65">
        <f>SUM(H299:M299)</f>
        <v>3.6582453710316694</v>
      </c>
      <c r="F300" s="57"/>
      <c r="G300" s="31"/>
      <c r="H300" s="31"/>
      <c r="I300" s="31"/>
      <c r="J300" s="31"/>
      <c r="K300" s="31"/>
      <c r="L300" s="31"/>
      <c r="M300" s="31"/>
      <c r="N300" s="45"/>
      <c r="O300" s="74" t="s">
        <v>121</v>
      </c>
    </row>
    <row r="301" spans="1:15">
      <c r="C301" s="74" t="s">
        <v>101</v>
      </c>
      <c r="D301" s="29">
        <f>D295/D300</f>
        <v>71165.89729300917</v>
      </c>
      <c r="F301" s="57"/>
      <c r="G301" s="31"/>
      <c r="H301" s="22"/>
      <c r="I301" s="22"/>
      <c r="J301" s="22"/>
      <c r="K301" s="22"/>
      <c r="L301" s="22"/>
      <c r="M301" s="22"/>
      <c r="N301" s="45"/>
    </row>
    <row r="302" spans="1:15">
      <c r="C302" s="74" t="s">
        <v>97</v>
      </c>
      <c r="D302" s="29"/>
      <c r="F302" s="57"/>
      <c r="G302" s="31"/>
      <c r="H302" s="22">
        <f t="shared" ref="H302:M302" si="109">$D301*H298</f>
        <v>17457.424169225975</v>
      </c>
      <c r="I302" s="22">
        <f t="shared" si="109"/>
        <v>71165.89729300917</v>
      </c>
      <c r="J302" s="22">
        <f t="shared" si="109"/>
        <v>72924.442815047209</v>
      </c>
      <c r="K302" s="22">
        <f t="shared" si="109"/>
        <v>74914.196660717265</v>
      </c>
      <c r="L302" s="22">
        <f t="shared" si="109"/>
        <v>76993.239488907449</v>
      </c>
      <c r="M302" s="22">
        <f t="shared" si="109"/>
        <v>0</v>
      </c>
      <c r="N302" s="45"/>
      <c r="O302" s="74" t="s">
        <v>90</v>
      </c>
    </row>
    <row r="303" spans="1:15">
      <c r="C303" s="74" t="s">
        <v>98</v>
      </c>
      <c r="D303" s="29"/>
      <c r="F303" s="57"/>
      <c r="G303" s="31"/>
      <c r="H303" s="56">
        <f t="shared" ref="H303:M303" si="110">H302/H72</f>
        <v>17423.134982188931</v>
      </c>
      <c r="I303" s="56">
        <f t="shared" si="110"/>
        <v>69124.938360762593</v>
      </c>
      <c r="J303" s="56">
        <f t="shared" si="110"/>
        <v>70833.050749411064</v>
      </c>
      <c r="K303" s="56">
        <f t="shared" si="110"/>
        <v>72765.740663636941</v>
      </c>
      <c r="L303" s="143">
        <f t="shared" si="110"/>
        <v>74785.15885148503</v>
      </c>
      <c r="M303" s="143">
        <f t="shared" si="110"/>
        <v>0</v>
      </c>
      <c r="N303" s="45"/>
      <c r="O303" s="74" t="s">
        <v>92</v>
      </c>
    </row>
    <row r="304" spans="1:15">
      <c r="C304" s="74" t="s">
        <v>99</v>
      </c>
      <c r="D304" s="80"/>
      <c r="F304" s="57"/>
      <c r="G304" s="31"/>
      <c r="H304" s="22">
        <f t="shared" ref="H304:M304" si="111">H302/(1+WACC)^H$297</f>
        <v>17147.020391893628</v>
      </c>
      <c r="I304" s="22">
        <f t="shared" si="111"/>
        <v>65060.055577024337</v>
      </c>
      <c r="J304" s="22">
        <f t="shared" si="111"/>
        <v>62051.119363741986</v>
      </c>
      <c r="K304" s="22">
        <f t="shared" si="111"/>
        <v>59330.03818397595</v>
      </c>
      <c r="L304" s="22">
        <f t="shared" si="111"/>
        <v>56754.080830830106</v>
      </c>
      <c r="M304" s="22">
        <f t="shared" si="111"/>
        <v>0</v>
      </c>
      <c r="N304" s="45"/>
      <c r="O304" s="74" t="s">
        <v>137</v>
      </c>
    </row>
    <row r="305" spans="3:15">
      <c r="C305" s="74" t="s">
        <v>100</v>
      </c>
      <c r="D305" s="29">
        <f>SUM(H304:M304)</f>
        <v>260342.31434746599</v>
      </c>
      <c r="F305" s="57"/>
      <c r="G305" s="31"/>
      <c r="H305" s="22"/>
      <c r="I305" s="22"/>
      <c r="J305" s="22"/>
      <c r="K305" s="22"/>
      <c r="L305" s="22"/>
      <c r="M305" s="22"/>
      <c r="N305" s="45"/>
      <c r="O305" s="74" t="s">
        <v>93</v>
      </c>
    </row>
    <row r="306" spans="3:15">
      <c r="C306" s="74" t="s">
        <v>91</v>
      </c>
      <c r="D306" s="68">
        <f>D295-D305</f>
        <v>0</v>
      </c>
      <c r="E306" s="56"/>
      <c r="F306" s="57"/>
      <c r="G306" s="31"/>
      <c r="H306" s="22"/>
      <c r="I306" s="22"/>
      <c r="J306" s="22"/>
      <c r="K306" s="22"/>
      <c r="L306" s="22"/>
      <c r="M306" s="22"/>
      <c r="N306" s="45"/>
    </row>
    <row r="307" spans="3:15">
      <c r="C307" s="74" t="s">
        <v>151</v>
      </c>
      <c r="F307" s="57"/>
      <c r="G307" s="31"/>
      <c r="H307" s="22"/>
      <c r="I307" s="22"/>
      <c r="J307" s="22"/>
      <c r="K307" s="22"/>
      <c r="L307" s="22"/>
      <c r="M307" s="22"/>
      <c r="N307" s="45"/>
    </row>
    <row r="308" spans="3:15">
      <c r="D308" s="46"/>
      <c r="F308" s="54"/>
      <c r="N308" s="45"/>
    </row>
    <row r="309" spans="3:15" ht="21">
      <c r="C309" s="3" t="s">
        <v>96</v>
      </c>
      <c r="D309" s="66"/>
      <c r="F309" s="56"/>
      <c r="G309" s="22"/>
      <c r="H309" s="22"/>
      <c r="I309" s="22"/>
      <c r="J309" s="22"/>
      <c r="K309" s="22"/>
      <c r="L309" s="22"/>
      <c r="M309" s="22"/>
      <c r="N309" s="45"/>
    </row>
    <row r="310" spans="3:15" ht="15" customHeight="1">
      <c r="C310" s="81" t="str">
        <f>IF($G$1=4,"Estimation of revenue in year-ending 30-6-2012","Estimation of revenue in year-ending 30-9-2011")</f>
        <v>Estimation of revenue in year-ending 30-9-2011</v>
      </c>
      <c r="D310" s="22"/>
      <c r="E310" s="22"/>
      <c r="F310" s="56"/>
      <c r="G310" s="22"/>
      <c r="H310" s="22"/>
      <c r="I310" s="22"/>
      <c r="J310" s="22"/>
      <c r="K310" s="22"/>
      <c r="L310" s="22"/>
      <c r="M310" s="22"/>
      <c r="N310" s="45"/>
    </row>
    <row r="311" spans="3:15" ht="15" customHeight="1">
      <c r="C311" s="74" t="str">
        <f>IF($G$1=4,"Price increase on 1 July 2011","Price increase on 1 October 2010")</f>
        <v>Price increase on 1 October 2010</v>
      </c>
      <c r="D311" s="59">
        <f>IF($G$1=4,G59,F60)</f>
        <v>1.890315052508762E-2</v>
      </c>
      <c r="F311" s="56"/>
      <c r="G311" s="22"/>
      <c r="H311" s="22"/>
      <c r="I311" s="22"/>
      <c r="J311" s="22"/>
      <c r="K311" s="22"/>
      <c r="L311" s="22"/>
      <c r="M311" s="22"/>
      <c r="N311" s="45"/>
    </row>
    <row r="312" spans="3:15" ht="15" customHeight="1">
      <c r="C312" s="74" t="str">
        <f>IF($G$1=4,"Constant price revenue growth to Y/E 30-6-2012","Constant price revenue growth to Y/E 30-9-2011")</f>
        <v>Constant price revenue growth to Y/E 30-9-2011</v>
      </c>
      <c r="D312" s="208">
        <f>IF($G$1=4,0,F49)</f>
        <v>-9.1802922156142674E-3</v>
      </c>
      <c r="E312" s="80"/>
      <c r="F312" s="209"/>
      <c r="G312" s="46"/>
      <c r="H312" s="46"/>
      <c r="I312" s="46"/>
      <c r="J312" s="46"/>
      <c r="K312" s="46"/>
      <c r="L312" s="46"/>
      <c r="M312" s="46"/>
      <c r="N312" s="45"/>
    </row>
    <row r="313" spans="3:15" ht="15" customHeight="1">
      <c r="C313" s="56"/>
      <c r="D313" s="209"/>
      <c r="E313" s="209"/>
      <c r="F313" s="209"/>
      <c r="G313" s="46"/>
      <c r="H313" s="46"/>
      <c r="I313" s="46"/>
      <c r="J313" s="46"/>
      <c r="K313" s="46"/>
      <c r="L313" s="46"/>
      <c r="M313" s="46"/>
      <c r="N313" s="45"/>
    </row>
    <row r="314" spans="3:15" ht="15" customHeight="1">
      <c r="C314" s="74" t="str">
        <f>IF($G$1=4,"Revenue growth to Y/E 30-6-2012","Revenue growth to Y/E 30-9-2011")</f>
        <v>Revenue growth to Y/E 30-9-2011</v>
      </c>
      <c r="D314" s="208">
        <f>(1+D311)*(1+D312)-1</f>
        <v>9.549321863857374E-3</v>
      </c>
      <c r="E314" s="80"/>
      <c r="F314" s="209"/>
      <c r="G314" s="46"/>
      <c r="H314" s="46"/>
      <c r="I314" s="46"/>
      <c r="J314" s="46"/>
      <c r="K314" s="46"/>
      <c r="L314" s="46"/>
      <c r="M314" s="46"/>
      <c r="N314" s="45"/>
    </row>
    <row r="315" spans="3:15" ht="15" customHeight="1">
      <c r="C315" s="74" t="str">
        <f>IF($G$1=4,"Proportion of BB Y/E 31-12-11 in AR Y/E 30-6-11","Proportion of BB Y/E 30-6-11 in AR Y/E 30-9-10")</f>
        <v>Proportion of BB Y/E 30-6-11 in AR Y/E 30-9-10</v>
      </c>
      <c r="D315" s="210">
        <f>IF($G$1=4,0.5,0.25)</f>
        <v>0.25</v>
      </c>
      <c r="E315" s="80"/>
      <c r="F315" s="209"/>
      <c r="G315" s="46"/>
      <c r="H315" s="46"/>
      <c r="I315" s="46"/>
      <c r="J315" s="46"/>
      <c r="K315" s="46"/>
      <c r="L315" s="46"/>
      <c r="M315" s="46"/>
      <c r="N315" s="45"/>
    </row>
    <row r="316" spans="3:15" ht="15" customHeight="1">
      <c r="C316" s="74" t="str">
        <f>IF($G$1=4,"Net revenue in information year ending 31-12-11","Net revenue in information year ending 30-6-11")</f>
        <v>Net revenue in information year ending 30-6-11</v>
      </c>
      <c r="D316" s="209">
        <f>F$23-F$24-F$25</f>
        <v>76773.890150000007</v>
      </c>
      <c r="E316" s="80"/>
      <c r="F316" s="209"/>
      <c r="G316" s="46"/>
      <c r="H316" s="46"/>
      <c r="I316" s="46"/>
      <c r="J316" s="46"/>
      <c r="K316" s="46"/>
      <c r="L316" s="46"/>
      <c r="M316" s="46"/>
      <c r="N316" s="45"/>
    </row>
    <row r="317" spans="3:15" ht="15" customHeight="1">
      <c r="C317" s="74" t="str">
        <f>IF($G$1=4,"Estimated income in Y/E 30-6-2011","Estimated income in Y/E 30-9-2010")</f>
        <v>Estimated income in Y/E 30-9-2010</v>
      </c>
      <c r="D317" s="211">
        <f>D316/(1+D314*(1-D315))</f>
        <v>76227.946254645183</v>
      </c>
      <c r="E317" s="80"/>
      <c r="F317" s="209"/>
      <c r="G317" s="46"/>
      <c r="H317" s="46"/>
      <c r="I317" s="46"/>
      <c r="J317" s="46"/>
      <c r="K317" s="46"/>
      <c r="L317" s="46"/>
      <c r="M317" s="46"/>
      <c r="N317" s="45"/>
    </row>
    <row r="318" spans="3:15" ht="15" customHeight="1">
      <c r="C318" s="74" t="str">
        <f>IF($G$1=4,"Estimated income in Y/E 30-6-2012","Estimated income in Y/E 30-9-2011")</f>
        <v>Estimated income in Y/E 30-9-2011</v>
      </c>
      <c r="D318" s="211">
        <f>D317*(1+D314)</f>
        <v>76955.871448451609</v>
      </c>
      <c r="E318" s="80"/>
      <c r="F318" s="209"/>
      <c r="G318" s="46"/>
      <c r="H318" s="46"/>
      <c r="I318" s="46"/>
      <c r="J318" s="46"/>
      <c r="K318" s="46"/>
      <c r="L318" s="46"/>
      <c r="M318" s="46"/>
      <c r="N318" s="45"/>
    </row>
    <row r="319" spans="3:15" ht="15" customHeight="1">
      <c r="C319" s="74" t="str">
        <f>"Check: (" &amp; TEXT(D315,"0%") &amp; " of " &amp; TEXT(D317,"0,000") &amp; " plus " &amp; TEXT(1-D315,"0%") &amp;  " of " &amp; TEXT(D318,"0,000") &amp; ") less " &amp; TEXT(D316,"0,000")</f>
        <v>Check: (25% of 76,228 plus 75% of 76,956) less 76,774</v>
      </c>
      <c r="D319" s="211">
        <f>D315*D317+(1-D315)*D318-D316</f>
        <v>0</v>
      </c>
      <c r="E319" s="80" t="s">
        <v>270</v>
      </c>
      <c r="F319" s="212"/>
      <c r="G319" s="46"/>
      <c r="H319" s="46"/>
      <c r="I319" s="46"/>
      <c r="J319" s="46"/>
      <c r="K319" s="46"/>
      <c r="L319" s="46"/>
      <c r="M319" s="46"/>
      <c r="N319" s="45"/>
    </row>
    <row r="320" spans="3:15" ht="15" customHeight="1">
      <c r="D320" s="66"/>
      <c r="E320" s="80"/>
      <c r="F320" s="209"/>
      <c r="G320" s="46"/>
      <c r="H320" s="46"/>
      <c r="I320" s="46"/>
      <c r="J320" s="46"/>
      <c r="K320" s="46"/>
      <c r="L320" s="46"/>
      <c r="M320" s="46"/>
      <c r="N320" s="45"/>
    </row>
    <row r="321" spans="1:17">
      <c r="A321" s="22"/>
      <c r="B321" s="22"/>
      <c r="C321" s="81" t="s">
        <v>232</v>
      </c>
      <c r="D321" s="46"/>
      <c r="E321" s="213" t="str">
        <f t="shared" ref="E321:M321" si="112">E$21</f>
        <v>2009/10</v>
      </c>
      <c r="F321" s="213" t="str">
        <f t="shared" si="112"/>
        <v>2010/11</v>
      </c>
      <c r="G321" s="213" t="str">
        <f t="shared" si="112"/>
        <v>2011/12</v>
      </c>
      <c r="H321" s="213" t="str">
        <f t="shared" si="112"/>
        <v>2012/13</v>
      </c>
      <c r="I321" s="213" t="str">
        <f t="shared" si="112"/>
        <v>2013/14</v>
      </c>
      <c r="J321" s="213" t="str">
        <f t="shared" si="112"/>
        <v>2014/15</v>
      </c>
      <c r="K321" s="213" t="str">
        <f t="shared" si="112"/>
        <v>2015/16</v>
      </c>
      <c r="L321" s="213" t="str">
        <f t="shared" si="112"/>
        <v>2016/17</v>
      </c>
      <c r="M321" s="213" t="str">
        <f t="shared" si="112"/>
        <v>2017/18</v>
      </c>
      <c r="N321" s="45"/>
    </row>
    <row r="322" spans="1:17">
      <c r="A322" s="22"/>
      <c r="B322" s="22"/>
      <c r="C322" s="74" t="s">
        <v>297</v>
      </c>
      <c r="D322" s="46"/>
      <c r="E322" s="198"/>
      <c r="F322" s="208"/>
      <c r="G322" s="208">
        <f t="shared" ref="G322:M322" si="113">IF($G$1=4,G$59,G60)</f>
        <v>2.9088410444342738E-2</v>
      </c>
      <c r="H322" s="208">
        <f t="shared" si="113"/>
        <v>3.2940129089695125E-2</v>
      </c>
      <c r="I322" s="208">
        <f t="shared" si="113"/>
        <v>1.3574660633484115E-2</v>
      </c>
      <c r="J322" s="208">
        <f t="shared" si="113"/>
        <v>1.9119615478218499E-2</v>
      </c>
      <c r="K322" s="208">
        <f t="shared" si="113"/>
        <v>2.1680202356610057E-2</v>
      </c>
      <c r="L322" s="208">
        <f t="shared" si="113"/>
        <v>2.2144831398562603E-2</v>
      </c>
      <c r="M322" s="208">
        <f t="shared" si="113"/>
        <v>2.1072415699281422E-2</v>
      </c>
      <c r="N322" s="45"/>
    </row>
    <row r="323" spans="1:17">
      <c r="A323" s="22"/>
      <c r="B323" s="22"/>
      <c r="C323" s="74" t="s">
        <v>150</v>
      </c>
      <c r="D323" s="46"/>
      <c r="E323" s="214"/>
      <c r="F323" s="208"/>
      <c r="G323" s="208">
        <f>G49</f>
        <v>5.4860029249341269E-3</v>
      </c>
      <c r="H323" s="208">
        <f t="shared" ref="H323:M323" si="114">H49</f>
        <v>5.4860029249341269E-3</v>
      </c>
      <c r="I323" s="208">
        <f t="shared" si="114"/>
        <v>5.4860029249341269E-3</v>
      </c>
      <c r="J323" s="208">
        <f t="shared" si="114"/>
        <v>5.4860029249341269E-3</v>
      </c>
      <c r="K323" s="208">
        <f t="shared" si="114"/>
        <v>5.4860029249341269E-3</v>
      </c>
      <c r="L323" s="208">
        <f t="shared" si="114"/>
        <v>5.4860029249341269E-3</v>
      </c>
      <c r="M323" s="208">
        <f t="shared" si="114"/>
        <v>5.4860029249341269E-3</v>
      </c>
      <c r="N323" s="59"/>
      <c r="O323" s="59"/>
      <c r="P323" s="59"/>
    </row>
    <row r="324" spans="1:17">
      <c r="A324" s="22"/>
      <c r="B324" s="22"/>
      <c r="C324" s="80" t="s">
        <v>236</v>
      </c>
      <c r="D324" s="80"/>
      <c r="E324" s="80"/>
      <c r="F324" s="185">
        <f>IF($G$1=4,D317,D318)</f>
        <v>76955.871448451609</v>
      </c>
      <c r="G324" s="209">
        <f>F324*(1+G322)*IF($G$1=4,1,(1+G323))</f>
        <v>79628.856108176566</v>
      </c>
      <c r="H324" s="209">
        <f t="shared" ref="H324:M324" si="115">G324*(1+H322)*IF($G$1=4,1,(1+H323))</f>
        <v>82703.074747445207</v>
      </c>
      <c r="I324" s="209">
        <f t="shared" si="115"/>
        <v>84285.609180362007</v>
      </c>
      <c r="J324" s="209">
        <f t="shared" si="115"/>
        <v>86368.349456734999</v>
      </c>
      <c r="K324" s="209">
        <f t="shared" si="115"/>
        <v>88724.92221672945</v>
      </c>
      <c r="L324" s="209">
        <f t="shared" si="115"/>
        <v>91187.244732872117</v>
      </c>
      <c r="M324" s="209">
        <f t="shared" si="115"/>
        <v>93619.575301200675</v>
      </c>
      <c r="N324" s="45"/>
      <c r="O324" s="80"/>
    </row>
    <row r="325" spans="1:17">
      <c r="A325" s="22"/>
      <c r="B325" s="22"/>
      <c r="C325" s="87"/>
      <c r="D325" s="87"/>
      <c r="E325" s="87"/>
      <c r="F325" s="87"/>
      <c r="G325" s="209"/>
      <c r="H325" s="209"/>
      <c r="I325" s="209"/>
      <c r="J325" s="209"/>
      <c r="K325" s="209"/>
      <c r="L325" s="209"/>
      <c r="M325" s="209"/>
      <c r="N325" s="45"/>
      <c r="O325" s="80"/>
    </row>
    <row r="326" spans="1:17">
      <c r="A326" s="22"/>
      <c r="B326" s="22"/>
      <c r="C326" s="74" t="s">
        <v>202</v>
      </c>
      <c r="D326" s="46">
        <f>I324</f>
        <v>84285.609180362007</v>
      </c>
      <c r="F326" s="56"/>
      <c r="G326" s="22"/>
      <c r="H326" s="22"/>
      <c r="I326" s="22"/>
      <c r="J326" s="22"/>
      <c r="K326" s="22"/>
      <c r="L326" s="22"/>
      <c r="M326" s="22"/>
      <c r="N326" s="45"/>
      <c r="O326" s="80"/>
    </row>
    <row r="327" spans="1:17">
      <c r="B327" s="22"/>
      <c r="C327" s="74" t="s">
        <v>201</v>
      </c>
      <c r="D327" s="46">
        <f>I303</f>
        <v>69124.938360762593</v>
      </c>
      <c r="F327" s="89"/>
      <c r="G327" s="22"/>
      <c r="K327" s="22"/>
      <c r="L327" s="22"/>
      <c r="M327" s="22"/>
      <c r="N327" s="45"/>
    </row>
    <row r="328" spans="1:17">
      <c r="B328" s="22"/>
      <c r="C328" s="74" t="s">
        <v>147</v>
      </c>
      <c r="D328" s="35">
        <f>(D327-D326)/D326</f>
        <v>-0.17987258995966005</v>
      </c>
      <c r="F328" s="56"/>
      <c r="G328" s="22"/>
      <c r="K328" s="22"/>
      <c r="L328" s="22"/>
      <c r="M328" s="22"/>
      <c r="N328" s="22"/>
      <c r="O328" s="22"/>
      <c r="P328" s="22"/>
      <c r="Q328" s="22"/>
    </row>
    <row r="329" spans="1:17">
      <c r="B329" s="22"/>
      <c r="D329" s="80"/>
      <c r="F329" s="56"/>
      <c r="G329" s="22"/>
      <c r="K329" s="22"/>
      <c r="L329" s="22"/>
      <c r="M329" s="22"/>
      <c r="N329" s="45"/>
    </row>
    <row r="330" spans="1:17">
      <c r="B330" s="22"/>
      <c r="C330" s="74" t="s">
        <v>295</v>
      </c>
      <c r="D330" s="80"/>
      <c r="F330" s="56"/>
      <c r="G330" s="22"/>
      <c r="H330" s="22">
        <f>H296*H324</f>
        <v>20675.768686861302</v>
      </c>
      <c r="I330" s="22">
        <f t="shared" ref="I330:M330" si="116">I296*I324</f>
        <v>84285.609180362007</v>
      </c>
      <c r="J330" s="22">
        <f t="shared" si="116"/>
        <v>86368.349456734999</v>
      </c>
      <c r="K330" s="22">
        <f t="shared" si="116"/>
        <v>88724.92221672945</v>
      </c>
      <c r="L330" s="22">
        <f t="shared" si="116"/>
        <v>91187.244732872117</v>
      </c>
      <c r="M330" s="22">
        <f t="shared" si="116"/>
        <v>0</v>
      </c>
      <c r="N330" s="45"/>
    </row>
    <row r="331" spans="1:17">
      <c r="C331" s="74" t="s">
        <v>296</v>
      </c>
      <c r="H331" s="22">
        <f t="shared" ref="H331:M331" si="117">H330*H72</f>
        <v>20716.459142417272</v>
      </c>
      <c r="I331" s="22">
        <f t="shared" si="117"/>
        <v>86774.196815966323</v>
      </c>
      <c r="J331" s="22">
        <f t="shared" si="117"/>
        <v>88918.431358683956</v>
      </c>
      <c r="K331" s="22">
        <f t="shared" si="117"/>
        <v>91344.583467869248</v>
      </c>
      <c r="L331" s="22">
        <f t="shared" si="117"/>
        <v>93879.607663790142</v>
      </c>
      <c r="M331" s="22">
        <f t="shared" si="117"/>
        <v>0</v>
      </c>
      <c r="N331" s="45"/>
    </row>
    <row r="332" spans="1:17">
      <c r="C332" s="74" t="s">
        <v>285</v>
      </c>
      <c r="D332" s="80"/>
      <c r="F332" s="56"/>
      <c r="G332" s="22"/>
      <c r="H332" s="22">
        <f t="shared" ref="H332:M332" si="118">H331/(1+WACC)^H297</f>
        <v>20348.107711620672</v>
      </c>
      <c r="I332" s="22">
        <f t="shared" si="118"/>
        <v>79329.205170479807</v>
      </c>
      <c r="J332" s="22">
        <f t="shared" si="118"/>
        <v>75660.340825201609</v>
      </c>
      <c r="K332" s="22">
        <f t="shared" si="118"/>
        <v>72342.46466784674</v>
      </c>
      <c r="L332" s="22">
        <f t="shared" si="118"/>
        <v>69201.541292271315</v>
      </c>
      <c r="M332" s="22">
        <f t="shared" si="118"/>
        <v>0</v>
      </c>
      <c r="N332" s="45"/>
    </row>
    <row r="333" spans="1:17">
      <c r="C333" s="74" t="s">
        <v>286</v>
      </c>
      <c r="D333" s="80"/>
      <c r="F333" s="56">
        <f>SUM(H332:M332)</f>
        <v>316881.65966742014</v>
      </c>
      <c r="G333" s="22"/>
      <c r="K333" s="22"/>
      <c r="L333" s="22"/>
      <c r="M333" s="22"/>
      <c r="N333" s="45"/>
    </row>
    <row r="334" spans="1:17">
      <c r="D334" s="80"/>
      <c r="F334" s="56"/>
      <c r="G334" s="22"/>
      <c r="K334" s="22"/>
      <c r="L334" s="22"/>
      <c r="M334" s="22"/>
      <c r="N334" s="45"/>
    </row>
    <row r="335" spans="1:17" ht="21">
      <c r="C335" s="3" t="s">
        <v>283</v>
      </c>
      <c r="D335" s="80"/>
      <c r="F335" s="56"/>
      <c r="G335" s="22"/>
      <c r="K335" s="22"/>
      <c r="L335" s="22"/>
      <c r="M335" s="22"/>
      <c r="N335" s="45"/>
    </row>
    <row r="336" spans="1:17">
      <c r="C336" s="74" t="s">
        <v>282</v>
      </c>
      <c r="D336" s="80"/>
      <c r="E336" s="22">
        <f>H303+I303</f>
        <v>86548.073342951524</v>
      </c>
      <c r="F336" s="56"/>
      <c r="G336" s="22"/>
      <c r="K336" s="22"/>
      <c r="L336" s="22"/>
      <c r="M336" s="22"/>
      <c r="N336" s="45"/>
    </row>
    <row r="337" spans="3:14" ht="30">
      <c r="C337" s="54" t="s">
        <v>287</v>
      </c>
      <c r="D337" s="80"/>
      <c r="E337" s="22">
        <f>F333-D286</f>
        <v>56539.345319954155</v>
      </c>
      <c r="F337" s="56"/>
      <c r="G337" s="22"/>
      <c r="K337" s="22"/>
      <c r="L337" s="22"/>
      <c r="M337" s="22"/>
      <c r="N337" s="45"/>
    </row>
    <row r="338" spans="3:14">
      <c r="D338" s="80"/>
      <c r="F338" s="56"/>
      <c r="G338" s="22"/>
      <c r="K338" s="22"/>
      <c r="L338" s="22"/>
      <c r="M338" s="22"/>
      <c r="N338" s="45"/>
    </row>
    <row r="339" spans="3:14" ht="21">
      <c r="C339" s="3" t="s">
        <v>298</v>
      </c>
      <c r="D339" s="80"/>
      <c r="F339" s="56"/>
      <c r="G339" s="22"/>
      <c r="K339" s="22"/>
      <c r="L339" s="22"/>
      <c r="M339" s="22"/>
      <c r="N339" s="45"/>
    </row>
    <row r="340" spans="3:14">
      <c r="C340" s="74" t="s">
        <v>299</v>
      </c>
      <c r="D340" s="80"/>
      <c r="F340" s="56"/>
      <c r="G340" s="22"/>
      <c r="H340" s="22">
        <f>IF(H303=0,0,H303/H296)</f>
        <v>69692.539928755723</v>
      </c>
      <c r="I340" s="22">
        <f>IF(I303=0,0,I303/I296)</f>
        <v>69124.938360762593</v>
      </c>
      <c r="K340" s="22"/>
      <c r="L340" s="22"/>
      <c r="M340" s="22"/>
      <c r="N340" s="45"/>
    </row>
    <row r="341" spans="3:14">
      <c r="C341" s="74" t="s">
        <v>300</v>
      </c>
      <c r="E341" s="31">
        <f>IF(G1=4,(1+H49)*(1+I49),(1+G49)*(1+H49))</f>
        <v>1.0110021020779607</v>
      </c>
    </row>
    <row r="342" spans="3:14">
      <c r="E342" s="60"/>
    </row>
    <row r="343" spans="3:14">
      <c r="E343" s="60"/>
    </row>
    <row r="344" spans="3:14">
      <c r="E344" s="60"/>
    </row>
    <row r="345" spans="3:14">
      <c r="E345" s="60"/>
    </row>
    <row r="346" spans="3:14">
      <c r="E346" s="60"/>
    </row>
    <row r="347" spans="3:14">
      <c r="E347" s="60"/>
    </row>
    <row r="348" spans="3:14">
      <c r="E348" s="60"/>
    </row>
    <row r="349" spans="3:14">
      <c r="E349" s="60"/>
    </row>
    <row r="350" spans="3:14">
      <c r="E350" s="60"/>
    </row>
    <row r="351" spans="3:14">
      <c r="E351" s="60"/>
    </row>
    <row r="352" spans="3:14">
      <c r="E352" s="60"/>
    </row>
    <row r="353" spans="5:5">
      <c r="E353" s="60"/>
    </row>
    <row r="354" spans="5:5">
      <c r="E354" s="60"/>
    </row>
    <row r="355" spans="5:5">
      <c r="E355" s="60"/>
    </row>
    <row r="356" spans="5:5">
      <c r="E356" s="60"/>
    </row>
    <row r="357" spans="5:5">
      <c r="E357" s="60"/>
    </row>
    <row r="358" spans="5:5">
      <c r="E358" s="60"/>
    </row>
    <row r="359" spans="5:5">
      <c r="E359" s="60"/>
    </row>
    <row r="360" spans="5:5">
      <c r="E360" s="60"/>
    </row>
    <row r="361" spans="5:5">
      <c r="E361" s="60"/>
    </row>
    <row r="362" spans="5:5">
      <c r="E362" s="60"/>
    </row>
    <row r="363" spans="5:5">
      <c r="E363" s="60"/>
    </row>
    <row r="364" spans="5:5">
      <c r="E364" s="60"/>
    </row>
    <row r="365" spans="5:5">
      <c r="E365" s="60"/>
    </row>
    <row r="366" spans="5:5">
      <c r="E366" s="60"/>
    </row>
    <row r="367" spans="5:5">
      <c r="E367" s="60"/>
    </row>
    <row r="368" spans="5:5">
      <c r="E368" s="60"/>
    </row>
    <row r="369" spans="5:5">
      <c r="E369" s="60"/>
    </row>
    <row r="370" spans="5:5">
      <c r="E370" s="60"/>
    </row>
    <row r="371" spans="5:5">
      <c r="E371" s="60"/>
    </row>
    <row r="372" spans="5:5">
      <c r="E372" s="60"/>
    </row>
    <row r="373" spans="5:5">
      <c r="E373" s="60"/>
    </row>
    <row r="374" spans="5:5">
      <c r="E374" s="60"/>
    </row>
    <row r="375" spans="5:5">
      <c r="E375" s="60"/>
    </row>
    <row r="376" spans="5:5">
      <c r="E376" s="60"/>
    </row>
    <row r="377" spans="5:5">
      <c r="E377" s="60"/>
    </row>
    <row r="378" spans="5:5">
      <c r="E378" s="60"/>
    </row>
    <row r="379" spans="5:5">
      <c r="E379" s="60"/>
    </row>
    <row r="380" spans="5:5">
      <c r="E380" s="60"/>
    </row>
    <row r="381" spans="5:5">
      <c r="E381" s="60"/>
    </row>
    <row r="382" spans="5:5">
      <c r="E382" s="60"/>
    </row>
    <row r="383" spans="5:5">
      <c r="E383" s="60"/>
    </row>
    <row r="384" spans="5:5">
      <c r="E384" s="60"/>
    </row>
    <row r="385" spans="5:5">
      <c r="E385" s="60"/>
    </row>
    <row r="386" spans="5:5">
      <c r="E386" s="60"/>
    </row>
    <row r="387" spans="5:5">
      <c r="E387" s="60"/>
    </row>
    <row r="388" spans="5:5">
      <c r="E388" s="60"/>
    </row>
    <row r="389" spans="5:5">
      <c r="E389" s="60"/>
    </row>
    <row r="390" spans="5:5">
      <c r="E390" s="60"/>
    </row>
    <row r="391" spans="5:5">
      <c r="E391" s="60"/>
    </row>
    <row r="392" spans="5:5">
      <c r="E392" s="60"/>
    </row>
    <row r="393" spans="5:5">
      <c r="E393" s="60"/>
    </row>
    <row r="394" spans="5:5">
      <c r="E394" s="60"/>
    </row>
    <row r="395" spans="5:5">
      <c r="E395" s="60"/>
    </row>
    <row r="396" spans="5:5">
      <c r="E396" s="60"/>
    </row>
    <row r="397" spans="5:5">
      <c r="E397" s="60"/>
    </row>
    <row r="398" spans="5:5">
      <c r="E398" s="60"/>
    </row>
    <row r="399" spans="5:5">
      <c r="E399" s="60"/>
    </row>
    <row r="400" spans="5:5">
      <c r="E400" s="60"/>
    </row>
    <row r="401" spans="5:5">
      <c r="E401" s="60"/>
    </row>
    <row r="402" spans="5:5">
      <c r="E402" s="60"/>
    </row>
    <row r="403" spans="5:5">
      <c r="E403" s="60"/>
    </row>
    <row r="404" spans="5:5">
      <c r="E404" s="60"/>
    </row>
    <row r="405" spans="5:5">
      <c r="E405" s="60"/>
    </row>
    <row r="406" spans="5:5">
      <c r="E406" s="60"/>
    </row>
    <row r="407" spans="5:5">
      <c r="E407" s="60"/>
    </row>
    <row r="408" spans="5:5">
      <c r="E408" s="60"/>
    </row>
    <row r="409" spans="5:5">
      <c r="E409" s="60"/>
    </row>
    <row r="410" spans="5:5">
      <c r="E410" s="60"/>
    </row>
    <row r="411" spans="5:5">
      <c r="E411" s="60"/>
    </row>
    <row r="412" spans="5:5">
      <c r="E412" s="60"/>
    </row>
    <row r="413" spans="5:5">
      <c r="E413" s="60"/>
    </row>
    <row r="414" spans="5:5">
      <c r="E414" s="60"/>
    </row>
    <row r="415" spans="5:5">
      <c r="E415" s="60"/>
    </row>
    <row r="416" spans="5:5">
      <c r="E416" s="60"/>
    </row>
    <row r="417" spans="5:5">
      <c r="E417" s="60"/>
    </row>
    <row r="418" spans="5:5">
      <c r="E418" s="60"/>
    </row>
    <row r="419" spans="5:5">
      <c r="E419" s="60"/>
    </row>
    <row r="420" spans="5:5">
      <c r="E420" s="60"/>
    </row>
    <row r="421" spans="5:5">
      <c r="E421" s="60"/>
    </row>
    <row r="422" spans="5:5">
      <c r="E422" s="60"/>
    </row>
    <row r="423" spans="5:5">
      <c r="E423" s="60"/>
    </row>
    <row r="424" spans="5:5">
      <c r="E424" s="60"/>
    </row>
    <row r="425" spans="5:5">
      <c r="E425" s="60"/>
    </row>
    <row r="426" spans="5:5">
      <c r="E426" s="60"/>
    </row>
    <row r="427" spans="5:5">
      <c r="E427" s="60"/>
    </row>
    <row r="428" spans="5:5">
      <c r="E428" s="60"/>
    </row>
    <row r="429" spans="5:5">
      <c r="E429" s="60"/>
    </row>
    <row r="430" spans="5:5">
      <c r="E430" s="60"/>
    </row>
    <row r="431" spans="5:5">
      <c r="E431" s="60"/>
    </row>
    <row r="432" spans="5:5">
      <c r="E432" s="60"/>
    </row>
    <row r="433" spans="5:5">
      <c r="E433" s="60"/>
    </row>
    <row r="434" spans="5:5">
      <c r="E434" s="60"/>
    </row>
    <row r="435" spans="5:5">
      <c r="E435" s="60"/>
    </row>
    <row r="436" spans="5:5">
      <c r="E436" s="60"/>
    </row>
    <row r="437" spans="5:5">
      <c r="E437" s="60"/>
    </row>
    <row r="438" spans="5:5">
      <c r="E438" s="60"/>
    </row>
    <row r="439" spans="5:5">
      <c r="E439" s="60"/>
    </row>
    <row r="440" spans="5:5">
      <c r="E440" s="60"/>
    </row>
    <row r="441" spans="5:5">
      <c r="E441" s="60"/>
    </row>
    <row r="442" spans="5:5">
      <c r="E442" s="60"/>
    </row>
    <row r="443" spans="5:5">
      <c r="E443" s="60"/>
    </row>
    <row r="444" spans="5:5">
      <c r="E444" s="60"/>
    </row>
    <row r="445" spans="5:5">
      <c r="E445" s="60"/>
    </row>
    <row r="446" spans="5:5">
      <c r="E446" s="60"/>
    </row>
    <row r="447" spans="5:5">
      <c r="E447" s="60"/>
    </row>
    <row r="448" spans="5:5">
      <c r="E448" s="60"/>
    </row>
    <row r="449" spans="5:5">
      <c r="E449" s="60"/>
    </row>
    <row r="450" spans="5:5">
      <c r="E450" s="60"/>
    </row>
    <row r="451" spans="5:5">
      <c r="E451" s="60"/>
    </row>
    <row r="452" spans="5:5">
      <c r="E452" s="60"/>
    </row>
    <row r="453" spans="5:5">
      <c r="E453" s="60"/>
    </row>
    <row r="454" spans="5:5">
      <c r="E454" s="60"/>
    </row>
    <row r="455" spans="5:5">
      <c r="E455" s="60"/>
    </row>
    <row r="456" spans="5:5">
      <c r="E456" s="60"/>
    </row>
    <row r="457" spans="5:5">
      <c r="E457" s="60"/>
    </row>
    <row r="458" spans="5:5">
      <c r="E458" s="60"/>
    </row>
    <row r="459" spans="5:5">
      <c r="E459" s="60"/>
    </row>
    <row r="460" spans="5:5">
      <c r="E460" s="60"/>
    </row>
    <row r="461" spans="5:5">
      <c r="E461" s="60"/>
    </row>
    <row r="462" spans="5:5">
      <c r="E462" s="60"/>
    </row>
    <row r="463" spans="5:5">
      <c r="E463" s="60"/>
    </row>
    <row r="464" spans="5:5">
      <c r="E464" s="60"/>
    </row>
    <row r="465" spans="5:5">
      <c r="E465" s="60"/>
    </row>
    <row r="466" spans="5:5">
      <c r="E466" s="60"/>
    </row>
    <row r="467" spans="5:5">
      <c r="E467" s="60"/>
    </row>
    <row r="468" spans="5:5">
      <c r="E468" s="60"/>
    </row>
    <row r="469" spans="5:5">
      <c r="E469" s="60"/>
    </row>
    <row r="470" spans="5:5">
      <c r="E470" s="60"/>
    </row>
    <row r="471" spans="5:5">
      <c r="E471" s="60"/>
    </row>
    <row r="472" spans="5:5">
      <c r="E472" s="60"/>
    </row>
    <row r="473" spans="5:5">
      <c r="E473" s="60"/>
    </row>
    <row r="474" spans="5:5">
      <c r="E474" s="60"/>
    </row>
    <row r="475" spans="5:5">
      <c r="E475" s="60"/>
    </row>
    <row r="476" spans="5:5">
      <c r="E476" s="60"/>
    </row>
    <row r="477" spans="5:5">
      <c r="E477" s="60"/>
    </row>
    <row r="478" spans="5:5">
      <c r="E478" s="60"/>
    </row>
    <row r="479" spans="5:5">
      <c r="E479" s="60"/>
    </row>
    <row r="480" spans="5:5">
      <c r="E480" s="60"/>
    </row>
    <row r="481" spans="5:5">
      <c r="E481" s="60"/>
    </row>
    <row r="482" spans="5:5">
      <c r="E482" s="60"/>
    </row>
    <row r="483" spans="5:5">
      <c r="E483" s="60"/>
    </row>
    <row r="484" spans="5:5">
      <c r="E484" s="60"/>
    </row>
    <row r="485" spans="5:5">
      <c r="E485" s="60"/>
    </row>
    <row r="486" spans="5:5">
      <c r="E486" s="60"/>
    </row>
    <row r="487" spans="5:5">
      <c r="E487" s="60"/>
    </row>
    <row r="488" spans="5:5">
      <c r="E488" s="60"/>
    </row>
    <row r="489" spans="5:5">
      <c r="E489" s="60"/>
    </row>
    <row r="490" spans="5:5">
      <c r="E490" s="60"/>
    </row>
    <row r="491" spans="5:5">
      <c r="E491" s="60"/>
    </row>
    <row r="492" spans="5:5">
      <c r="E492" s="60"/>
    </row>
    <row r="493" spans="5:5">
      <c r="E493" s="60"/>
    </row>
    <row r="494" spans="5:5">
      <c r="E494" s="60"/>
    </row>
    <row r="495" spans="5:5">
      <c r="E495" s="60"/>
    </row>
    <row r="496" spans="5:5">
      <c r="E496" s="60"/>
    </row>
    <row r="497" spans="5:5">
      <c r="E497" s="60"/>
    </row>
    <row r="498" spans="5:5">
      <c r="E498" s="60"/>
    </row>
    <row r="499" spans="5:5">
      <c r="E499" s="60"/>
    </row>
    <row r="500" spans="5:5">
      <c r="E500" s="60"/>
    </row>
    <row r="501" spans="5:5">
      <c r="E501" s="60"/>
    </row>
    <row r="502" spans="5:5">
      <c r="E502" s="60"/>
    </row>
    <row r="503" spans="5:5">
      <c r="E503" s="60"/>
    </row>
    <row r="504" spans="5:5">
      <c r="E504" s="60"/>
    </row>
    <row r="505" spans="5:5">
      <c r="E505" s="60"/>
    </row>
    <row r="506" spans="5:5">
      <c r="E506" s="60"/>
    </row>
    <row r="507" spans="5:5">
      <c r="E507" s="60"/>
    </row>
    <row r="508" spans="5:5">
      <c r="E508" s="60"/>
    </row>
    <row r="509" spans="5:5">
      <c r="E509" s="60"/>
    </row>
    <row r="510" spans="5:5">
      <c r="E510" s="60"/>
    </row>
    <row r="511" spans="5:5">
      <c r="E511" s="60"/>
    </row>
    <row r="512" spans="5:5">
      <c r="E512" s="60"/>
    </row>
    <row r="513" spans="5:5">
      <c r="E513" s="60"/>
    </row>
    <row r="514" spans="5:5">
      <c r="E514" s="60"/>
    </row>
    <row r="515" spans="5:5">
      <c r="E515" s="60"/>
    </row>
    <row r="516" spans="5:5">
      <c r="E516" s="60"/>
    </row>
    <row r="517" spans="5:5">
      <c r="E517" s="60"/>
    </row>
    <row r="518" spans="5:5">
      <c r="E518" s="60"/>
    </row>
    <row r="519" spans="5:5">
      <c r="E519" s="60"/>
    </row>
    <row r="520" spans="5:5">
      <c r="E520" s="60"/>
    </row>
    <row r="521" spans="5:5">
      <c r="E521" s="60"/>
    </row>
    <row r="522" spans="5:5">
      <c r="E522" s="60"/>
    </row>
    <row r="523" spans="5:5">
      <c r="E523" s="60"/>
    </row>
    <row r="524" spans="5:5">
      <c r="E524" s="60"/>
    </row>
    <row r="525" spans="5:5">
      <c r="E525" s="60"/>
    </row>
    <row r="526" spans="5:5">
      <c r="E526" s="60"/>
    </row>
    <row r="527" spans="5:5">
      <c r="E527" s="60"/>
    </row>
    <row r="528" spans="5:5">
      <c r="E528" s="60"/>
    </row>
    <row r="529" spans="5:5">
      <c r="E529" s="60"/>
    </row>
    <row r="530" spans="5:5">
      <c r="E530" s="60"/>
    </row>
    <row r="531" spans="5:5">
      <c r="E531" s="60"/>
    </row>
    <row r="532" spans="5:5">
      <c r="E532" s="60"/>
    </row>
    <row r="533" spans="5:5">
      <c r="E533" s="60"/>
    </row>
    <row r="534" spans="5:5">
      <c r="E534" s="60"/>
    </row>
    <row r="535" spans="5:5">
      <c r="E535" s="60"/>
    </row>
    <row r="536" spans="5:5">
      <c r="E536" s="60"/>
    </row>
    <row r="537" spans="5:5">
      <c r="E537" s="60"/>
    </row>
    <row r="538" spans="5:5">
      <c r="E538" s="60"/>
    </row>
    <row r="539" spans="5:5">
      <c r="E539" s="60"/>
    </row>
    <row r="540" spans="5:5">
      <c r="E540" s="60"/>
    </row>
    <row r="541" spans="5:5">
      <c r="E541" s="60"/>
    </row>
    <row r="542" spans="5:5">
      <c r="E542" s="60"/>
    </row>
    <row r="543" spans="5:5">
      <c r="E543" s="60"/>
    </row>
    <row r="544" spans="5:5">
      <c r="E544" s="60"/>
    </row>
    <row r="545" spans="5:5">
      <c r="E545" s="60"/>
    </row>
    <row r="546" spans="5:5">
      <c r="E546" s="60"/>
    </row>
    <row r="547" spans="5:5">
      <c r="E547" s="60"/>
    </row>
    <row r="548" spans="5:5">
      <c r="E548" s="60"/>
    </row>
    <row r="549" spans="5:5">
      <c r="E549" s="60"/>
    </row>
    <row r="550" spans="5:5">
      <c r="E550" s="60"/>
    </row>
    <row r="551" spans="5:5">
      <c r="E551" s="60"/>
    </row>
    <row r="552" spans="5:5">
      <c r="E552" s="60"/>
    </row>
    <row r="553" spans="5:5">
      <c r="E553" s="60"/>
    </row>
    <row r="554" spans="5:5">
      <c r="E554" s="60"/>
    </row>
    <row r="555" spans="5:5">
      <c r="E555" s="60"/>
    </row>
    <row r="556" spans="5:5">
      <c r="E556" s="60"/>
    </row>
    <row r="557" spans="5:5">
      <c r="E557" s="60"/>
    </row>
    <row r="558" spans="5:5">
      <c r="E558" s="60"/>
    </row>
    <row r="559" spans="5:5">
      <c r="E559" s="60"/>
    </row>
    <row r="560" spans="5:5">
      <c r="E560" s="60"/>
    </row>
    <row r="561" spans="5:5">
      <c r="E561" s="60"/>
    </row>
    <row r="562" spans="5:5">
      <c r="E562" s="60"/>
    </row>
    <row r="563" spans="5:5">
      <c r="E563" s="60"/>
    </row>
    <row r="564" spans="5:5">
      <c r="E564" s="60"/>
    </row>
    <row r="565" spans="5:5">
      <c r="E565" s="60"/>
    </row>
    <row r="566" spans="5:5">
      <c r="E566" s="60"/>
    </row>
    <row r="567" spans="5:5">
      <c r="E567" s="60"/>
    </row>
    <row r="568" spans="5:5">
      <c r="E568" s="60"/>
    </row>
    <row r="569" spans="5:5">
      <c r="E569" s="60"/>
    </row>
    <row r="570" spans="5:5">
      <c r="E570" s="60"/>
    </row>
    <row r="571" spans="5:5">
      <c r="E571" s="60"/>
    </row>
    <row r="572" spans="5:5">
      <c r="E572" s="60"/>
    </row>
    <row r="573" spans="5:5">
      <c r="E573" s="60"/>
    </row>
    <row r="574" spans="5:5">
      <c r="E574" s="60"/>
    </row>
    <row r="575" spans="5:5">
      <c r="E575" s="60"/>
    </row>
    <row r="576" spans="5:5">
      <c r="E576" s="60"/>
    </row>
    <row r="577" spans="5:5">
      <c r="E577" s="60"/>
    </row>
    <row r="578" spans="5:5">
      <c r="E578" s="60"/>
    </row>
    <row r="579" spans="5:5">
      <c r="E579" s="60"/>
    </row>
    <row r="580" spans="5:5">
      <c r="E580" s="60"/>
    </row>
    <row r="581" spans="5:5">
      <c r="E581" s="60"/>
    </row>
    <row r="582" spans="5:5">
      <c r="E582" s="60"/>
    </row>
    <row r="583" spans="5:5">
      <c r="E583" s="60"/>
    </row>
    <row r="584" spans="5:5">
      <c r="E584" s="60"/>
    </row>
    <row r="585" spans="5:5">
      <c r="E585" s="60"/>
    </row>
    <row r="586" spans="5:5">
      <c r="E586" s="60"/>
    </row>
    <row r="587" spans="5:5">
      <c r="E587" s="60"/>
    </row>
    <row r="588" spans="5:5">
      <c r="E588" s="60"/>
    </row>
    <row r="589" spans="5:5">
      <c r="E589" s="60"/>
    </row>
    <row r="590" spans="5:5">
      <c r="E590" s="60"/>
    </row>
    <row r="591" spans="5:5">
      <c r="E591" s="60"/>
    </row>
    <row r="592" spans="5:5">
      <c r="E592" s="60"/>
    </row>
    <row r="593" spans="5:5">
      <c r="E593" s="60"/>
    </row>
    <row r="594" spans="5:5">
      <c r="E594" s="60"/>
    </row>
    <row r="595" spans="5:5">
      <c r="E595" s="60"/>
    </row>
    <row r="596" spans="5:5">
      <c r="E596" s="60"/>
    </row>
    <row r="597" spans="5:5">
      <c r="E597" s="60"/>
    </row>
    <row r="598" spans="5:5">
      <c r="E598" s="60"/>
    </row>
    <row r="599" spans="5:5">
      <c r="E599" s="60"/>
    </row>
    <row r="600" spans="5:5">
      <c r="E600" s="60"/>
    </row>
    <row r="601" spans="5:5">
      <c r="E601" s="60"/>
    </row>
    <row r="602" spans="5:5">
      <c r="E602" s="60"/>
    </row>
    <row r="603" spans="5:5">
      <c r="E603" s="60"/>
    </row>
    <row r="604" spans="5:5">
      <c r="E604" s="60"/>
    </row>
    <row r="605" spans="5:5">
      <c r="E605" s="60"/>
    </row>
    <row r="606" spans="5:5">
      <c r="E606" s="60"/>
    </row>
    <row r="607" spans="5:5">
      <c r="E607" s="60"/>
    </row>
    <row r="608" spans="5:5">
      <c r="E608" s="60"/>
    </row>
    <row r="609" spans="5:5">
      <c r="E609" s="60"/>
    </row>
    <row r="610" spans="5:5">
      <c r="E610" s="60"/>
    </row>
    <row r="611" spans="5:5">
      <c r="E611" s="60"/>
    </row>
    <row r="612" spans="5:5">
      <c r="E612" s="60"/>
    </row>
    <row r="613" spans="5:5">
      <c r="E613" s="60"/>
    </row>
    <row r="614" spans="5:5">
      <c r="E614" s="60"/>
    </row>
    <row r="615" spans="5:5">
      <c r="E615" s="60"/>
    </row>
    <row r="616" spans="5:5">
      <c r="E616" s="60"/>
    </row>
    <row r="617" spans="5:5">
      <c r="E617" s="60"/>
    </row>
    <row r="618" spans="5:5">
      <c r="E618" s="60"/>
    </row>
    <row r="619" spans="5:5">
      <c r="E619" s="60"/>
    </row>
    <row r="620" spans="5:5">
      <c r="E620" s="60"/>
    </row>
    <row r="621" spans="5:5">
      <c r="E621" s="60"/>
    </row>
    <row r="622" spans="5:5">
      <c r="E622" s="60"/>
    </row>
    <row r="623" spans="5:5">
      <c r="E623" s="60"/>
    </row>
    <row r="624" spans="5:5">
      <c r="E624" s="60"/>
    </row>
    <row r="625" spans="5:5">
      <c r="E625" s="60"/>
    </row>
    <row r="626" spans="5:5">
      <c r="E626" s="60"/>
    </row>
    <row r="627" spans="5:5">
      <c r="E627" s="60"/>
    </row>
    <row r="628" spans="5:5">
      <c r="E628" s="60"/>
    </row>
    <row r="629" spans="5:5">
      <c r="E629" s="60"/>
    </row>
    <row r="630" spans="5:5">
      <c r="E630" s="60"/>
    </row>
    <row r="631" spans="5:5">
      <c r="E631" s="60"/>
    </row>
    <row r="632" spans="5:5">
      <c r="E632" s="60"/>
    </row>
    <row r="633" spans="5:5">
      <c r="E633" s="60"/>
    </row>
    <row r="634" spans="5:5">
      <c r="E634" s="60"/>
    </row>
    <row r="635" spans="5:5">
      <c r="E635" s="60"/>
    </row>
    <row r="636" spans="5:5">
      <c r="E636" s="60"/>
    </row>
    <row r="637" spans="5:5">
      <c r="E637" s="60"/>
    </row>
    <row r="638" spans="5:5">
      <c r="E638" s="60"/>
    </row>
    <row r="639" spans="5:5">
      <c r="E639" s="60"/>
    </row>
    <row r="640" spans="5:5">
      <c r="E640" s="60"/>
    </row>
    <row r="641" spans="5:5">
      <c r="E641" s="60"/>
    </row>
    <row r="642" spans="5:5">
      <c r="E642" s="60"/>
    </row>
    <row r="643" spans="5:5">
      <c r="E643" s="60"/>
    </row>
    <row r="644" spans="5:5">
      <c r="E644" s="60"/>
    </row>
    <row r="645" spans="5:5">
      <c r="E645" s="60"/>
    </row>
    <row r="646" spans="5:5">
      <c r="E646" s="60"/>
    </row>
    <row r="647" spans="5:5">
      <c r="E647" s="60"/>
    </row>
    <row r="648" spans="5:5">
      <c r="E648" s="60"/>
    </row>
    <row r="649" spans="5:5">
      <c r="E649" s="60"/>
    </row>
    <row r="650" spans="5:5">
      <c r="E650" s="60"/>
    </row>
    <row r="651" spans="5:5">
      <c r="E651" s="60"/>
    </row>
    <row r="652" spans="5:5">
      <c r="E652" s="60"/>
    </row>
    <row r="653" spans="5:5">
      <c r="E653" s="60"/>
    </row>
    <row r="654" spans="5:5">
      <c r="E654" s="60"/>
    </row>
    <row r="655" spans="5:5">
      <c r="E655" s="60"/>
    </row>
    <row r="656" spans="5:5">
      <c r="E656" s="60"/>
    </row>
    <row r="657" spans="5:5">
      <c r="E657" s="60"/>
    </row>
    <row r="658" spans="5:5">
      <c r="E658" s="60"/>
    </row>
    <row r="659" spans="5:5">
      <c r="E659" s="60"/>
    </row>
    <row r="660" spans="5:5">
      <c r="E660" s="60"/>
    </row>
    <row r="661" spans="5:5">
      <c r="E661" s="60"/>
    </row>
    <row r="662" spans="5:5">
      <c r="E662" s="60"/>
    </row>
    <row r="663" spans="5:5">
      <c r="E663" s="60"/>
    </row>
    <row r="664" spans="5:5">
      <c r="E664" s="60"/>
    </row>
    <row r="665" spans="5:5">
      <c r="E665" s="60"/>
    </row>
    <row r="666" spans="5:5">
      <c r="E666" s="60"/>
    </row>
    <row r="667" spans="5:5">
      <c r="E667" s="60"/>
    </row>
    <row r="668" spans="5:5">
      <c r="E668" s="60"/>
    </row>
    <row r="669" spans="5:5">
      <c r="E669" s="60"/>
    </row>
    <row r="670" spans="5:5">
      <c r="E670" s="60"/>
    </row>
    <row r="671" spans="5:5">
      <c r="E671" s="60"/>
    </row>
    <row r="672" spans="5:5">
      <c r="E672" s="60"/>
    </row>
    <row r="673" spans="5:5">
      <c r="E673" s="60"/>
    </row>
    <row r="674" spans="5:5">
      <c r="E674" s="60"/>
    </row>
    <row r="675" spans="5:5">
      <c r="E675" s="60"/>
    </row>
    <row r="676" spans="5:5">
      <c r="E676" s="60"/>
    </row>
    <row r="677" spans="5:5">
      <c r="E677" s="60"/>
    </row>
    <row r="678" spans="5:5">
      <c r="E678" s="60"/>
    </row>
    <row r="679" spans="5:5">
      <c r="E679" s="60"/>
    </row>
    <row r="680" spans="5:5">
      <c r="E680" s="60"/>
    </row>
    <row r="681" spans="5:5">
      <c r="E681" s="60"/>
    </row>
    <row r="682" spans="5:5">
      <c r="E682" s="60"/>
    </row>
    <row r="683" spans="5:5">
      <c r="E683" s="60"/>
    </row>
    <row r="684" spans="5:5">
      <c r="E684" s="60"/>
    </row>
    <row r="685" spans="5:5">
      <c r="E685" s="60"/>
    </row>
    <row r="686" spans="5:5">
      <c r="E686" s="60"/>
    </row>
    <row r="687" spans="5:5">
      <c r="E687" s="60"/>
    </row>
    <row r="688" spans="5:5">
      <c r="E688" s="60"/>
    </row>
    <row r="689" spans="5:5">
      <c r="E689" s="60"/>
    </row>
    <row r="690" spans="5:5">
      <c r="E690" s="60"/>
    </row>
    <row r="691" spans="5:5">
      <c r="E691" s="60"/>
    </row>
    <row r="692" spans="5:5">
      <c r="E692" s="60"/>
    </row>
    <row r="693" spans="5:5">
      <c r="E693" s="60"/>
    </row>
    <row r="694" spans="5:5">
      <c r="E694" s="60"/>
    </row>
    <row r="695" spans="5:5">
      <c r="E695" s="60"/>
    </row>
    <row r="696" spans="5:5">
      <c r="E696" s="60"/>
    </row>
    <row r="697" spans="5:5">
      <c r="E697" s="60"/>
    </row>
    <row r="698" spans="5:5">
      <c r="E698" s="60"/>
    </row>
    <row r="699" spans="5:5">
      <c r="E699" s="60"/>
    </row>
    <row r="700" spans="5:5">
      <c r="E700" s="60"/>
    </row>
    <row r="701" spans="5:5">
      <c r="E701" s="60"/>
    </row>
    <row r="702" spans="5:5">
      <c r="E702" s="60"/>
    </row>
    <row r="703" spans="5:5">
      <c r="E703" s="60"/>
    </row>
    <row r="704" spans="5:5">
      <c r="E704" s="60"/>
    </row>
    <row r="705" spans="5:5">
      <c r="E705" s="60"/>
    </row>
    <row r="706" spans="5:5">
      <c r="E706" s="60"/>
    </row>
    <row r="707" spans="5:5">
      <c r="E707" s="60"/>
    </row>
    <row r="708" spans="5:5">
      <c r="E708" s="60"/>
    </row>
    <row r="709" spans="5:5">
      <c r="E709" s="60"/>
    </row>
    <row r="710" spans="5:5">
      <c r="E710" s="60"/>
    </row>
    <row r="711" spans="5:5">
      <c r="E711" s="60"/>
    </row>
    <row r="712" spans="5:5">
      <c r="E712" s="60"/>
    </row>
    <row r="713" spans="5:5">
      <c r="E713" s="60"/>
    </row>
    <row r="714" spans="5:5">
      <c r="E714" s="60"/>
    </row>
    <row r="715" spans="5:5">
      <c r="E715" s="60"/>
    </row>
    <row r="716" spans="5:5">
      <c r="E716" s="60"/>
    </row>
    <row r="717" spans="5:5">
      <c r="E717" s="60"/>
    </row>
    <row r="718" spans="5:5">
      <c r="E718" s="60"/>
    </row>
    <row r="719" spans="5:5">
      <c r="E719" s="60"/>
    </row>
    <row r="720" spans="5:5">
      <c r="E720" s="60"/>
    </row>
    <row r="721" spans="5:5">
      <c r="E721" s="60"/>
    </row>
    <row r="722" spans="5:5">
      <c r="E722" s="60"/>
    </row>
    <row r="723" spans="5:5">
      <c r="E723" s="60"/>
    </row>
    <row r="724" spans="5:5">
      <c r="E724" s="60"/>
    </row>
    <row r="725" spans="5:5">
      <c r="E725" s="60"/>
    </row>
    <row r="726" spans="5:5">
      <c r="E726" s="60"/>
    </row>
    <row r="727" spans="5:5">
      <c r="E727" s="60"/>
    </row>
    <row r="728" spans="5:5">
      <c r="E728" s="60"/>
    </row>
    <row r="729" spans="5:5">
      <c r="E729" s="60"/>
    </row>
    <row r="730" spans="5:5">
      <c r="E730" s="60"/>
    </row>
    <row r="731" spans="5:5">
      <c r="E731" s="60"/>
    </row>
    <row r="732" spans="5:5">
      <c r="E732" s="60"/>
    </row>
    <row r="733" spans="5:5">
      <c r="E733" s="60"/>
    </row>
    <row r="734" spans="5:5">
      <c r="E734" s="60"/>
    </row>
    <row r="735" spans="5:5">
      <c r="E735" s="60"/>
    </row>
    <row r="736" spans="5:5">
      <c r="E736" s="60"/>
    </row>
    <row r="737" spans="5:5">
      <c r="E737" s="60"/>
    </row>
    <row r="738" spans="5:5">
      <c r="E738" s="60"/>
    </row>
    <row r="739" spans="5:5">
      <c r="E739" s="60"/>
    </row>
    <row r="740" spans="5:5">
      <c r="E740" s="60"/>
    </row>
    <row r="741" spans="5:5">
      <c r="E741" s="60"/>
    </row>
    <row r="742" spans="5:5">
      <c r="E742" s="60"/>
    </row>
    <row r="743" spans="5:5">
      <c r="E743" s="60"/>
    </row>
    <row r="744" spans="5:5">
      <c r="E744" s="60"/>
    </row>
    <row r="745" spans="5:5">
      <c r="E745" s="60"/>
    </row>
    <row r="746" spans="5:5">
      <c r="E746" s="60"/>
    </row>
    <row r="747" spans="5:5">
      <c r="E747" s="60"/>
    </row>
    <row r="748" spans="5:5">
      <c r="E748" s="60"/>
    </row>
    <row r="749" spans="5:5">
      <c r="E749" s="60"/>
    </row>
    <row r="750" spans="5:5">
      <c r="E750" s="60"/>
    </row>
    <row r="751" spans="5:5">
      <c r="E751" s="60"/>
    </row>
    <row r="752" spans="5:5">
      <c r="E752" s="60"/>
    </row>
    <row r="753" spans="5:5">
      <c r="E753" s="60"/>
    </row>
    <row r="754" spans="5:5">
      <c r="E754" s="60"/>
    </row>
    <row r="755" spans="5:5">
      <c r="E755" s="60"/>
    </row>
    <row r="756" spans="5:5">
      <c r="E756" s="60"/>
    </row>
    <row r="757" spans="5:5">
      <c r="E757" s="60"/>
    </row>
    <row r="758" spans="5:5">
      <c r="E758" s="60"/>
    </row>
    <row r="759" spans="5:5">
      <c r="E759" s="60"/>
    </row>
    <row r="760" spans="5:5">
      <c r="E760" s="60"/>
    </row>
    <row r="761" spans="5:5">
      <c r="E761" s="60"/>
    </row>
    <row r="762" spans="5:5">
      <c r="E762" s="60"/>
    </row>
    <row r="763" spans="5:5">
      <c r="E763" s="60"/>
    </row>
    <row r="764" spans="5:5">
      <c r="E764" s="60"/>
    </row>
    <row r="765" spans="5:5">
      <c r="E765" s="60"/>
    </row>
    <row r="766" spans="5:5">
      <c r="E766" s="60"/>
    </row>
    <row r="767" spans="5:5">
      <c r="E767" s="60"/>
    </row>
    <row r="768" spans="5:5">
      <c r="E768" s="60"/>
    </row>
    <row r="769" spans="5:5">
      <c r="E769" s="60"/>
    </row>
    <row r="770" spans="5:5">
      <c r="E770" s="60"/>
    </row>
    <row r="771" spans="5:5">
      <c r="E771" s="60"/>
    </row>
    <row r="772" spans="5:5">
      <c r="E772" s="60"/>
    </row>
    <row r="773" spans="5:5">
      <c r="E773" s="60"/>
    </row>
    <row r="774" spans="5:5">
      <c r="E774" s="60"/>
    </row>
    <row r="775" spans="5:5">
      <c r="E775" s="60"/>
    </row>
    <row r="776" spans="5:5">
      <c r="E776" s="60"/>
    </row>
    <row r="777" spans="5:5">
      <c r="E777" s="60"/>
    </row>
    <row r="778" spans="5:5">
      <c r="E778" s="60"/>
    </row>
    <row r="779" spans="5:5">
      <c r="E779" s="60"/>
    </row>
    <row r="780" spans="5:5">
      <c r="E780" s="60"/>
    </row>
    <row r="781" spans="5:5">
      <c r="E781" s="60"/>
    </row>
    <row r="782" spans="5:5">
      <c r="E782" s="60"/>
    </row>
    <row r="783" spans="5:5">
      <c r="E783" s="60"/>
    </row>
    <row r="784" spans="5:5">
      <c r="E784" s="60"/>
    </row>
    <row r="785" spans="5:5">
      <c r="E785" s="60"/>
    </row>
    <row r="786" spans="5:5">
      <c r="E786" s="60"/>
    </row>
    <row r="787" spans="5:5">
      <c r="E787" s="60"/>
    </row>
    <row r="788" spans="5:5">
      <c r="E788" s="60"/>
    </row>
    <row r="789" spans="5:5">
      <c r="E789" s="60"/>
    </row>
    <row r="790" spans="5:5">
      <c r="E790" s="60"/>
    </row>
    <row r="791" spans="5:5">
      <c r="E791" s="60"/>
    </row>
    <row r="792" spans="5:5">
      <c r="E792" s="60"/>
    </row>
    <row r="793" spans="5:5">
      <c r="E793" s="60"/>
    </row>
    <row r="794" spans="5:5">
      <c r="E794" s="60"/>
    </row>
    <row r="795" spans="5:5">
      <c r="E795" s="60"/>
    </row>
    <row r="796" spans="5:5">
      <c r="E796" s="60"/>
    </row>
    <row r="797" spans="5:5">
      <c r="E797" s="60"/>
    </row>
    <row r="798" spans="5:5">
      <c r="E798" s="60"/>
    </row>
    <row r="799" spans="5:5">
      <c r="E799" s="60"/>
    </row>
    <row r="800" spans="5:5">
      <c r="E800" s="60"/>
    </row>
    <row r="801" spans="5:5">
      <c r="E801" s="60"/>
    </row>
    <row r="802" spans="5:5">
      <c r="E802" s="60"/>
    </row>
    <row r="803" spans="5:5">
      <c r="E803" s="60"/>
    </row>
    <row r="804" spans="5:5">
      <c r="E804" s="60"/>
    </row>
    <row r="805" spans="5:5">
      <c r="E805" s="60"/>
    </row>
    <row r="806" spans="5:5">
      <c r="E806" s="60"/>
    </row>
    <row r="807" spans="5:5">
      <c r="E807" s="60"/>
    </row>
    <row r="808" spans="5:5">
      <c r="E808" s="60"/>
    </row>
    <row r="809" spans="5:5">
      <c r="E809" s="60"/>
    </row>
    <row r="810" spans="5:5">
      <c r="E810" s="60"/>
    </row>
    <row r="811" spans="5:5">
      <c r="E811" s="60"/>
    </row>
    <row r="812" spans="5:5">
      <c r="E812" s="60"/>
    </row>
    <row r="813" spans="5:5">
      <c r="E813" s="60"/>
    </row>
    <row r="814" spans="5:5">
      <c r="E814" s="60"/>
    </row>
    <row r="815" spans="5:5">
      <c r="E815" s="60"/>
    </row>
    <row r="816" spans="5:5">
      <c r="E816" s="60"/>
    </row>
    <row r="817" spans="5:5">
      <c r="E817" s="60"/>
    </row>
    <row r="818" spans="5:5">
      <c r="E818" s="60"/>
    </row>
    <row r="819" spans="5:5">
      <c r="E819" s="60"/>
    </row>
    <row r="820" spans="5:5">
      <c r="E820" s="60"/>
    </row>
    <row r="821" spans="5:5">
      <c r="E821" s="60"/>
    </row>
    <row r="822" spans="5:5">
      <c r="E822" s="60"/>
    </row>
    <row r="823" spans="5:5">
      <c r="E823" s="60"/>
    </row>
    <row r="824" spans="5:5">
      <c r="E824" s="60"/>
    </row>
    <row r="825" spans="5:5">
      <c r="E825" s="60"/>
    </row>
    <row r="826" spans="5:5">
      <c r="E826" s="60"/>
    </row>
    <row r="827" spans="5:5">
      <c r="E827" s="60"/>
    </row>
    <row r="828" spans="5:5">
      <c r="E828" s="60"/>
    </row>
    <row r="829" spans="5:5">
      <c r="E829" s="60"/>
    </row>
    <row r="830" spans="5:5">
      <c r="E830" s="60"/>
    </row>
    <row r="831" spans="5:5">
      <c r="E831" s="60"/>
    </row>
    <row r="832" spans="5:5">
      <c r="E832" s="60"/>
    </row>
    <row r="833" spans="5:5">
      <c r="E833" s="60"/>
    </row>
    <row r="834" spans="5:5">
      <c r="E834" s="60"/>
    </row>
    <row r="835" spans="5:5">
      <c r="E835" s="60"/>
    </row>
    <row r="836" spans="5:5">
      <c r="E836" s="60"/>
    </row>
    <row r="837" spans="5:5">
      <c r="E837" s="60"/>
    </row>
    <row r="838" spans="5:5">
      <c r="E838" s="60"/>
    </row>
    <row r="839" spans="5:5">
      <c r="E839" s="60"/>
    </row>
    <row r="840" spans="5:5">
      <c r="E840" s="60"/>
    </row>
    <row r="841" spans="5:5">
      <c r="E841" s="60"/>
    </row>
    <row r="842" spans="5:5">
      <c r="E842" s="60"/>
    </row>
    <row r="843" spans="5:5">
      <c r="E843" s="60"/>
    </row>
    <row r="844" spans="5:5">
      <c r="E844" s="60"/>
    </row>
    <row r="845" spans="5:5">
      <c r="E845" s="60"/>
    </row>
    <row r="846" spans="5:5">
      <c r="E846" s="60"/>
    </row>
    <row r="847" spans="5:5">
      <c r="E847" s="60"/>
    </row>
    <row r="848" spans="5:5">
      <c r="E848" s="60"/>
    </row>
  </sheetData>
  <conditionalFormatting sqref="F299:M307">
    <cfRule type="expression" dxfId="8" priority="3">
      <formula>#REF!=0</formula>
    </cfRule>
  </conditionalFormatting>
  <conditionalFormatting sqref="H340:I340">
    <cfRule type="expression" dxfId="7" priority="2">
      <formula>#REF!=0</formula>
    </cfRule>
  </conditionalFormatting>
  <conditionalFormatting sqref="E341">
    <cfRule type="expression" dxfId="6" priority="1">
      <formula>#REF!=0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theme="9" tint="0.79998168889431442"/>
    <pageSetUpPr fitToPage="1"/>
  </sheetPr>
  <dimension ref="A1:BJ848"/>
  <sheetViews>
    <sheetView zoomScaleNormal="100" workbookViewId="0"/>
  </sheetViews>
  <sheetFormatPr defaultRowHeight="15"/>
  <cols>
    <col min="1" max="2" width="4.140625" style="74" customWidth="1"/>
    <col min="3" max="3" width="46" style="74" customWidth="1"/>
    <col min="4" max="4" width="9.140625" style="74" customWidth="1"/>
    <col min="5" max="13" width="9.85546875" style="74" customWidth="1"/>
    <col min="14" max="14" width="3" style="74" customWidth="1"/>
    <col min="15" max="15" width="19.5703125" style="74" customWidth="1"/>
    <col min="16" max="16" width="16.28515625" style="74" customWidth="1"/>
    <col min="17" max="17" width="4.42578125" style="74" customWidth="1"/>
    <col min="18" max="19" width="9.140625" style="74" customWidth="1"/>
    <col min="20" max="20" width="13.85546875" style="74" customWidth="1"/>
    <col min="21" max="16384" width="9.140625" style="74"/>
  </cols>
  <sheetData>
    <row r="1" spans="1:19" ht="23.25">
      <c r="A1" s="232"/>
      <c r="C1" s="2" t="str">
        <f ca="1">OFFSET(Inputs_Anchor,0,G1+1)</f>
        <v>Maui</v>
      </c>
      <c r="D1" s="2"/>
      <c r="E1" s="2"/>
      <c r="F1" s="6" t="s">
        <v>74</v>
      </c>
      <c r="G1" s="7">
        <v>4</v>
      </c>
      <c r="H1" s="2"/>
      <c r="I1" s="2"/>
      <c r="J1" s="2"/>
      <c r="K1" s="2"/>
      <c r="L1" s="2"/>
      <c r="M1" s="2"/>
      <c r="N1" s="2"/>
      <c r="O1" s="228"/>
      <c r="P1" s="228"/>
      <c r="Q1" s="228"/>
      <c r="R1" s="228"/>
      <c r="S1" s="228"/>
    </row>
    <row r="2" spans="1:19">
      <c r="O2" s="29"/>
      <c r="P2" s="80"/>
      <c r="Q2" s="80"/>
      <c r="R2" s="80"/>
      <c r="S2" s="80"/>
    </row>
    <row r="3" spans="1:19" ht="21">
      <c r="C3" s="3" t="s">
        <v>194</v>
      </c>
      <c r="O3" s="80"/>
      <c r="P3" s="80"/>
      <c r="Q3" s="80"/>
      <c r="R3" s="80"/>
      <c r="S3" s="80"/>
    </row>
    <row r="4" spans="1:19">
      <c r="O4" s="80"/>
      <c r="P4" s="80"/>
      <c r="Q4" s="80"/>
      <c r="R4" s="80"/>
      <c r="S4" s="80"/>
    </row>
    <row r="5" spans="1:19">
      <c r="C5" s="74" t="s">
        <v>212</v>
      </c>
      <c r="E5" s="81">
        <v>2010</v>
      </c>
      <c r="F5" s="81">
        <v>2011</v>
      </c>
      <c r="G5" s="81">
        <v>2012</v>
      </c>
      <c r="H5" s="81">
        <v>2013</v>
      </c>
      <c r="I5" s="81">
        <v>2014</v>
      </c>
      <c r="J5" s="81">
        <v>2015</v>
      </c>
      <c r="K5" s="81">
        <v>2016</v>
      </c>
      <c r="L5" s="81">
        <v>2017</v>
      </c>
      <c r="M5" s="81">
        <v>2018</v>
      </c>
      <c r="N5" s="21"/>
      <c r="O5" s="37"/>
      <c r="P5" s="80"/>
      <c r="Q5" s="80"/>
      <c r="R5" s="80"/>
      <c r="S5" s="80"/>
    </row>
    <row r="6" spans="1:19">
      <c r="C6" s="54"/>
      <c r="E6" s="81"/>
      <c r="F6" s="81"/>
      <c r="G6" s="81"/>
      <c r="H6" s="81"/>
      <c r="I6" s="81"/>
      <c r="J6" s="81"/>
      <c r="K6" s="81"/>
      <c r="L6" s="81"/>
      <c r="M6" s="81"/>
      <c r="N6" s="21"/>
      <c r="O6" s="37"/>
      <c r="P6" s="80"/>
      <c r="Q6" s="80"/>
      <c r="R6" s="80"/>
      <c r="S6" s="80"/>
    </row>
    <row r="7" spans="1:19" ht="45" customHeight="1">
      <c r="C7" s="54" t="s">
        <v>233</v>
      </c>
      <c r="E7" s="81" t="s">
        <v>140</v>
      </c>
      <c r="F7" s="81" t="s">
        <v>141</v>
      </c>
      <c r="G7" s="81" t="s">
        <v>142</v>
      </c>
      <c r="H7" s="81" t="s">
        <v>143</v>
      </c>
      <c r="I7" s="81" t="s">
        <v>144</v>
      </c>
      <c r="J7" s="81" t="s">
        <v>145</v>
      </c>
      <c r="K7" s="81" t="s">
        <v>159</v>
      </c>
      <c r="L7" s="81" t="s">
        <v>160</v>
      </c>
      <c r="M7" s="81" t="s">
        <v>161</v>
      </c>
      <c r="N7" s="21"/>
      <c r="O7" s="37"/>
      <c r="P7" s="80"/>
      <c r="Q7" s="80"/>
      <c r="R7" s="80"/>
      <c r="S7" s="80"/>
    </row>
    <row r="8" spans="1:19">
      <c r="C8" s="92"/>
      <c r="E8" s="21"/>
      <c r="F8" s="17"/>
      <c r="G8" s="17"/>
      <c r="H8" s="17"/>
      <c r="I8" s="17"/>
      <c r="J8" s="17"/>
      <c r="N8" s="45"/>
      <c r="O8" s="37"/>
      <c r="P8" s="80"/>
      <c r="Q8" s="80"/>
      <c r="R8" s="80"/>
      <c r="S8" s="80"/>
    </row>
    <row r="9" spans="1:19" ht="45">
      <c r="C9" s="74" t="s">
        <v>210</v>
      </c>
      <c r="E9" s="111" t="s">
        <v>464</v>
      </c>
      <c r="F9" s="111" t="s">
        <v>465</v>
      </c>
      <c r="G9" s="111" t="s">
        <v>466</v>
      </c>
      <c r="H9" s="111" t="s">
        <v>467</v>
      </c>
      <c r="I9" s="111" t="s">
        <v>468</v>
      </c>
      <c r="J9" s="111" t="s">
        <v>469</v>
      </c>
      <c r="K9" s="111" t="s">
        <v>470</v>
      </c>
      <c r="L9" s="111" t="s">
        <v>471</v>
      </c>
      <c r="M9" s="111" t="s">
        <v>472</v>
      </c>
      <c r="N9" s="45"/>
      <c r="O9" s="37"/>
      <c r="P9" s="80"/>
      <c r="Q9" s="80"/>
      <c r="R9" s="80"/>
      <c r="S9" s="80"/>
    </row>
    <row r="10" spans="1:19" ht="8.25" customHeight="1">
      <c r="E10" s="111"/>
      <c r="F10" s="111"/>
      <c r="G10" s="111"/>
      <c r="H10" s="111"/>
      <c r="I10" s="111"/>
      <c r="J10" s="111"/>
      <c r="K10" s="111"/>
      <c r="L10" s="111"/>
      <c r="M10" s="111"/>
      <c r="N10" s="45"/>
      <c r="O10" s="37"/>
      <c r="P10" s="80"/>
      <c r="Q10" s="80"/>
      <c r="R10" s="80"/>
      <c r="S10" s="80"/>
    </row>
    <row r="11" spans="1:19" ht="45">
      <c r="C11" s="74" t="s">
        <v>195</v>
      </c>
      <c r="E11" s="111" t="s">
        <v>443</v>
      </c>
      <c r="F11" s="111" t="s">
        <v>444</v>
      </c>
      <c r="G11" s="111" t="s">
        <v>445</v>
      </c>
      <c r="H11" s="111" t="s">
        <v>446</v>
      </c>
      <c r="I11" s="111" t="s">
        <v>447</v>
      </c>
      <c r="J11" s="111" t="s">
        <v>448</v>
      </c>
      <c r="K11" s="111" t="s">
        <v>449</v>
      </c>
      <c r="L11" s="111" t="s">
        <v>450</v>
      </c>
      <c r="M11" s="111" t="s">
        <v>451</v>
      </c>
      <c r="N11" s="45"/>
      <c r="O11" s="37"/>
      <c r="P11" s="80"/>
      <c r="Q11" s="80"/>
      <c r="R11" s="80"/>
      <c r="S11" s="80"/>
    </row>
    <row r="12" spans="1:19">
      <c r="E12" s="118"/>
      <c r="F12" s="118"/>
      <c r="G12" s="118"/>
      <c r="H12" s="118"/>
      <c r="I12" s="118"/>
      <c r="J12" s="118"/>
      <c r="K12" s="118"/>
      <c r="L12" s="118"/>
      <c r="M12" s="118"/>
      <c r="N12" s="45"/>
      <c r="O12" s="37"/>
      <c r="P12" s="80"/>
      <c r="Q12" s="80"/>
      <c r="R12" s="80"/>
      <c r="S12" s="80"/>
    </row>
    <row r="13" spans="1:19" ht="45" customHeight="1">
      <c r="C13" s="54" t="s">
        <v>222</v>
      </c>
      <c r="E13" s="118"/>
      <c r="F13" s="118"/>
      <c r="G13" s="118"/>
      <c r="H13" s="111" t="s">
        <v>473</v>
      </c>
      <c r="I13" s="111" t="s">
        <v>468</v>
      </c>
      <c r="J13" s="111" t="s">
        <v>469</v>
      </c>
      <c r="K13" s="111" t="s">
        <v>470</v>
      </c>
      <c r="L13" s="111" t="s">
        <v>474</v>
      </c>
      <c r="M13" s="118" t="s">
        <v>461</v>
      </c>
      <c r="N13" s="45"/>
      <c r="O13" s="37"/>
      <c r="P13" s="80"/>
      <c r="Q13" s="80"/>
      <c r="R13" s="80"/>
      <c r="S13" s="80"/>
    </row>
    <row r="14" spans="1:19" ht="45" customHeight="1">
      <c r="C14" s="54" t="s">
        <v>223</v>
      </c>
      <c r="E14" s="118"/>
      <c r="F14" s="118"/>
      <c r="G14" s="118"/>
      <c r="H14" s="118" t="s">
        <v>461</v>
      </c>
      <c r="I14" s="111" t="s">
        <v>447</v>
      </c>
      <c r="J14" s="111" t="s">
        <v>448</v>
      </c>
      <c r="K14" s="111" t="s">
        <v>449</v>
      </c>
      <c r="L14" s="111" t="s">
        <v>450</v>
      </c>
      <c r="M14" s="111" t="s">
        <v>462</v>
      </c>
      <c r="N14" s="45"/>
      <c r="O14" s="37"/>
      <c r="P14" s="80"/>
      <c r="Q14" s="80"/>
      <c r="R14" s="80"/>
      <c r="S14" s="80"/>
    </row>
    <row r="15" spans="1:19">
      <c r="N15" s="45"/>
      <c r="O15" s="37"/>
      <c r="P15" s="80"/>
      <c r="Q15" s="80"/>
      <c r="R15" s="80"/>
      <c r="S15" s="80"/>
    </row>
    <row r="16" spans="1:19" ht="23.25">
      <c r="C16" s="2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8"/>
      <c r="P16" s="228"/>
      <c r="Q16" s="228"/>
      <c r="R16" s="228"/>
      <c r="S16" s="228"/>
    </row>
    <row r="17" spans="1:19">
      <c r="O17" s="80"/>
      <c r="P17" s="80"/>
      <c r="Q17" s="80"/>
      <c r="R17" s="80"/>
      <c r="S17" s="80"/>
    </row>
    <row r="18" spans="1:19" ht="21">
      <c r="C18" s="3" t="s">
        <v>188</v>
      </c>
      <c r="I18" s="10" t="s">
        <v>5</v>
      </c>
      <c r="O18" s="80"/>
      <c r="P18" s="80"/>
      <c r="Q18" s="80"/>
      <c r="R18" s="80"/>
      <c r="S18" s="80"/>
    </row>
    <row r="19" spans="1:19">
      <c r="C19" s="40"/>
      <c r="D19" s="40" t="s">
        <v>39</v>
      </c>
      <c r="E19" s="40"/>
      <c r="F19" s="40" t="s">
        <v>40</v>
      </c>
      <c r="O19" s="80"/>
      <c r="P19" s="80"/>
      <c r="Q19" s="80"/>
      <c r="R19" s="80"/>
      <c r="S19" s="80"/>
    </row>
    <row r="20" spans="1:19">
      <c r="C20" s="40"/>
      <c r="D20" s="40" t="s">
        <v>38</v>
      </c>
      <c r="E20" s="40"/>
      <c r="O20" s="80"/>
      <c r="P20" s="80"/>
      <c r="Q20" s="80"/>
      <c r="R20" s="80"/>
      <c r="S20" s="80"/>
    </row>
    <row r="21" spans="1:19">
      <c r="C21" s="81" t="s">
        <v>1</v>
      </c>
      <c r="E21" s="81" t="str">
        <f>Inputs!D$12</f>
        <v>2009/10</v>
      </c>
      <c r="F21" s="81" t="str">
        <f>Inputs!E$12</f>
        <v>2010/11</v>
      </c>
      <c r="G21" s="81" t="str">
        <f>Inputs!F$12</f>
        <v>2011/12</v>
      </c>
      <c r="H21" s="81" t="str">
        <f>Inputs!G$12</f>
        <v>2012/13</v>
      </c>
      <c r="I21" s="81" t="str">
        <f>Inputs!H$12</f>
        <v>2013/14</v>
      </c>
      <c r="J21" s="81" t="str">
        <f>Inputs!I$12</f>
        <v>2014/15</v>
      </c>
      <c r="K21" s="81" t="str">
        <f>Inputs!J$12</f>
        <v>2015/16</v>
      </c>
      <c r="L21" s="81" t="str">
        <f>Inputs!K$12</f>
        <v>2016/17</v>
      </c>
      <c r="M21" s="81" t="str">
        <f>Inputs!L$12</f>
        <v>2017/18</v>
      </c>
      <c r="N21" s="81"/>
      <c r="O21" s="169"/>
      <c r="P21" s="80"/>
      <c r="Q21" s="80"/>
      <c r="R21" s="80"/>
      <c r="S21" s="80"/>
    </row>
    <row r="22" spans="1:19">
      <c r="N22" s="15"/>
      <c r="O22" s="169"/>
      <c r="P22" s="80"/>
      <c r="Q22" s="80"/>
      <c r="R22" s="80"/>
      <c r="S22" s="80"/>
    </row>
    <row r="23" spans="1:19">
      <c r="A23" s="9">
        <v>1</v>
      </c>
      <c r="B23" s="9"/>
      <c r="C23" s="74" t="str">
        <f>Inputs!B25</f>
        <v>Revenue through Prices</v>
      </c>
      <c r="F23" s="1">
        <f t="shared" ref="F23:F32" si="0">INDEX(InputsBlock,A23+1,$G$1+2)</f>
        <v>38541</v>
      </c>
      <c r="O23" s="80"/>
      <c r="P23" s="80"/>
      <c r="Q23" s="80"/>
      <c r="R23" s="80"/>
      <c r="S23" s="80"/>
    </row>
    <row r="24" spans="1:19">
      <c r="A24" s="9">
        <f t="shared" ref="A24:A31" si="1">A23+1</f>
        <v>2</v>
      </c>
      <c r="B24" s="9"/>
      <c r="C24" s="74" t="str">
        <f>Inputs!B26</f>
        <v>Pass-through costs</v>
      </c>
      <c r="F24" s="1">
        <f t="shared" si="0"/>
        <v>500</v>
      </c>
      <c r="O24" s="80"/>
      <c r="P24" s="80"/>
      <c r="Q24" s="80"/>
      <c r="R24" s="80"/>
      <c r="S24" s="80"/>
    </row>
    <row r="25" spans="1:19">
      <c r="A25" s="9">
        <f t="shared" si="1"/>
        <v>3</v>
      </c>
      <c r="B25" s="9"/>
      <c r="C25" s="74" t="str">
        <f>Inputs!B27</f>
        <v>Recoverable costs</v>
      </c>
      <c r="F25" s="1">
        <f t="shared" si="0"/>
        <v>240</v>
      </c>
      <c r="O25" s="80"/>
      <c r="P25" s="80"/>
      <c r="Q25" s="80"/>
      <c r="R25" s="80"/>
      <c r="S25" s="80"/>
    </row>
    <row r="26" spans="1:19">
      <c r="A26" s="9">
        <f t="shared" si="1"/>
        <v>4</v>
      </c>
      <c r="B26" s="9"/>
      <c r="C26" s="80" t="str">
        <f>Inputs!B28</f>
        <v>Opening RAB 2010/11</v>
      </c>
      <c r="F26" s="1">
        <f t="shared" si="0"/>
        <v>301255</v>
      </c>
      <c r="O26" s="198"/>
      <c r="P26" s="80"/>
      <c r="Q26" s="80"/>
      <c r="R26" s="80"/>
      <c r="S26" s="80"/>
    </row>
    <row r="27" spans="1:19">
      <c r="A27" s="9">
        <f t="shared" si="1"/>
        <v>5</v>
      </c>
      <c r="B27" s="9"/>
      <c r="C27" s="80" t="str">
        <f>Inputs!B29</f>
        <v>Total Depreciation</v>
      </c>
      <c r="F27" s="1">
        <f t="shared" si="0"/>
        <v>7121</v>
      </c>
      <c r="O27" s="80"/>
      <c r="P27" s="80"/>
      <c r="Q27" s="80"/>
      <c r="R27" s="80"/>
      <c r="S27" s="80"/>
    </row>
    <row r="28" spans="1:19">
      <c r="A28" s="9">
        <f t="shared" si="1"/>
        <v>6</v>
      </c>
      <c r="B28" s="9"/>
      <c r="C28" s="80" t="str">
        <f>Inputs!B30</f>
        <v>RAB of disposed assets</v>
      </c>
      <c r="F28" s="1">
        <f t="shared" si="0"/>
        <v>0</v>
      </c>
      <c r="O28" s="80"/>
      <c r="P28" s="80"/>
      <c r="Q28" s="80"/>
      <c r="R28" s="80"/>
      <c r="S28" s="80"/>
    </row>
    <row r="29" spans="1:19">
      <c r="A29" s="9">
        <f>A28+1</f>
        <v>7</v>
      </c>
      <c r="B29" s="9"/>
      <c r="C29" s="80" t="str">
        <f>Inputs!B31</f>
        <v>Value of commissioned assets</v>
      </c>
      <c r="F29" s="1">
        <f t="shared" si="0"/>
        <v>67</v>
      </c>
      <c r="O29" s="80"/>
      <c r="P29" s="80"/>
      <c r="Q29" s="80"/>
      <c r="R29" s="80"/>
      <c r="S29" s="80"/>
    </row>
    <row r="30" spans="1:19">
      <c r="A30" s="9">
        <f t="shared" si="1"/>
        <v>8</v>
      </c>
      <c r="B30" s="9"/>
      <c r="C30" s="80" t="str">
        <f>Inputs!B32</f>
        <v>Tax Depreciation</v>
      </c>
      <c r="F30" s="1">
        <f t="shared" si="0"/>
        <v>4802</v>
      </c>
      <c r="O30" s="80"/>
      <c r="P30" s="80"/>
      <c r="Q30" s="80"/>
      <c r="R30" s="80"/>
      <c r="S30" s="80"/>
    </row>
    <row r="31" spans="1:19">
      <c r="A31" s="9">
        <f t="shared" si="1"/>
        <v>9</v>
      </c>
      <c r="B31" s="9"/>
      <c r="C31" s="80" t="str">
        <f>Inputs!B33</f>
        <v>Opening regulatory tax asset value 2010/11</v>
      </c>
      <c r="F31" s="1">
        <f t="shared" si="0"/>
        <v>57040</v>
      </c>
      <c r="O31" s="80"/>
      <c r="P31" s="80"/>
      <c r="Q31" s="80"/>
      <c r="R31" s="80"/>
      <c r="S31" s="80"/>
    </row>
    <row r="32" spans="1:19">
      <c r="A32" s="9">
        <f>A31+1</f>
        <v>10</v>
      </c>
      <c r="B32" s="9"/>
      <c r="C32" s="80" t="str">
        <f>Inputs!B34</f>
        <v>Other regulated income</v>
      </c>
      <c r="F32" s="1">
        <f t="shared" si="0"/>
        <v>0</v>
      </c>
      <c r="O32" s="80"/>
      <c r="P32" s="80"/>
      <c r="Q32" s="80"/>
      <c r="R32" s="80"/>
      <c r="S32" s="80"/>
    </row>
    <row r="33" spans="1:19">
      <c r="A33" s="9">
        <f>A32+1</f>
        <v>11</v>
      </c>
      <c r="B33" s="9"/>
      <c r="C33" s="80" t="str">
        <f>Inputs!B35</f>
        <v>Opening RAB 2009/10</v>
      </c>
      <c r="E33" s="1">
        <f t="shared" ref="E33:E37" si="2">INDEX(InputsBlock,A33+1,$G$1+2)</f>
        <v>301325</v>
      </c>
      <c r="O33" s="80"/>
      <c r="P33" s="80"/>
      <c r="Q33" s="80"/>
      <c r="R33" s="80"/>
      <c r="S33" s="80"/>
    </row>
    <row r="34" spans="1:19">
      <c r="A34" s="9">
        <f>A33+1</f>
        <v>12</v>
      </c>
      <c r="B34" s="9"/>
      <c r="C34" s="80" t="str">
        <f>Inputs!B36</f>
        <v>Disposed assets 2009/10</v>
      </c>
      <c r="E34" s="1">
        <f t="shared" si="2"/>
        <v>0</v>
      </c>
      <c r="O34" s="80"/>
      <c r="P34" s="80"/>
      <c r="Q34" s="80"/>
      <c r="R34" s="80"/>
      <c r="S34" s="80"/>
    </row>
    <row r="35" spans="1:19">
      <c r="A35" s="9">
        <f>A34+1</f>
        <v>13</v>
      </c>
      <c r="B35" s="9"/>
      <c r="C35" s="80" t="str">
        <f>Inputs!B37</f>
        <v>Opening regulatory tax asset value 2009/10</v>
      </c>
      <c r="E35" s="1">
        <f t="shared" si="2"/>
        <v>61857</v>
      </c>
      <c r="O35" s="80"/>
      <c r="P35" s="80"/>
      <c r="Q35" s="80"/>
      <c r="R35" s="80"/>
      <c r="S35" s="80"/>
    </row>
    <row r="36" spans="1:19">
      <c r="A36" s="9">
        <f t="shared" ref="A36:A41" si="3">A35+1</f>
        <v>14</v>
      </c>
      <c r="B36" s="9"/>
      <c r="C36" s="80" t="str">
        <f>Inputs!B38</f>
        <v>Tax Depreciation 2009/10</v>
      </c>
      <c r="E36" s="1">
        <f t="shared" si="2"/>
        <v>4847</v>
      </c>
      <c r="O36" s="80"/>
      <c r="P36" s="80"/>
      <c r="Q36" s="80"/>
      <c r="R36" s="80"/>
      <c r="S36" s="80"/>
    </row>
    <row r="37" spans="1:19">
      <c r="A37" s="9">
        <f t="shared" si="3"/>
        <v>15</v>
      </c>
      <c r="B37" s="9"/>
      <c r="C37" s="80" t="str">
        <f>Inputs!B39</f>
        <v>Weighted Average Remaining Life at year-end 2009/10</v>
      </c>
      <c r="E37" s="1" t="str">
        <f t="shared" si="2"/>
        <v>N/A</v>
      </c>
      <c r="O37" s="80"/>
      <c r="P37" s="80"/>
      <c r="Q37" s="80"/>
      <c r="R37" s="80"/>
      <c r="S37" s="80"/>
    </row>
    <row r="38" spans="1:19">
      <c r="A38" s="9">
        <f>A37+1</f>
        <v>16</v>
      </c>
      <c r="C38" s="80" t="str">
        <f>Inputs!B40</f>
        <v>Information &amp; building blocks year-end</v>
      </c>
      <c r="D38" s="44"/>
      <c r="E38" s="1" t="str">
        <f>INDEX(InputsBlock,A38+1,$G$1+2)</f>
        <v>December</v>
      </c>
      <c r="N38" s="44"/>
      <c r="O38" s="80"/>
      <c r="P38" s="80"/>
      <c r="Q38" s="80"/>
      <c r="R38" s="80"/>
      <c r="S38" s="80"/>
    </row>
    <row r="39" spans="1:19">
      <c r="A39" s="9">
        <f t="shared" si="3"/>
        <v>17</v>
      </c>
      <c r="C39" s="80" t="str">
        <f>Inputs!B41</f>
        <v>Pricing &amp; allowed revenue year-end</v>
      </c>
      <c r="D39" s="44"/>
      <c r="E39" s="1" t="str">
        <f>INDEX(InputsBlock,A39+1,$G$1+2)</f>
        <v>June</v>
      </c>
      <c r="N39" s="44"/>
      <c r="O39" s="80"/>
      <c r="P39" s="80"/>
      <c r="Q39" s="80"/>
      <c r="R39" s="80"/>
      <c r="S39" s="80"/>
    </row>
    <row r="40" spans="1:19">
      <c r="A40" s="9">
        <f t="shared" si="3"/>
        <v>18</v>
      </c>
      <c r="C40" s="80" t="str">
        <f>Inputs!B42</f>
        <v>Term Credit Spread Differential Allowance</v>
      </c>
      <c r="D40" s="44"/>
      <c r="E40" s="1"/>
      <c r="F40" s="139">
        <f>INDEX(InputsBlock,A40+1,$G$1+2)</f>
        <v>0</v>
      </c>
      <c r="N40" s="44"/>
      <c r="O40" s="80"/>
      <c r="P40" s="80"/>
      <c r="Q40" s="80"/>
      <c r="R40" s="80"/>
      <c r="S40" s="80"/>
    </row>
    <row r="41" spans="1:19">
      <c r="A41" s="9">
        <f t="shared" si="3"/>
        <v>19</v>
      </c>
      <c r="C41" s="80" t="s">
        <v>264</v>
      </c>
      <c r="D41" s="44"/>
      <c r="E41" s="139">
        <f>INDEX(InputsBlock,A41+1,$G$1+2)</f>
        <v>0</v>
      </c>
      <c r="N41" s="44"/>
      <c r="O41" s="80"/>
      <c r="P41" s="80"/>
      <c r="Q41" s="80"/>
      <c r="R41" s="80"/>
      <c r="S41" s="80"/>
    </row>
    <row r="42" spans="1:19">
      <c r="A42" s="9"/>
      <c r="C42" s="74" t="s">
        <v>220</v>
      </c>
      <c r="E42" s="74" t="s">
        <v>227</v>
      </c>
      <c r="N42" s="44"/>
      <c r="O42" s="80"/>
      <c r="P42" s="80"/>
      <c r="Q42" s="80"/>
      <c r="R42" s="80"/>
      <c r="S42" s="80"/>
    </row>
    <row r="43" spans="1:19">
      <c r="A43" s="9"/>
      <c r="C43" s="74" t="s">
        <v>221</v>
      </c>
      <c r="E43" s="1" t="s">
        <v>204</v>
      </c>
      <c r="N43" s="44"/>
      <c r="O43" s="80"/>
      <c r="P43" s="80"/>
      <c r="Q43" s="80"/>
      <c r="R43" s="80"/>
      <c r="S43" s="80"/>
    </row>
    <row r="44" spans="1:19">
      <c r="A44" s="9"/>
      <c r="O44" s="80"/>
      <c r="P44" s="80"/>
      <c r="Q44" s="80"/>
      <c r="R44" s="80"/>
      <c r="S44" s="80"/>
    </row>
    <row r="45" spans="1:19">
      <c r="E45" s="1"/>
      <c r="F45" s="81" t="str">
        <f>Inputs!E$12</f>
        <v>2010/11</v>
      </c>
      <c r="G45" s="81" t="str">
        <f>Inputs!F$12</f>
        <v>2011/12</v>
      </c>
      <c r="H45" s="81" t="str">
        <f>Inputs!G$12</f>
        <v>2012/13</v>
      </c>
      <c r="I45" s="81" t="str">
        <f>Inputs!H$12</f>
        <v>2013/14</v>
      </c>
      <c r="J45" s="81" t="str">
        <f>Inputs!I$12</f>
        <v>2014/15</v>
      </c>
      <c r="K45" s="81" t="str">
        <f>Inputs!J$12</f>
        <v>2015/16</v>
      </c>
      <c r="L45" s="81" t="str">
        <f>Inputs!K$12</f>
        <v>2016/17</v>
      </c>
      <c r="M45" s="81" t="str">
        <f>Inputs!L$12</f>
        <v>2017/18</v>
      </c>
      <c r="N45" s="44"/>
      <c r="O45" s="80"/>
      <c r="P45" s="80"/>
      <c r="Q45" s="80"/>
      <c r="R45" s="80"/>
      <c r="S45" s="80"/>
    </row>
    <row r="46" spans="1:19">
      <c r="C46" s="74" t="s">
        <v>211</v>
      </c>
      <c r="E46" s="1"/>
      <c r="F46" s="96">
        <v>0</v>
      </c>
      <c r="G46" s="15">
        <v>1</v>
      </c>
      <c r="H46" s="15">
        <v>2</v>
      </c>
      <c r="I46" s="15">
        <v>3</v>
      </c>
      <c r="J46" s="15">
        <v>4</v>
      </c>
      <c r="K46" s="15">
        <v>5</v>
      </c>
      <c r="L46" s="15">
        <v>6</v>
      </c>
      <c r="M46" s="15">
        <v>7</v>
      </c>
      <c r="N46" s="44"/>
      <c r="O46" s="80"/>
      <c r="P46" s="80"/>
      <c r="Q46" s="80"/>
      <c r="R46" s="80"/>
      <c r="S46" s="80"/>
    </row>
    <row r="47" spans="1:19">
      <c r="A47" s="9"/>
      <c r="B47" s="9"/>
      <c r="C47" s="74" t="s">
        <v>15</v>
      </c>
      <c r="E47" s="1"/>
      <c r="F47" s="43"/>
      <c r="G47" s="43">
        <f t="shared" ref="G47:M47" si="4">INDEX(OpexBlock,G46,$G$1)</f>
        <v>9049.7501487724985</v>
      </c>
      <c r="H47" s="43">
        <f t="shared" si="4"/>
        <v>12340.704746973583</v>
      </c>
      <c r="I47" s="43">
        <f t="shared" si="4"/>
        <v>12653.769862568573</v>
      </c>
      <c r="J47" s="43">
        <f t="shared" si="4"/>
        <v>13001.85971325796</v>
      </c>
      <c r="K47" s="43">
        <f t="shared" si="4"/>
        <v>13350.017491214847</v>
      </c>
      <c r="L47" s="43">
        <f t="shared" si="4"/>
        <v>13682.742725687782</v>
      </c>
      <c r="M47" s="43">
        <f t="shared" si="4"/>
        <v>0</v>
      </c>
      <c r="N47" s="44"/>
      <c r="O47" s="80"/>
      <c r="P47" s="80"/>
      <c r="Q47" s="80"/>
      <c r="R47" s="80"/>
      <c r="S47" s="80"/>
    </row>
    <row r="48" spans="1:19">
      <c r="A48" s="9"/>
      <c r="B48" s="9"/>
      <c r="C48" s="74" t="s">
        <v>113</v>
      </c>
      <c r="D48" s="1"/>
      <c r="E48" s="1"/>
      <c r="F48" s="174">
        <f>F29</f>
        <v>67</v>
      </c>
      <c r="G48" s="43">
        <f t="shared" ref="G48:M48" si="5">INDEX(CommAssetsBlock,G46,$G$1)</f>
        <v>132.90725802574445</v>
      </c>
      <c r="H48" s="43">
        <f t="shared" si="5"/>
        <v>302.49942994629163</v>
      </c>
      <c r="I48" s="43">
        <f t="shared" si="5"/>
        <v>2794.2580748269124</v>
      </c>
      <c r="J48" s="43">
        <f t="shared" si="5"/>
        <v>209.13245040632776</v>
      </c>
      <c r="K48" s="43">
        <f t="shared" si="5"/>
        <v>144.68800406178775</v>
      </c>
      <c r="L48" s="43">
        <f t="shared" si="5"/>
        <v>211.23628233683604</v>
      </c>
      <c r="M48" s="43">
        <f t="shared" si="5"/>
        <v>0</v>
      </c>
      <c r="N48" s="44"/>
      <c r="O48" s="80"/>
      <c r="P48" s="80"/>
      <c r="Q48" s="80"/>
      <c r="R48" s="80"/>
      <c r="S48" s="80"/>
    </row>
    <row r="49" spans="1:19">
      <c r="A49" s="9"/>
      <c r="B49" s="9"/>
      <c r="C49" s="74" t="s">
        <v>150</v>
      </c>
      <c r="D49" s="1"/>
      <c r="E49" s="44"/>
      <c r="F49" s="44">
        <f t="shared" ref="F49:M49" si="6">INDEX(ConstPriceRevGrwth,F$46+1,$G$1)</f>
        <v>-0.13620669539664057</v>
      </c>
      <c r="G49" s="44">
        <f t="shared" si="6"/>
        <v>-4.8529034142521688E-2</v>
      </c>
      <c r="H49" s="44">
        <f t="shared" si="6"/>
        <v>8.6478763596620177E-3</v>
      </c>
      <c r="I49" s="44">
        <f t="shared" si="6"/>
        <v>-4.1138541039843761E-2</v>
      </c>
      <c r="J49" s="44">
        <f t="shared" si="6"/>
        <v>-6.0672360934851385E-2</v>
      </c>
      <c r="K49" s="44">
        <f t="shared" si="6"/>
        <v>-6.0204778048143934E-2</v>
      </c>
      <c r="L49" s="44">
        <f t="shared" si="6"/>
        <v>-6.1225527832922184E-2</v>
      </c>
      <c r="M49" s="44">
        <f t="shared" si="6"/>
        <v>-6.1722467954496402E-2</v>
      </c>
      <c r="N49" s="44"/>
      <c r="O49" s="80"/>
      <c r="P49" s="80"/>
      <c r="Q49" s="80"/>
      <c r="R49" s="80"/>
      <c r="S49" s="80"/>
    </row>
    <row r="50" spans="1:19">
      <c r="A50" s="9"/>
      <c r="B50" s="9"/>
      <c r="C50" s="74" t="s">
        <v>170</v>
      </c>
      <c r="D50" s="1"/>
      <c r="E50" s="44"/>
      <c r="F50" s="44"/>
      <c r="G50" s="94"/>
      <c r="H50" s="94">
        <f t="shared" ref="H50:M50" si="7">INDEX(BBlockMths,H$46-1,$G$1)</f>
        <v>6</v>
      </c>
      <c r="I50" s="94">
        <f t="shared" si="7"/>
        <v>12</v>
      </c>
      <c r="J50" s="94">
        <f t="shared" si="7"/>
        <v>12</v>
      </c>
      <c r="K50" s="94">
        <f t="shared" si="7"/>
        <v>12</v>
      </c>
      <c r="L50" s="94">
        <f t="shared" si="7"/>
        <v>9</v>
      </c>
      <c r="M50" s="94">
        <f t="shared" si="7"/>
        <v>0</v>
      </c>
      <c r="N50" s="44"/>
      <c r="O50" s="80"/>
      <c r="P50" s="80"/>
      <c r="Q50" s="80"/>
      <c r="R50" s="80"/>
      <c r="S50" s="80"/>
    </row>
    <row r="51" spans="1:19">
      <c r="A51" s="9"/>
      <c r="B51" s="9"/>
      <c r="C51" s="74" t="s">
        <v>171</v>
      </c>
      <c r="D51" s="1"/>
      <c r="E51" s="44"/>
      <c r="F51" s="44"/>
      <c r="G51" s="94"/>
      <c r="H51" s="94">
        <f t="shared" ref="H51:M51" si="8">INDEX(AllowedRevMths,H$46-1,$G$1)</f>
        <v>0</v>
      </c>
      <c r="I51" s="94">
        <f t="shared" si="8"/>
        <v>12</v>
      </c>
      <c r="J51" s="94">
        <f t="shared" si="8"/>
        <v>12</v>
      </c>
      <c r="K51" s="94">
        <f t="shared" si="8"/>
        <v>12</v>
      </c>
      <c r="L51" s="94">
        <f t="shared" si="8"/>
        <v>12</v>
      </c>
      <c r="M51" s="94">
        <f t="shared" si="8"/>
        <v>3</v>
      </c>
      <c r="N51" s="44"/>
      <c r="O51" s="80"/>
      <c r="P51" s="80"/>
      <c r="Q51" s="80"/>
      <c r="R51" s="80"/>
      <c r="S51" s="80"/>
    </row>
    <row r="52" spans="1:19">
      <c r="A52" s="9"/>
      <c r="B52" s="9"/>
      <c r="D52" s="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80"/>
      <c r="P52" s="80"/>
      <c r="Q52" s="80"/>
      <c r="R52" s="80"/>
      <c r="S52" s="80"/>
    </row>
    <row r="53" spans="1:19">
      <c r="A53" s="9"/>
      <c r="B53" s="9"/>
      <c r="D53" s="1"/>
      <c r="E53" s="44"/>
      <c r="G53" s="44"/>
      <c r="H53" s="44"/>
      <c r="I53" s="44"/>
      <c r="J53" s="44"/>
      <c r="K53" s="44"/>
      <c r="L53" s="44"/>
      <c r="M53" s="44"/>
      <c r="N53" s="44"/>
      <c r="O53" s="80"/>
      <c r="P53" s="80"/>
      <c r="Q53" s="80"/>
      <c r="R53" s="80"/>
      <c r="S53" s="80"/>
    </row>
    <row r="54" spans="1:19" ht="15.75">
      <c r="A54" s="9"/>
      <c r="B54" s="9"/>
      <c r="C54" s="79" t="s">
        <v>139</v>
      </c>
      <c r="D54" s="1"/>
      <c r="E54" s="81" t="str">
        <f>Inputs!D$12</f>
        <v>2009/10</v>
      </c>
      <c r="F54" s="81" t="str">
        <f>Inputs!E$12</f>
        <v>2010/11</v>
      </c>
      <c r="G54" s="81" t="str">
        <f>Inputs!F$12</f>
        <v>2011/12</v>
      </c>
      <c r="H54" s="81" t="str">
        <f>Inputs!G$12</f>
        <v>2012/13</v>
      </c>
      <c r="I54" s="81" t="str">
        <f>Inputs!H$12</f>
        <v>2013/14</v>
      </c>
      <c r="J54" s="81" t="str">
        <f>Inputs!I$12</f>
        <v>2014/15</v>
      </c>
      <c r="K54" s="81" t="str">
        <f>Inputs!J$12</f>
        <v>2015/16</v>
      </c>
      <c r="L54" s="81" t="str">
        <f>Inputs!K$12</f>
        <v>2016/17</v>
      </c>
      <c r="M54" s="81" t="str">
        <f>Inputs!L$12</f>
        <v>2017/18</v>
      </c>
      <c r="N54" s="44"/>
      <c r="O54" s="92"/>
      <c r="P54" s="80"/>
      <c r="Q54" s="80"/>
      <c r="R54" s="80"/>
      <c r="S54" s="80"/>
    </row>
    <row r="55" spans="1:19">
      <c r="A55" s="9"/>
      <c r="B55" s="9"/>
      <c r="C55" s="80" t="str">
        <f>Inputs!B16</f>
        <v>Change in CPI, 2 index, June year-end, no lag</v>
      </c>
      <c r="D55" s="1"/>
      <c r="E55" s="77">
        <f>Inputs!D16</f>
        <v>1.6651248843663202E-2</v>
      </c>
      <c r="F55" s="77">
        <f>Inputs!E16</f>
        <v>3.2132598262234913E-2</v>
      </c>
      <c r="G55" s="77">
        <f>Inputs!F16</f>
        <v>9.5073465859982775E-3</v>
      </c>
      <c r="H55" s="77">
        <f>Inputs!G16</f>
        <v>2.1404109589041154E-2</v>
      </c>
      <c r="I55" s="77">
        <f>Inputs!H16</f>
        <v>2.0117351215423351E-2</v>
      </c>
      <c r="J55" s="77">
        <f>Inputs!I16</f>
        <v>2.2144831398562603E-2</v>
      </c>
      <c r="K55" s="77">
        <f>Inputs!J16</f>
        <v>2.1072415699281422E-2</v>
      </c>
      <c r="L55" s="77">
        <f>Inputs!K16</f>
        <v>2.0000000000000018E-2</v>
      </c>
      <c r="M55" s="77">
        <f>Inputs!L16</f>
        <v>2.0000000000000018E-2</v>
      </c>
      <c r="O55" s="92"/>
      <c r="P55" s="80"/>
      <c r="Q55" s="80"/>
      <c r="R55" s="80"/>
      <c r="S55" s="80"/>
    </row>
    <row r="56" spans="1:19">
      <c r="A56" s="9"/>
      <c r="B56" s="9"/>
      <c r="C56" s="80" t="str">
        <f>Inputs!B17</f>
        <v>Change in CPI, 2 index, December year-end, no lag</v>
      </c>
      <c r="D56" s="1"/>
      <c r="E56" s="35">
        <f>Inputs!D17</f>
        <v>1.9858995748345043E-2</v>
      </c>
      <c r="F56" s="35">
        <f>Inputs!E17</f>
        <v>1.846965699208436E-2</v>
      </c>
      <c r="G56" s="35">
        <f>Inputs!F17</f>
        <v>1.899827288428324E-2</v>
      </c>
      <c r="H56" s="35">
        <f>Inputs!G17</f>
        <v>1.6949152542372836E-2</v>
      </c>
      <c r="I56" s="35">
        <f>Inputs!H17</f>
        <v>2.1666666666666723E-2</v>
      </c>
      <c r="J56" s="35">
        <f>Inputs!I17</f>
        <v>2.2144831398562603E-2</v>
      </c>
      <c r="K56" s="35">
        <f>Inputs!J17</f>
        <v>2.1072415699281422E-2</v>
      </c>
      <c r="L56" s="35">
        <f>Inputs!K17</f>
        <v>2.0000000000000018E-2</v>
      </c>
      <c r="M56" s="35">
        <f>Inputs!L17</f>
        <v>2.0000000000000018E-2</v>
      </c>
      <c r="O56" s="92"/>
      <c r="P56" s="80"/>
      <c r="Q56" s="80"/>
      <c r="R56" s="80"/>
      <c r="S56" s="80"/>
    </row>
    <row r="57" spans="1:19">
      <c r="A57" s="9"/>
      <c r="B57" s="9"/>
      <c r="C57" s="80" t="str">
        <f>Inputs!B18</f>
        <v>Change in CPI, 8 index, June year-end, with 1.02 factor</v>
      </c>
      <c r="D57" s="1"/>
      <c r="E57" s="77"/>
      <c r="F57" s="77"/>
      <c r="G57" s="77"/>
      <c r="H57" s="77"/>
      <c r="I57" s="77">
        <f>Inputs!H18</f>
        <v>1.29785853341986E-2</v>
      </c>
      <c r="J57" s="77">
        <f>Inputs!I18</f>
        <v>1.9205353664219604E-2</v>
      </c>
      <c r="K57" s="77">
        <f>Inputs!J18</f>
        <v>2.0308989315472648E-2</v>
      </c>
      <c r="L57" s="77">
        <f>Inputs!K18</f>
        <v>2.2410409892577032E-2</v>
      </c>
      <c r="M57" s="77">
        <f>Inputs!L18</f>
        <v>2.1338203775091324E-2</v>
      </c>
      <c r="O57" s="92"/>
      <c r="P57" s="80"/>
      <c r="Q57" s="80"/>
      <c r="R57" s="80"/>
      <c r="S57" s="80"/>
    </row>
    <row r="58" spans="1:19">
      <c r="A58" s="9"/>
      <c r="B58" s="9"/>
      <c r="C58" s="80" t="str">
        <f>Inputs!B19</f>
        <v>Change in CPI, 8 index, Sept year-end, with 1.02 factor</v>
      </c>
      <c r="E58" s="77"/>
      <c r="F58" s="77"/>
      <c r="G58" s="77"/>
      <c r="H58" s="77"/>
      <c r="I58" s="77">
        <f>Inputs!H19</f>
        <v>1.3574660633484115E-2</v>
      </c>
      <c r="J58" s="77">
        <f>Inputs!I19</f>
        <v>1.9119615478218499E-2</v>
      </c>
      <c r="K58" s="77">
        <f>Inputs!J19</f>
        <v>2.1680202356610057E-2</v>
      </c>
      <c r="L58" s="77">
        <f>Inputs!K19</f>
        <v>2.2144831398562603E-2</v>
      </c>
      <c r="M58" s="77">
        <f>Inputs!L19</f>
        <v>2.1072415699281422E-2</v>
      </c>
      <c r="O58" s="92"/>
      <c r="P58" s="80"/>
      <c r="Q58" s="80"/>
      <c r="R58" s="80"/>
      <c r="S58" s="80"/>
    </row>
    <row r="59" spans="1:19">
      <c r="A59" s="9"/>
      <c r="B59" s="9"/>
      <c r="C59" s="80" t="str">
        <f>Inputs!B20</f>
        <v>Change in CPI, 8 index, June year-end, no 1.02 factor</v>
      </c>
      <c r="E59" s="77"/>
      <c r="F59" s="77"/>
      <c r="G59" s="77">
        <f>Inputs!F20</f>
        <v>2.3020257826887658E-2</v>
      </c>
      <c r="H59" s="77">
        <f>Inputs!G20</f>
        <v>4.0279027902790254E-2</v>
      </c>
      <c r="I59" s="77">
        <f>Inputs!H20</f>
        <v>1.29785853341986E-2</v>
      </c>
      <c r="J59" s="77">
        <f>Inputs!I20</f>
        <v>1.9205353664219604E-2</v>
      </c>
      <c r="K59" s="77">
        <f>Inputs!J20</f>
        <v>2.0308989315472648E-2</v>
      </c>
      <c r="L59" s="77">
        <f>Inputs!K20</f>
        <v>2.2410409892577032E-2</v>
      </c>
      <c r="M59" s="77">
        <f>Inputs!L20</f>
        <v>2.1338203775091324E-2</v>
      </c>
      <c r="O59" s="92"/>
      <c r="P59" s="80"/>
      <c r="Q59" s="80"/>
      <c r="R59" s="80"/>
      <c r="S59" s="80"/>
    </row>
    <row r="60" spans="1:19">
      <c r="A60" s="9"/>
      <c r="B60" s="9"/>
      <c r="C60" s="80" t="str">
        <f>Inputs!B21</f>
        <v>Change in CPI, 8 index, Sept year-end, no 1.02 factor</v>
      </c>
      <c r="E60" s="77"/>
      <c r="F60" s="77">
        <f>Inputs!E21</f>
        <v>1.890315052508762E-2</v>
      </c>
      <c r="G60" s="77">
        <f>Inputs!F21</f>
        <v>2.9088410444342738E-2</v>
      </c>
      <c r="H60" s="77">
        <f>Inputs!G21</f>
        <v>3.2940129089695125E-2</v>
      </c>
      <c r="I60" s="77">
        <f>Inputs!H21</f>
        <v>1.3574660633484115E-2</v>
      </c>
      <c r="J60" s="77">
        <f>Inputs!I21</f>
        <v>1.9119615478218499E-2</v>
      </c>
      <c r="K60" s="77">
        <f>Inputs!J21</f>
        <v>2.1680202356610057E-2</v>
      </c>
      <c r="L60" s="77">
        <f>Inputs!K21</f>
        <v>2.2144831398562603E-2</v>
      </c>
      <c r="M60" s="77">
        <f>Inputs!L21</f>
        <v>2.1072415699281422E-2</v>
      </c>
      <c r="O60" s="92"/>
      <c r="P60" s="80"/>
      <c r="Q60" s="80"/>
      <c r="R60" s="80"/>
      <c r="S60" s="80"/>
    </row>
    <row r="61" spans="1:19">
      <c r="A61" s="9"/>
      <c r="B61" s="9"/>
      <c r="E61" s="77"/>
      <c r="F61" s="77"/>
      <c r="G61" s="77"/>
      <c r="H61" s="77"/>
      <c r="I61" s="77"/>
      <c r="J61" s="77"/>
      <c r="K61" s="77"/>
      <c r="L61" s="77"/>
      <c r="M61" s="77"/>
      <c r="O61" s="91"/>
      <c r="P61" s="80"/>
      <c r="Q61" s="80"/>
      <c r="R61" s="80"/>
      <c r="S61" s="80"/>
    </row>
    <row r="62" spans="1:19" ht="21">
      <c r="A62" s="9"/>
      <c r="B62" s="9"/>
      <c r="C62" s="3" t="s">
        <v>213</v>
      </c>
      <c r="E62" s="77"/>
      <c r="F62" s="77"/>
      <c r="G62" s="77"/>
      <c r="H62" s="77"/>
      <c r="I62" s="77"/>
      <c r="J62" s="77"/>
      <c r="K62" s="77"/>
      <c r="L62" s="77"/>
      <c r="M62" s="77"/>
      <c r="O62" s="91"/>
      <c r="P62" s="80"/>
      <c r="Q62" s="80"/>
      <c r="R62" s="80"/>
      <c r="S62" s="80"/>
    </row>
    <row r="63" spans="1:19">
      <c r="A63" s="9"/>
      <c r="B63" s="9"/>
      <c r="C63" s="40"/>
      <c r="E63" s="40"/>
      <c r="F63" s="40" t="s">
        <v>40</v>
      </c>
      <c r="I63" s="10" t="s">
        <v>5</v>
      </c>
      <c r="O63" s="91"/>
      <c r="P63" s="91"/>
      <c r="Q63" s="91"/>
      <c r="R63" s="91"/>
      <c r="S63" s="80"/>
    </row>
    <row r="64" spans="1:19">
      <c r="A64" s="9"/>
      <c r="B64" s="9"/>
      <c r="C64" s="40"/>
      <c r="D64" s="40"/>
      <c r="E64" s="40"/>
      <c r="O64" s="91"/>
      <c r="P64" s="91"/>
      <c r="Q64" s="91"/>
      <c r="R64" s="91"/>
      <c r="S64" s="80"/>
    </row>
    <row r="65" spans="1:30">
      <c r="A65" s="9"/>
      <c r="B65" s="9"/>
      <c r="C65" s="40"/>
      <c r="E65" s="81" t="str">
        <f t="shared" ref="E65:M65" si="9">E21</f>
        <v>2009/10</v>
      </c>
      <c r="F65" s="81" t="str">
        <f t="shared" si="9"/>
        <v>2010/11</v>
      </c>
      <c r="G65" s="81" t="str">
        <f t="shared" si="9"/>
        <v>2011/12</v>
      </c>
      <c r="H65" s="81" t="str">
        <f t="shared" si="9"/>
        <v>2012/13</v>
      </c>
      <c r="I65" s="81" t="str">
        <f t="shared" si="9"/>
        <v>2013/14</v>
      </c>
      <c r="J65" s="81" t="str">
        <f t="shared" si="9"/>
        <v>2014/15</v>
      </c>
      <c r="K65" s="81" t="str">
        <f t="shared" si="9"/>
        <v>2015/16</v>
      </c>
      <c r="L65" s="81" t="str">
        <f t="shared" si="9"/>
        <v>2016/17</v>
      </c>
      <c r="M65" s="81" t="str">
        <f t="shared" si="9"/>
        <v>2017/18</v>
      </c>
      <c r="O65" s="43"/>
      <c r="P65" s="43"/>
      <c r="Q65" s="43"/>
      <c r="R65" s="43"/>
    </row>
    <row r="66" spans="1:30">
      <c r="A66" s="9"/>
      <c r="B66" s="9"/>
      <c r="C66" s="98" t="s">
        <v>190</v>
      </c>
      <c r="E66" s="81"/>
      <c r="F66" s="81"/>
      <c r="G66" s="81"/>
      <c r="H66" s="81"/>
      <c r="I66" s="81"/>
      <c r="J66" s="81"/>
      <c r="K66" s="81"/>
      <c r="L66" s="81"/>
      <c r="M66" s="81"/>
      <c r="O66" s="43"/>
      <c r="P66" s="43"/>
      <c r="Q66" s="43"/>
      <c r="R66" s="43"/>
    </row>
    <row r="67" spans="1:30" ht="18">
      <c r="A67" s="9"/>
      <c r="B67" s="9"/>
      <c r="C67" s="40" t="s">
        <v>189</v>
      </c>
      <c r="E67" s="21"/>
      <c r="F67" s="17"/>
      <c r="G67" s="17"/>
      <c r="H67" s="175">
        <f>IF($G$1=4,IntraYr!D8,1)</f>
        <v>1.0182526280325559</v>
      </c>
      <c r="I67" s="101">
        <f>IntraYr!$F$8</f>
        <v>1.0364307906539196</v>
      </c>
      <c r="J67" s="101">
        <f>IntraYr!$F$8</f>
        <v>1.0364307906539196</v>
      </c>
      <c r="K67" s="117">
        <f>IntraYr!$F$8</f>
        <v>1.0364307906539196</v>
      </c>
      <c r="L67" s="176">
        <f>IF($G$1=4,IntraYr!E8,IntraYr!$F$8)</f>
        <v>1.0270995450725937</v>
      </c>
      <c r="M67" s="101">
        <f>IF($G$1=4,1,IntraYr!C8)</f>
        <v>1</v>
      </c>
      <c r="O67" s="43"/>
      <c r="P67" s="43"/>
      <c r="Q67" s="43"/>
      <c r="R67" s="43"/>
    </row>
    <row r="68" spans="1:30" ht="18">
      <c r="A68" s="9"/>
      <c r="B68" s="9"/>
      <c r="C68" s="40" t="s">
        <v>50</v>
      </c>
      <c r="E68" s="21"/>
      <c r="F68" s="17"/>
      <c r="G68" s="17"/>
      <c r="H68" s="175">
        <f>IF($G$1=4,IntraYr!D9,1)</f>
        <v>1.011269756270474</v>
      </c>
      <c r="I68" s="101">
        <f>IntraYr!$F$9</f>
        <v>1.0295256528345071</v>
      </c>
      <c r="J68" s="101">
        <f>IntraYr!$F$9</f>
        <v>1.0295256528345071</v>
      </c>
      <c r="K68" s="117">
        <f>IntraYr!$F$9</f>
        <v>1.0295256528345071</v>
      </c>
      <c r="L68" s="176">
        <f>IF($G$1=4,IntraYr!E9,IntraYr!$F$9)</f>
        <v>1.0202565759356894</v>
      </c>
      <c r="M68" s="101">
        <f>IF($G$1=4,1,IntraYr!C9)</f>
        <v>1</v>
      </c>
      <c r="O68" s="43"/>
      <c r="P68" s="43"/>
      <c r="Q68" s="43"/>
      <c r="R68" s="43"/>
    </row>
    <row r="69" spans="1:30">
      <c r="A69" s="9"/>
      <c r="B69" s="9"/>
      <c r="C69" s="40"/>
      <c r="E69" s="21"/>
      <c r="F69" s="17"/>
      <c r="G69" s="17"/>
      <c r="H69" s="101"/>
      <c r="I69" s="101"/>
      <c r="J69" s="101"/>
      <c r="K69" s="102"/>
      <c r="L69" s="102"/>
      <c r="M69" s="102"/>
      <c r="O69" s="43"/>
      <c r="P69" s="43"/>
      <c r="Q69" s="43"/>
    </row>
    <row r="70" spans="1:30">
      <c r="A70" s="9"/>
      <c r="B70" s="9"/>
      <c r="C70" s="99" t="s">
        <v>191</v>
      </c>
      <c r="E70" s="21"/>
      <c r="F70" s="17"/>
      <c r="G70" s="17"/>
      <c r="H70" s="101"/>
      <c r="I70" s="101"/>
      <c r="J70" s="101"/>
      <c r="K70" s="102"/>
      <c r="L70" s="102"/>
      <c r="M70" s="102"/>
      <c r="O70" s="43"/>
      <c r="P70" s="43"/>
      <c r="Q70" s="43"/>
    </row>
    <row r="71" spans="1:30" ht="18">
      <c r="A71" s="9"/>
      <c r="B71" s="9"/>
      <c r="C71" s="40" t="s">
        <v>189</v>
      </c>
      <c r="E71" s="21"/>
      <c r="F71" s="17"/>
      <c r="G71" s="17"/>
      <c r="H71" s="175">
        <f>IF($G$1=4,1,IntraYr!C8)</f>
        <v>1</v>
      </c>
      <c r="I71" s="101">
        <f>IntraYr!$F$8</f>
        <v>1.0364307906539196</v>
      </c>
      <c r="J71" s="101">
        <f>IntraYr!$F$8</f>
        <v>1.0364307906539196</v>
      </c>
      <c r="K71" s="101">
        <f>IntraYr!$F$8</f>
        <v>1.0364307906539196</v>
      </c>
      <c r="L71" s="175">
        <f>IntraYr!$F$8</f>
        <v>1.0364307906539196</v>
      </c>
      <c r="M71" s="101">
        <f>IF($G$1=4,IntraYr!C8,1)</f>
        <v>1.0090850449949973</v>
      </c>
      <c r="O71" s="43"/>
      <c r="P71" s="43"/>
      <c r="Q71" s="43"/>
    </row>
    <row r="72" spans="1:30" ht="18">
      <c r="A72" s="9"/>
      <c r="B72" s="9"/>
      <c r="C72" s="40" t="s">
        <v>50</v>
      </c>
      <c r="E72" s="21"/>
      <c r="F72" s="17"/>
      <c r="G72" s="17"/>
      <c r="H72" s="175">
        <f>IF($G$1=4,1,IntraYr!C9)</f>
        <v>1</v>
      </c>
      <c r="I72" s="101">
        <f>IntraYr!$F$9</f>
        <v>1.0295256528345071</v>
      </c>
      <c r="J72" s="101">
        <f>IntraYr!$F$9</f>
        <v>1.0295256528345071</v>
      </c>
      <c r="K72" s="101">
        <f>IntraYr!$F$9</f>
        <v>1.0295256528345071</v>
      </c>
      <c r="L72" s="175">
        <f>IntraYr!$F$9</f>
        <v>1.0295256528345071</v>
      </c>
      <c r="M72" s="101">
        <f>IF($G$1=4,IntraYr!C9,1)</f>
        <v>1.0019680262519974</v>
      </c>
      <c r="O72" s="91"/>
      <c r="P72" s="91"/>
      <c r="Q72" s="91"/>
      <c r="R72" s="80"/>
      <c r="S72" s="80"/>
    </row>
    <row r="73" spans="1:30">
      <c r="A73" s="9"/>
      <c r="B73" s="9"/>
      <c r="D73" s="1"/>
      <c r="O73" s="80"/>
      <c r="P73" s="80"/>
      <c r="Q73" s="80"/>
      <c r="R73" s="80"/>
      <c r="S73" s="80"/>
    </row>
    <row r="74" spans="1:30" ht="23.25">
      <c r="C74" s="84" t="s">
        <v>4</v>
      </c>
      <c r="D74" s="85" t="s">
        <v>19</v>
      </c>
      <c r="E74" s="2"/>
      <c r="F74" s="85" t="s">
        <v>18</v>
      </c>
      <c r="G74" s="2"/>
      <c r="H74" s="2"/>
      <c r="I74" s="2"/>
      <c r="J74" s="2"/>
      <c r="K74" s="2"/>
      <c r="L74" s="2"/>
      <c r="M74" s="2"/>
      <c r="N74" s="2"/>
      <c r="O74" s="228"/>
      <c r="P74" s="228"/>
      <c r="Q74" s="228"/>
      <c r="R74" s="228"/>
      <c r="S74" s="228"/>
    </row>
    <row r="75" spans="1:30">
      <c r="E75" s="10" t="str">
        <f>E$21</f>
        <v>2009/10</v>
      </c>
      <c r="F75" s="10" t="str">
        <f t="shared" ref="F75:M75" si="10">F$21</f>
        <v>2010/11</v>
      </c>
      <c r="G75" s="10" t="str">
        <f t="shared" si="10"/>
        <v>2011/12</v>
      </c>
      <c r="H75" s="10" t="str">
        <f t="shared" si="10"/>
        <v>2012/13</v>
      </c>
      <c r="I75" s="10" t="str">
        <f t="shared" si="10"/>
        <v>2013/14</v>
      </c>
      <c r="J75" s="10" t="str">
        <f t="shared" si="10"/>
        <v>2014/15</v>
      </c>
      <c r="K75" s="10" t="str">
        <f t="shared" si="10"/>
        <v>2015/16</v>
      </c>
      <c r="L75" s="10" t="str">
        <f t="shared" si="10"/>
        <v>2016/17</v>
      </c>
      <c r="M75" s="10" t="str">
        <f t="shared" si="10"/>
        <v>2017/18</v>
      </c>
      <c r="N75" s="10"/>
      <c r="O75" s="213"/>
      <c r="P75" s="169"/>
      <c r="Q75" s="80"/>
      <c r="R75" s="80"/>
      <c r="S75" s="80"/>
    </row>
    <row r="76" spans="1:30"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37"/>
      <c r="P76" s="80"/>
      <c r="Q76" s="229"/>
      <c r="R76" s="229"/>
      <c r="S76" s="229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 ht="21">
      <c r="C77" s="3" t="s">
        <v>205</v>
      </c>
      <c r="D77" s="3"/>
      <c r="E77" s="3"/>
      <c r="F77" s="3"/>
      <c r="G77" s="3"/>
      <c r="H77" s="77"/>
      <c r="I77" s="77"/>
      <c r="J77" s="77"/>
      <c r="K77" s="77"/>
      <c r="L77" s="77"/>
      <c r="M77" s="77"/>
      <c r="N77" s="77"/>
      <c r="O77" s="37"/>
      <c r="P77" s="80"/>
      <c r="Q77" s="229"/>
      <c r="R77" s="229"/>
      <c r="S77" s="229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>
      <c r="C78" s="80" t="s">
        <v>437</v>
      </c>
      <c r="E78" s="77"/>
      <c r="F78" s="77"/>
      <c r="G78" s="77"/>
      <c r="H78" s="77"/>
      <c r="I78" s="77">
        <f t="shared" ref="I78:M78" si="11">IF($G$1=4,I57,I58)</f>
        <v>1.29785853341986E-2</v>
      </c>
      <c r="J78" s="77">
        <f t="shared" si="11"/>
        <v>1.9205353664219604E-2</v>
      </c>
      <c r="K78" s="77">
        <f t="shared" si="11"/>
        <v>2.0308989315472648E-2</v>
      </c>
      <c r="L78" s="77">
        <f t="shared" si="11"/>
        <v>2.2410409892577032E-2</v>
      </c>
      <c r="M78" s="77">
        <f t="shared" si="11"/>
        <v>2.1338203775091324E-2</v>
      </c>
      <c r="N78" s="77"/>
      <c r="O78" s="37"/>
      <c r="P78" s="80"/>
      <c r="Q78" s="229"/>
      <c r="R78" s="229"/>
      <c r="S78" s="229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 ht="6" customHeight="1">
      <c r="C79" s="8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37"/>
      <c r="P79" s="80"/>
      <c r="Q79" s="229"/>
      <c r="R79" s="229"/>
      <c r="S79" s="229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 ht="3" customHeight="1">
      <c r="A80" s="120"/>
      <c r="B80" s="120"/>
      <c r="C80" s="120"/>
      <c r="D80" s="1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37"/>
      <c r="P80" s="80"/>
      <c r="Q80" s="229"/>
      <c r="R80" s="229"/>
      <c r="S80" s="229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3:30" ht="21">
      <c r="C81" s="80"/>
      <c r="E81" s="123" t="str">
        <f>"All information below this line down to Row " &amp; ROW(E289) &amp; " is in " &amp; E38 &amp; " year-ends."</f>
        <v>All information below this line down to Row 289 is in December year-ends.</v>
      </c>
      <c r="F81" s="77"/>
      <c r="G81" s="77"/>
      <c r="H81" s="77"/>
      <c r="I81" s="77"/>
      <c r="J81" s="77"/>
      <c r="K81" s="77"/>
      <c r="L81" s="77"/>
      <c r="M81" s="77"/>
      <c r="N81" s="77"/>
      <c r="O81" s="37"/>
      <c r="P81" s="80"/>
      <c r="Q81" s="229"/>
      <c r="R81" s="229"/>
      <c r="S81" s="229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3:30" ht="6" customHeight="1">
      <c r="C82" s="8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37"/>
      <c r="P82" s="80"/>
      <c r="Q82" s="229"/>
      <c r="R82" s="229"/>
      <c r="S82" s="229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3:30" ht="45">
      <c r="C83" s="129" t="s">
        <v>241</v>
      </c>
      <c r="D83" s="40"/>
      <c r="E83" s="127" t="str">
        <f t="shared" ref="E83:M83" si="12">E9</f>
        <v>01/01/10 to 31/12/10</v>
      </c>
      <c r="F83" s="127" t="str">
        <f t="shared" si="12"/>
        <v>01/01/11 to 31/12/11</v>
      </c>
      <c r="G83" s="127" t="str">
        <f t="shared" si="12"/>
        <v>01/01/12 to 31/12/12</v>
      </c>
      <c r="H83" s="127" t="str">
        <f t="shared" si="12"/>
        <v>01/01/13 to 31/12/13</v>
      </c>
      <c r="I83" s="127" t="str">
        <f t="shared" si="12"/>
        <v>01/01/14 to 31/12/14</v>
      </c>
      <c r="J83" s="127" t="str">
        <f t="shared" si="12"/>
        <v>01/01/15 to 31/12/15</v>
      </c>
      <c r="K83" s="127" t="str">
        <f t="shared" si="12"/>
        <v>01/01/16 to 31/12/16</v>
      </c>
      <c r="L83" s="127" t="str">
        <f t="shared" si="12"/>
        <v>01/01/17 to 31/12/17</v>
      </c>
      <c r="M83" s="127" t="str">
        <f t="shared" si="12"/>
        <v>01/01/18 to 31/12/18</v>
      </c>
      <c r="N83" s="77"/>
      <c r="O83" s="37"/>
      <c r="P83" s="80"/>
      <c r="Q83" s="229"/>
      <c r="R83" s="229"/>
      <c r="S83" s="229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3:30">
      <c r="C84" s="74" t="s">
        <v>89</v>
      </c>
      <c r="E84" s="35">
        <f t="shared" ref="E84:M84" si="13">IF($G$1=4,E56,E55)</f>
        <v>1.9858995748345043E-2</v>
      </c>
      <c r="F84" s="35">
        <f t="shared" si="13"/>
        <v>1.846965699208436E-2</v>
      </c>
      <c r="G84" s="35">
        <f t="shared" si="13"/>
        <v>1.899827288428324E-2</v>
      </c>
      <c r="H84" s="35">
        <f t="shared" si="13"/>
        <v>1.6949152542372836E-2</v>
      </c>
      <c r="I84" s="35">
        <f t="shared" si="13"/>
        <v>2.1666666666666723E-2</v>
      </c>
      <c r="J84" s="35">
        <f t="shared" si="13"/>
        <v>2.2144831398562603E-2</v>
      </c>
      <c r="K84" s="35">
        <f t="shared" si="13"/>
        <v>2.1072415699281422E-2</v>
      </c>
      <c r="L84" s="35">
        <f t="shared" si="13"/>
        <v>2.0000000000000018E-2</v>
      </c>
      <c r="M84" s="35">
        <f t="shared" si="13"/>
        <v>2.0000000000000018E-2</v>
      </c>
      <c r="N84" s="21"/>
      <c r="O84" s="37"/>
      <c r="P84" s="80"/>
      <c r="Q84" s="80"/>
      <c r="R84" s="80"/>
      <c r="S84" s="80"/>
    </row>
    <row r="85" spans="3:30">
      <c r="C85" s="74" t="s">
        <v>119</v>
      </c>
      <c r="E85" s="35"/>
      <c r="F85" s="35"/>
      <c r="G85" s="35">
        <f>IF($G$1=4,G56,G55)</f>
        <v>1.899827288428324E-2</v>
      </c>
      <c r="H85" s="35">
        <f t="shared" ref="H85:M85" si="14">IF($G$1=4,H56,H55)</f>
        <v>1.6949152542372836E-2</v>
      </c>
      <c r="I85" s="35">
        <f t="shared" si="14"/>
        <v>2.1666666666666723E-2</v>
      </c>
      <c r="J85" s="35">
        <f t="shared" si="14"/>
        <v>2.2144831398562603E-2</v>
      </c>
      <c r="K85" s="35">
        <f t="shared" si="14"/>
        <v>2.1072415699281422E-2</v>
      </c>
      <c r="L85" s="35">
        <f t="shared" si="14"/>
        <v>2.0000000000000018E-2</v>
      </c>
      <c r="M85" s="35">
        <f t="shared" si="14"/>
        <v>2.0000000000000018E-2</v>
      </c>
      <c r="N85" s="21"/>
      <c r="O85" s="37"/>
      <c r="P85" s="80"/>
      <c r="Q85" s="80"/>
      <c r="R85" s="80"/>
      <c r="S85" s="80"/>
    </row>
    <row r="86" spans="3:30">
      <c r="C86" s="80" t="s">
        <v>85</v>
      </c>
      <c r="D86" s="80"/>
      <c r="E86" s="80"/>
      <c r="F86" s="174">
        <f>F32</f>
        <v>0</v>
      </c>
      <c r="G86" s="37">
        <f t="shared" ref="G86:M86" si="15">F86*(1+G85)</f>
        <v>0</v>
      </c>
      <c r="H86" s="37">
        <f t="shared" si="15"/>
        <v>0</v>
      </c>
      <c r="I86" s="37">
        <f t="shared" si="15"/>
        <v>0</v>
      </c>
      <c r="J86" s="37">
        <f t="shared" si="15"/>
        <v>0</v>
      </c>
      <c r="K86" s="37">
        <f t="shared" si="15"/>
        <v>0</v>
      </c>
      <c r="L86" s="37">
        <f t="shared" si="15"/>
        <v>0</v>
      </c>
      <c r="M86" s="37">
        <f t="shared" si="15"/>
        <v>0</v>
      </c>
      <c r="N86" s="80"/>
      <c r="O86" s="80"/>
      <c r="P86" s="80"/>
      <c r="Q86" s="80"/>
      <c r="R86" s="80"/>
      <c r="S86" s="80"/>
    </row>
    <row r="87" spans="3:30">
      <c r="N87" s="45"/>
      <c r="O87" s="80"/>
      <c r="P87" s="80"/>
      <c r="Q87" s="80"/>
      <c r="R87" s="80"/>
      <c r="S87" s="80"/>
    </row>
    <row r="88" spans="3:30" ht="23.25">
      <c r="C88" s="84" t="s">
        <v>71</v>
      </c>
      <c r="D88" s="85"/>
      <c r="E88" s="2"/>
      <c r="F88" s="85"/>
      <c r="G88" s="2"/>
      <c r="H88" s="2"/>
      <c r="I88" s="2"/>
      <c r="J88" s="2"/>
      <c r="K88" s="2"/>
      <c r="L88" s="2"/>
      <c r="M88" s="2"/>
      <c r="N88" s="2"/>
      <c r="O88" s="228"/>
      <c r="P88" s="228"/>
      <c r="Q88" s="228"/>
      <c r="R88" s="228"/>
      <c r="S88" s="228"/>
    </row>
    <row r="89" spans="3:30">
      <c r="N89" s="45"/>
      <c r="O89" s="80"/>
      <c r="P89" s="80"/>
      <c r="Q89" s="80"/>
      <c r="R89" s="80"/>
      <c r="S89" s="80"/>
    </row>
    <row r="90" spans="3:30" ht="15.75">
      <c r="C90" s="16" t="s">
        <v>20</v>
      </c>
      <c r="E90" s="13">
        <f>Inputs!D13</f>
        <v>0.3</v>
      </c>
      <c r="F90" s="13">
        <f>Inputs!E13</f>
        <v>0.3</v>
      </c>
      <c r="G90" s="13">
        <f>Inputs!F13</f>
        <v>0.28000000000000003</v>
      </c>
      <c r="H90" s="13">
        <f>Inputs!G13</f>
        <v>0.28000000000000003</v>
      </c>
      <c r="I90" s="13">
        <f>Inputs!H13</f>
        <v>0.28000000000000003</v>
      </c>
      <c r="J90" s="13">
        <f>Inputs!I13</f>
        <v>0.28000000000000003</v>
      </c>
      <c r="K90" s="13">
        <f>Inputs!J13</f>
        <v>0.28000000000000003</v>
      </c>
      <c r="L90" s="13">
        <f>Inputs!K13</f>
        <v>0.28000000000000003</v>
      </c>
      <c r="M90" s="13">
        <f>Inputs!L13</f>
        <v>0.28000000000000003</v>
      </c>
      <c r="N90" s="45"/>
      <c r="O90" s="80"/>
      <c r="P90" s="80"/>
      <c r="Q90" s="80"/>
      <c r="R90" s="80"/>
      <c r="S90" s="80"/>
    </row>
    <row r="91" spans="3:30">
      <c r="C91" s="74" t="s">
        <v>21</v>
      </c>
      <c r="E91" s="173">
        <f>F91+1</f>
        <v>43.305153770537849</v>
      </c>
      <c r="F91" s="177">
        <f>F26/F27</f>
        <v>42.305153770537849</v>
      </c>
      <c r="G91" s="18">
        <f t="shared" ref="G91:M91" si="16">F91-1</f>
        <v>41.305153770537849</v>
      </c>
      <c r="H91" s="18">
        <f t="shared" si="16"/>
        <v>40.305153770537849</v>
      </c>
      <c r="I91" s="18">
        <f t="shared" si="16"/>
        <v>39.305153770537849</v>
      </c>
      <c r="J91" s="18">
        <f t="shared" si="16"/>
        <v>38.305153770537849</v>
      </c>
      <c r="K91" s="18">
        <f t="shared" si="16"/>
        <v>37.305153770537849</v>
      </c>
      <c r="L91" s="18">
        <f t="shared" si="16"/>
        <v>36.305153770537849</v>
      </c>
      <c r="M91" s="18">
        <f t="shared" si="16"/>
        <v>35.305153770537849</v>
      </c>
      <c r="N91" s="45"/>
    </row>
    <row r="92" spans="3:30">
      <c r="C92" s="74" t="s">
        <v>114</v>
      </c>
      <c r="E92" s="80"/>
      <c r="F92" s="80"/>
      <c r="G92" s="35">
        <f>IF($G$1=4,G56,G55)</f>
        <v>1.899827288428324E-2</v>
      </c>
      <c r="H92" s="35">
        <f t="shared" ref="H92:M92" si="17">IF($G$1=4,H56,H55)</f>
        <v>1.6949152542372836E-2</v>
      </c>
      <c r="I92" s="35">
        <f t="shared" si="17"/>
        <v>2.1666666666666723E-2</v>
      </c>
      <c r="J92" s="35">
        <f t="shared" si="17"/>
        <v>2.2144831398562603E-2</v>
      </c>
      <c r="K92" s="35">
        <f t="shared" si="17"/>
        <v>2.1072415699281422E-2</v>
      </c>
      <c r="L92" s="35">
        <f t="shared" si="17"/>
        <v>2.0000000000000018E-2</v>
      </c>
      <c r="M92" s="35">
        <f t="shared" si="17"/>
        <v>2.0000000000000018E-2</v>
      </c>
      <c r="N92" s="45"/>
    </row>
    <row r="93" spans="3:30">
      <c r="C93" s="74" t="s">
        <v>23</v>
      </c>
      <c r="E93" s="88">
        <f>E34</f>
        <v>0</v>
      </c>
      <c r="F93" s="179">
        <f>F28*0</f>
        <v>0</v>
      </c>
      <c r="G93" s="29">
        <f t="shared" ref="G93:M93" si="18">F93*(1+G92)</f>
        <v>0</v>
      </c>
      <c r="H93" s="29">
        <f t="shared" si="18"/>
        <v>0</v>
      </c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45"/>
    </row>
    <row r="94" spans="3:30">
      <c r="E94" s="63"/>
      <c r="F94" s="63"/>
      <c r="G94" s="29"/>
      <c r="H94" s="29"/>
      <c r="I94" s="29"/>
      <c r="J94" s="29"/>
      <c r="K94" s="29"/>
      <c r="L94" s="29"/>
      <c r="M94" s="29"/>
      <c r="N94" s="45"/>
    </row>
    <row r="95" spans="3:30" ht="21">
      <c r="C95" s="3" t="s">
        <v>224</v>
      </c>
      <c r="D95" s="75"/>
      <c r="N95" s="45"/>
    </row>
    <row r="96" spans="3:30" ht="15.75">
      <c r="C96" s="5" t="s">
        <v>196</v>
      </c>
      <c r="D96" s="78"/>
      <c r="E96" s="10" t="str">
        <f>E$21</f>
        <v>2009/10</v>
      </c>
      <c r="F96" s="10" t="str">
        <f t="shared" ref="F96:M96" si="19">F$21</f>
        <v>2010/11</v>
      </c>
      <c r="G96" s="10" t="str">
        <f t="shared" si="19"/>
        <v>2011/12</v>
      </c>
      <c r="H96" s="10" t="str">
        <f t="shared" si="19"/>
        <v>2012/13</v>
      </c>
      <c r="I96" s="10" t="str">
        <f t="shared" si="19"/>
        <v>2013/14</v>
      </c>
      <c r="J96" s="10" t="str">
        <f t="shared" si="19"/>
        <v>2014/15</v>
      </c>
      <c r="K96" s="10" t="str">
        <f t="shared" si="19"/>
        <v>2015/16</v>
      </c>
      <c r="L96" s="10" t="str">
        <f t="shared" si="19"/>
        <v>2016/17</v>
      </c>
      <c r="M96" s="10" t="str">
        <f t="shared" si="19"/>
        <v>2017/18</v>
      </c>
      <c r="N96" s="45"/>
      <c r="Q96" s="74" t="s">
        <v>169</v>
      </c>
    </row>
    <row r="97" spans="1:17">
      <c r="C97" s="74" t="s">
        <v>75</v>
      </c>
      <c r="E97" s="88">
        <f>E33</f>
        <v>301325</v>
      </c>
      <c r="F97" s="179">
        <f>F26</f>
        <v>301255</v>
      </c>
      <c r="G97" s="29">
        <f t="shared" ref="G97:M97" si="20">F101</f>
        <v>299692.5124406332</v>
      </c>
      <c r="H97" s="29">
        <f t="shared" si="20"/>
        <v>298124.88704731577</v>
      </c>
      <c r="I97" s="29">
        <f t="shared" si="20"/>
        <v>295776.10432039702</v>
      </c>
      <c r="J97" s="29">
        <f t="shared" si="20"/>
        <v>294653.05541228474</v>
      </c>
      <c r="K97" s="29">
        <f t="shared" si="20"/>
        <v>293479.3164338005</v>
      </c>
      <c r="L97" s="29">
        <f t="shared" si="20"/>
        <v>291790.45907050977</v>
      </c>
      <c r="M97" s="29">
        <f t="shared" si="20"/>
        <v>289583.26887872408</v>
      </c>
      <c r="N97" s="45"/>
    </row>
    <row r="98" spans="1:17">
      <c r="C98" s="74" t="s">
        <v>23</v>
      </c>
      <c r="D98" s="78"/>
      <c r="E98" s="29">
        <f>E93</f>
        <v>0</v>
      </c>
      <c r="F98" s="29">
        <f t="shared" ref="F98:M98" si="21">F93</f>
        <v>0</v>
      </c>
      <c r="G98" s="29">
        <f t="shared" si="21"/>
        <v>0</v>
      </c>
      <c r="H98" s="29">
        <f t="shared" si="21"/>
        <v>0</v>
      </c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29">
        <f t="shared" si="21"/>
        <v>0</v>
      </c>
      <c r="N98" s="45"/>
    </row>
    <row r="99" spans="1:17">
      <c r="C99" s="74" t="s">
        <v>24</v>
      </c>
      <c r="E99" s="29">
        <f>(E97*0.999-E98)*E84</f>
        <v>5978.0278819761998</v>
      </c>
      <c r="F99" s="29">
        <f t="shared" ref="F99:M99" si="22">(F97*0.999-F98)*F84</f>
        <v>5558.5124406332234</v>
      </c>
      <c r="G99" s="29">
        <f t="shared" si="22"/>
        <v>5687.946492590876</v>
      </c>
      <c r="H99" s="29">
        <f t="shared" si="22"/>
        <v>5047.9112230553837</v>
      </c>
      <c r="I99" s="29">
        <f t="shared" si="22"/>
        <v>6402.0737780150093</v>
      </c>
      <c r="J99" s="29">
        <f t="shared" si="22"/>
        <v>6518.5171909431929</v>
      </c>
      <c r="K99" s="29">
        <f t="shared" si="22"/>
        <v>6178.1338368789648</v>
      </c>
      <c r="L99" s="29">
        <f t="shared" si="22"/>
        <v>5829.9733722287901</v>
      </c>
      <c r="M99" s="29">
        <f t="shared" si="22"/>
        <v>5785.8737121969116</v>
      </c>
      <c r="N99" s="45"/>
    </row>
    <row r="100" spans="1:17">
      <c r="C100" s="74" t="s">
        <v>25</v>
      </c>
      <c r="E100" s="88"/>
      <c r="F100" s="29">
        <f t="shared" ref="F100:M100" si="23">F97/F91</f>
        <v>7120.9999999999991</v>
      </c>
      <c r="G100" s="29">
        <f t="shared" si="23"/>
        <v>7255.5718859082899</v>
      </c>
      <c r="H100" s="29">
        <f t="shared" si="23"/>
        <v>7396.6939499741666</v>
      </c>
      <c r="I100" s="29">
        <f t="shared" si="23"/>
        <v>7525.1226861273171</v>
      </c>
      <c r="J100" s="29">
        <f t="shared" si="23"/>
        <v>7692.2561694273927</v>
      </c>
      <c r="K100" s="29">
        <f t="shared" si="23"/>
        <v>7866.9912001697467</v>
      </c>
      <c r="L100" s="29">
        <f t="shared" si="23"/>
        <v>8037.1635640144814</v>
      </c>
      <c r="M100" s="29">
        <f t="shared" si="23"/>
        <v>8202.2945080721129</v>
      </c>
      <c r="N100" s="45"/>
    </row>
    <row r="101" spans="1:17">
      <c r="C101" s="74" t="s">
        <v>26</v>
      </c>
      <c r="E101" s="78"/>
      <c r="F101" s="78">
        <f>F97-F98+F99-F100</f>
        <v>299692.5124406332</v>
      </c>
      <c r="G101" s="78">
        <f t="shared" ref="G101:M101" si="24">G97-G98+G99-G100</f>
        <v>298124.88704731577</v>
      </c>
      <c r="H101" s="78">
        <f t="shared" si="24"/>
        <v>295776.10432039702</v>
      </c>
      <c r="I101" s="29">
        <f t="shared" si="24"/>
        <v>294653.05541228474</v>
      </c>
      <c r="J101" s="29">
        <f t="shared" si="24"/>
        <v>293479.3164338005</v>
      </c>
      <c r="K101" s="29">
        <f t="shared" si="24"/>
        <v>291790.45907050977</v>
      </c>
      <c r="L101" s="29">
        <f t="shared" si="24"/>
        <v>289583.26887872408</v>
      </c>
      <c r="M101" s="29">
        <f t="shared" si="24"/>
        <v>287166.84808284882</v>
      </c>
      <c r="N101" s="45"/>
    </row>
    <row r="102" spans="1:17">
      <c r="N102" s="45"/>
    </row>
    <row r="103" spans="1:17" ht="15.75">
      <c r="C103" s="5" t="s">
        <v>197</v>
      </c>
      <c r="E103" s="10" t="str">
        <f>E$21</f>
        <v>2009/10</v>
      </c>
      <c r="F103" s="10" t="str">
        <f t="shared" ref="F103:M103" si="25">F$21</f>
        <v>2010/11</v>
      </c>
      <c r="G103" s="10" t="str">
        <f t="shared" si="25"/>
        <v>2011/12</v>
      </c>
      <c r="H103" s="10" t="str">
        <f t="shared" si="25"/>
        <v>2012/13</v>
      </c>
      <c r="I103" s="10" t="str">
        <f t="shared" si="25"/>
        <v>2013/14</v>
      </c>
      <c r="J103" s="10" t="str">
        <f t="shared" si="25"/>
        <v>2014/15</v>
      </c>
      <c r="K103" s="10" t="str">
        <f t="shared" si="25"/>
        <v>2015/16</v>
      </c>
      <c r="L103" s="10" t="str">
        <f t="shared" si="25"/>
        <v>2016/17</v>
      </c>
      <c r="M103" s="10" t="str">
        <f t="shared" si="25"/>
        <v>2017/18</v>
      </c>
      <c r="N103" s="45"/>
      <c r="Q103" s="74" t="s">
        <v>169</v>
      </c>
    </row>
    <row r="104" spans="1:17">
      <c r="C104" s="20" t="s">
        <v>41</v>
      </c>
      <c r="E104" s="180">
        <v>1</v>
      </c>
      <c r="F104" s="20">
        <f>E104+1</f>
        <v>2</v>
      </c>
      <c r="G104" s="20">
        <f t="shared" ref="G104:M104" si="26">F104+1</f>
        <v>3</v>
      </c>
      <c r="H104" s="20">
        <f t="shared" si="26"/>
        <v>4</v>
      </c>
      <c r="I104" s="20">
        <f t="shared" si="26"/>
        <v>5</v>
      </c>
      <c r="J104" s="20">
        <f t="shared" si="26"/>
        <v>6</v>
      </c>
      <c r="K104" s="20">
        <f t="shared" si="26"/>
        <v>7</v>
      </c>
      <c r="L104" s="20">
        <f t="shared" si="26"/>
        <v>8</v>
      </c>
      <c r="M104" s="20">
        <f t="shared" si="26"/>
        <v>9</v>
      </c>
      <c r="N104" s="45"/>
    </row>
    <row r="105" spans="1:17">
      <c r="C105" s="74" t="s">
        <v>22</v>
      </c>
      <c r="D105" s="78"/>
      <c r="E105" s="181">
        <v>0</v>
      </c>
      <c r="F105" s="78">
        <f>F$48</f>
        <v>67</v>
      </c>
      <c r="G105" s="78">
        <f t="shared" ref="G105:M105" si="27">G$48</f>
        <v>132.90725802574445</v>
      </c>
      <c r="H105" s="78">
        <f t="shared" si="27"/>
        <v>302.49942994629163</v>
      </c>
      <c r="I105" s="78">
        <f t="shared" si="27"/>
        <v>2794.2580748269124</v>
      </c>
      <c r="J105" s="78">
        <f t="shared" si="27"/>
        <v>209.13245040632776</v>
      </c>
      <c r="K105" s="78">
        <f t="shared" si="27"/>
        <v>144.68800406178775</v>
      </c>
      <c r="L105" s="78">
        <f t="shared" si="27"/>
        <v>211.23628233683604</v>
      </c>
      <c r="M105" s="78">
        <f t="shared" si="27"/>
        <v>0</v>
      </c>
      <c r="N105" s="45"/>
    </row>
    <row r="106" spans="1:17">
      <c r="A106" s="74">
        <v>1</v>
      </c>
      <c r="C106" s="74" t="s">
        <v>350</v>
      </c>
      <c r="E106" s="181">
        <v>0</v>
      </c>
      <c r="F106" s="78">
        <f>E142</f>
        <v>0</v>
      </c>
      <c r="G106" s="78">
        <f t="shared" ref="G106:M114" si="28">F142</f>
        <v>0</v>
      </c>
      <c r="H106" s="78">
        <f t="shared" si="28"/>
        <v>0</v>
      </c>
      <c r="I106" s="78">
        <f t="shared" si="28"/>
        <v>0</v>
      </c>
      <c r="J106" s="78">
        <f t="shared" si="28"/>
        <v>0</v>
      </c>
      <c r="K106" s="78">
        <f t="shared" si="28"/>
        <v>0</v>
      </c>
      <c r="L106" s="78">
        <f t="shared" si="28"/>
        <v>0</v>
      </c>
      <c r="M106" s="78">
        <f t="shared" si="28"/>
        <v>0</v>
      </c>
      <c r="N106" s="45"/>
    </row>
    <row r="107" spans="1:17">
      <c r="A107" s="74">
        <v>2</v>
      </c>
      <c r="C107" s="74" t="s">
        <v>351</v>
      </c>
      <c r="E107" s="181">
        <v>0</v>
      </c>
      <c r="F107" s="78">
        <f t="shared" ref="F107:J110" si="29">E143</f>
        <v>0</v>
      </c>
      <c r="G107" s="78">
        <f t="shared" si="29"/>
        <v>67</v>
      </c>
      <c r="H107" s="78">
        <f t="shared" si="29"/>
        <v>66.783995394358087</v>
      </c>
      <c r="I107" s="78">
        <f t="shared" si="29"/>
        <v>66.398109442541696</v>
      </c>
      <c r="J107" s="78">
        <f t="shared" si="29"/>
        <v>66.292593067070996</v>
      </c>
      <c r="K107" s="78">
        <f t="shared" si="28"/>
        <v>66.1822362904893</v>
      </c>
      <c r="L107" s="78">
        <f t="shared" si="28"/>
        <v>65.962655000376671</v>
      </c>
      <c r="M107" s="78">
        <f t="shared" si="28"/>
        <v>65.632841725374789</v>
      </c>
      <c r="N107" s="45"/>
    </row>
    <row r="108" spans="1:17">
      <c r="A108" s="74">
        <v>3</v>
      </c>
      <c r="C108" s="74" t="s">
        <v>352</v>
      </c>
      <c r="E108" s="181">
        <v>0</v>
      </c>
      <c r="F108" s="78">
        <f t="shared" si="29"/>
        <v>0</v>
      </c>
      <c r="G108" s="78">
        <f t="shared" si="29"/>
        <v>0</v>
      </c>
      <c r="H108" s="78">
        <f t="shared" si="29"/>
        <v>132.90725802574445</v>
      </c>
      <c r="I108" s="78">
        <f t="shared" si="29"/>
        <v>132.20642879321699</v>
      </c>
      <c r="J108" s="78">
        <f t="shared" si="29"/>
        <v>132.06620985358782</v>
      </c>
      <c r="K108" s="78">
        <f t="shared" si="28"/>
        <v>131.91948659834532</v>
      </c>
      <c r="L108" s="78">
        <f t="shared" si="28"/>
        <v>131.55840870167796</v>
      </c>
      <c r="M108" s="78">
        <f t="shared" si="28"/>
        <v>130.98083520006082</v>
      </c>
      <c r="N108" s="45"/>
    </row>
    <row r="109" spans="1:17">
      <c r="A109" s="74">
        <v>4</v>
      </c>
      <c r="C109" s="74" t="s">
        <v>353</v>
      </c>
      <c r="E109" s="181">
        <v>0</v>
      </c>
      <c r="F109" s="78">
        <f t="shared" si="29"/>
        <v>0</v>
      </c>
      <c r="G109" s="78">
        <f t="shared" si="29"/>
        <v>0</v>
      </c>
      <c r="H109" s="78">
        <f t="shared" si="29"/>
        <v>0</v>
      </c>
      <c r="I109" s="78">
        <f t="shared" si="29"/>
        <v>302.49942994629163</v>
      </c>
      <c r="J109" s="78">
        <f t="shared" si="29"/>
        <v>302.33137470743259</v>
      </c>
      <c r="K109" s="78">
        <f t="shared" si="28"/>
        <v>302.15528441983724</v>
      </c>
      <c r="L109" s="78">
        <f t="shared" si="28"/>
        <v>301.49555909933559</v>
      </c>
      <c r="M109" s="78">
        <f t="shared" si="28"/>
        <v>300.34700458848101</v>
      </c>
      <c r="N109" s="45"/>
    </row>
    <row r="110" spans="1:17">
      <c r="A110" s="74">
        <v>5</v>
      </c>
      <c r="C110" s="74" t="s">
        <v>354</v>
      </c>
      <c r="E110" s="181">
        <v>0</v>
      </c>
      <c r="F110" s="78">
        <f t="shared" si="29"/>
        <v>0</v>
      </c>
      <c r="G110" s="78">
        <f t="shared" si="29"/>
        <v>0</v>
      </c>
      <c r="H110" s="78">
        <f t="shared" si="29"/>
        <v>0</v>
      </c>
      <c r="I110" s="78">
        <f t="shared" si="29"/>
        <v>0</v>
      </c>
      <c r="J110" s="78">
        <f t="shared" si="29"/>
        <v>2794.2580748269124</v>
      </c>
      <c r="K110" s="78">
        <f t="shared" si="28"/>
        <v>2794.0418248929841</v>
      </c>
      <c r="L110" s="78">
        <f t="shared" si="28"/>
        <v>2789.4180851425585</v>
      </c>
      <c r="M110" s="78">
        <f t="shared" si="28"/>
        <v>2780.3362588188384</v>
      </c>
      <c r="N110" s="45"/>
    </row>
    <row r="111" spans="1:17">
      <c r="A111" s="74">
        <v>6</v>
      </c>
      <c r="C111" s="74" t="s">
        <v>355</v>
      </c>
      <c r="E111" s="181">
        <v>0</v>
      </c>
      <c r="F111" s="78">
        <f>E147</f>
        <v>0</v>
      </c>
      <c r="G111" s="78">
        <f>F147</f>
        <v>0</v>
      </c>
      <c r="H111" s="78">
        <f>G147</f>
        <v>0</v>
      </c>
      <c r="I111" s="78">
        <f>H147</f>
        <v>0</v>
      </c>
      <c r="J111" s="78">
        <f>I147</f>
        <v>0</v>
      </c>
      <c r="K111" s="78">
        <f t="shared" si="28"/>
        <v>209.13245040632776</v>
      </c>
      <c r="L111" s="78">
        <f t="shared" si="28"/>
        <v>208.89198855069196</v>
      </c>
      <c r="M111" s="78">
        <f t="shared" si="28"/>
        <v>208.32228312737192</v>
      </c>
      <c r="N111" s="45"/>
    </row>
    <row r="112" spans="1:17">
      <c r="A112" s="74">
        <v>7</v>
      </c>
      <c r="C112" s="74" t="s">
        <v>356</v>
      </c>
      <c r="E112" s="181">
        <v>0</v>
      </c>
      <c r="F112" s="78">
        <f t="shared" ref="F112:J114" si="30">E148</f>
        <v>0</v>
      </c>
      <c r="G112" s="78">
        <f t="shared" si="30"/>
        <v>0</v>
      </c>
      <c r="H112" s="78">
        <f t="shared" si="30"/>
        <v>0</v>
      </c>
      <c r="I112" s="78">
        <f t="shared" si="30"/>
        <v>0</v>
      </c>
      <c r="J112" s="78">
        <f t="shared" si="30"/>
        <v>0</v>
      </c>
      <c r="K112" s="78">
        <f t="shared" si="28"/>
        <v>0</v>
      </c>
      <c r="L112" s="78">
        <f t="shared" si="28"/>
        <v>144.68800406178775</v>
      </c>
      <c r="M112" s="78">
        <f t="shared" si="28"/>
        <v>144.36647516387268</v>
      </c>
      <c r="N112" s="45"/>
    </row>
    <row r="113" spans="1:14">
      <c r="A113" s="74">
        <v>8</v>
      </c>
      <c r="C113" s="74" t="s">
        <v>357</v>
      </c>
      <c r="E113" s="181">
        <v>0</v>
      </c>
      <c r="F113" s="78">
        <f t="shared" si="30"/>
        <v>0</v>
      </c>
      <c r="G113" s="78">
        <f t="shared" si="30"/>
        <v>0</v>
      </c>
      <c r="H113" s="78">
        <f t="shared" si="30"/>
        <v>0</v>
      </c>
      <c r="I113" s="78">
        <f t="shared" si="30"/>
        <v>0</v>
      </c>
      <c r="J113" s="78">
        <f t="shared" si="30"/>
        <v>0</v>
      </c>
      <c r="K113" s="78">
        <f t="shared" si="28"/>
        <v>0</v>
      </c>
      <c r="L113" s="78">
        <f t="shared" si="28"/>
        <v>0</v>
      </c>
      <c r="M113" s="78">
        <f t="shared" si="28"/>
        <v>211.23628233683604</v>
      </c>
      <c r="N113" s="45"/>
    </row>
    <row r="114" spans="1:14">
      <c r="A114" s="74">
        <v>9</v>
      </c>
      <c r="C114" s="74" t="s">
        <v>358</v>
      </c>
      <c r="E114" s="181">
        <v>0</v>
      </c>
      <c r="F114" s="78">
        <f t="shared" si="30"/>
        <v>0</v>
      </c>
      <c r="G114" s="78">
        <f t="shared" si="30"/>
        <v>0</v>
      </c>
      <c r="H114" s="78">
        <f t="shared" si="30"/>
        <v>0</v>
      </c>
      <c r="I114" s="78">
        <f t="shared" si="30"/>
        <v>0</v>
      </c>
      <c r="J114" s="78">
        <f t="shared" si="30"/>
        <v>0</v>
      </c>
      <c r="K114" s="78">
        <f t="shared" si="28"/>
        <v>0</v>
      </c>
      <c r="L114" s="78">
        <f t="shared" si="28"/>
        <v>0</v>
      </c>
      <c r="M114" s="78">
        <f t="shared" si="28"/>
        <v>0</v>
      </c>
      <c r="N114" s="45"/>
    </row>
    <row r="115" spans="1:14">
      <c r="A115" s="74">
        <v>1</v>
      </c>
      <c r="C115" s="74" t="s">
        <v>359</v>
      </c>
      <c r="E115" s="181">
        <f>Inputs!$C$7+$A115</f>
        <v>46</v>
      </c>
      <c r="F115" s="78">
        <f>E115-1</f>
        <v>45</v>
      </c>
      <c r="G115" s="78">
        <f t="shared" ref="G115:M123" si="31">F115-1</f>
        <v>44</v>
      </c>
      <c r="H115" s="78">
        <f t="shared" si="31"/>
        <v>43</v>
      </c>
      <c r="I115" s="78">
        <f t="shared" si="31"/>
        <v>42</v>
      </c>
      <c r="J115" s="78">
        <f t="shared" si="31"/>
        <v>41</v>
      </c>
      <c r="K115" s="78">
        <f t="shared" si="31"/>
        <v>40</v>
      </c>
      <c r="L115" s="78">
        <f t="shared" si="31"/>
        <v>39</v>
      </c>
      <c r="M115" s="78">
        <f t="shared" si="31"/>
        <v>38</v>
      </c>
      <c r="N115" s="45"/>
    </row>
    <row r="116" spans="1:14">
      <c r="A116" s="74">
        <v>2</v>
      </c>
      <c r="C116" s="74" t="s">
        <v>360</v>
      </c>
      <c r="E116" s="181">
        <f>Inputs!$C$7+$A116</f>
        <v>47</v>
      </c>
      <c r="F116" s="78">
        <f t="shared" ref="F116:J123" si="32">E116-1</f>
        <v>46</v>
      </c>
      <c r="G116" s="78">
        <f t="shared" si="32"/>
        <v>45</v>
      </c>
      <c r="H116" s="78">
        <f t="shared" si="32"/>
        <v>44</v>
      </c>
      <c r="I116" s="78">
        <f t="shared" si="32"/>
        <v>43</v>
      </c>
      <c r="J116" s="78">
        <f t="shared" si="32"/>
        <v>42</v>
      </c>
      <c r="K116" s="78">
        <f t="shared" si="31"/>
        <v>41</v>
      </c>
      <c r="L116" s="78">
        <f t="shared" si="31"/>
        <v>40</v>
      </c>
      <c r="M116" s="78">
        <f t="shared" si="31"/>
        <v>39</v>
      </c>
      <c r="N116" s="45"/>
    </row>
    <row r="117" spans="1:14">
      <c r="A117" s="74">
        <v>3</v>
      </c>
      <c r="C117" s="74" t="s">
        <v>361</v>
      </c>
      <c r="E117" s="181">
        <f>Inputs!$C$7+$A117</f>
        <v>48</v>
      </c>
      <c r="F117" s="78">
        <f t="shared" si="32"/>
        <v>47</v>
      </c>
      <c r="G117" s="78">
        <f t="shared" si="32"/>
        <v>46</v>
      </c>
      <c r="H117" s="78">
        <f t="shared" si="32"/>
        <v>45</v>
      </c>
      <c r="I117" s="78">
        <f t="shared" si="32"/>
        <v>44</v>
      </c>
      <c r="J117" s="78">
        <f t="shared" si="32"/>
        <v>43</v>
      </c>
      <c r="K117" s="78">
        <f t="shared" si="31"/>
        <v>42</v>
      </c>
      <c r="L117" s="78">
        <f t="shared" si="31"/>
        <v>41</v>
      </c>
      <c r="M117" s="78">
        <f t="shared" si="31"/>
        <v>40</v>
      </c>
      <c r="N117" s="45"/>
    </row>
    <row r="118" spans="1:14">
      <c r="A118" s="74">
        <v>4</v>
      </c>
      <c r="C118" s="74" t="s">
        <v>362</v>
      </c>
      <c r="E118" s="181">
        <f>Inputs!$C$7+$A118</f>
        <v>49</v>
      </c>
      <c r="F118" s="78">
        <f t="shared" si="32"/>
        <v>48</v>
      </c>
      <c r="G118" s="78">
        <f t="shared" si="32"/>
        <v>47</v>
      </c>
      <c r="H118" s="78">
        <f t="shared" si="32"/>
        <v>46</v>
      </c>
      <c r="I118" s="78">
        <f t="shared" si="32"/>
        <v>45</v>
      </c>
      <c r="J118" s="78">
        <f t="shared" si="32"/>
        <v>44</v>
      </c>
      <c r="K118" s="78">
        <f t="shared" si="31"/>
        <v>43</v>
      </c>
      <c r="L118" s="78">
        <f t="shared" si="31"/>
        <v>42</v>
      </c>
      <c r="M118" s="78">
        <f t="shared" si="31"/>
        <v>41</v>
      </c>
      <c r="N118" s="45"/>
    </row>
    <row r="119" spans="1:14">
      <c r="A119" s="74">
        <v>5</v>
      </c>
      <c r="C119" s="74" t="s">
        <v>363</v>
      </c>
      <c r="E119" s="181">
        <f>Inputs!$C$7+$A119</f>
        <v>50</v>
      </c>
      <c r="F119" s="78">
        <f t="shared" si="32"/>
        <v>49</v>
      </c>
      <c r="G119" s="78">
        <f t="shared" si="32"/>
        <v>48</v>
      </c>
      <c r="H119" s="78">
        <f t="shared" si="32"/>
        <v>47</v>
      </c>
      <c r="I119" s="78">
        <f t="shared" si="32"/>
        <v>46</v>
      </c>
      <c r="J119" s="78">
        <f t="shared" si="32"/>
        <v>45</v>
      </c>
      <c r="K119" s="78">
        <f t="shared" si="31"/>
        <v>44</v>
      </c>
      <c r="L119" s="78">
        <f t="shared" si="31"/>
        <v>43</v>
      </c>
      <c r="M119" s="78">
        <f t="shared" si="31"/>
        <v>42</v>
      </c>
      <c r="N119" s="45"/>
    </row>
    <row r="120" spans="1:14">
      <c r="A120" s="74">
        <v>6</v>
      </c>
      <c r="C120" s="74" t="s">
        <v>364</v>
      </c>
      <c r="E120" s="181">
        <f>Inputs!$C$7+$A120</f>
        <v>51</v>
      </c>
      <c r="F120" s="78">
        <f t="shared" si="32"/>
        <v>50</v>
      </c>
      <c r="G120" s="78">
        <f t="shared" si="32"/>
        <v>49</v>
      </c>
      <c r="H120" s="78">
        <f t="shared" si="32"/>
        <v>48</v>
      </c>
      <c r="I120" s="78">
        <f t="shared" si="32"/>
        <v>47</v>
      </c>
      <c r="J120" s="78">
        <f t="shared" si="32"/>
        <v>46</v>
      </c>
      <c r="K120" s="78">
        <f t="shared" si="31"/>
        <v>45</v>
      </c>
      <c r="L120" s="78">
        <f t="shared" si="31"/>
        <v>44</v>
      </c>
      <c r="M120" s="78">
        <f t="shared" si="31"/>
        <v>43</v>
      </c>
      <c r="N120" s="45"/>
    </row>
    <row r="121" spans="1:14">
      <c r="A121" s="74">
        <v>7</v>
      </c>
      <c r="C121" s="74" t="s">
        <v>365</v>
      </c>
      <c r="E121" s="181">
        <f>Inputs!$C$7+$A121</f>
        <v>52</v>
      </c>
      <c r="F121" s="78">
        <f t="shared" si="32"/>
        <v>51</v>
      </c>
      <c r="G121" s="78">
        <f t="shared" si="32"/>
        <v>50</v>
      </c>
      <c r="H121" s="78">
        <f t="shared" si="32"/>
        <v>49</v>
      </c>
      <c r="I121" s="78">
        <f t="shared" si="32"/>
        <v>48</v>
      </c>
      <c r="J121" s="78">
        <f t="shared" si="32"/>
        <v>47</v>
      </c>
      <c r="K121" s="78">
        <f t="shared" si="31"/>
        <v>46</v>
      </c>
      <c r="L121" s="78">
        <f t="shared" si="31"/>
        <v>45</v>
      </c>
      <c r="M121" s="78">
        <f t="shared" si="31"/>
        <v>44</v>
      </c>
      <c r="N121" s="45"/>
    </row>
    <row r="122" spans="1:14">
      <c r="A122" s="74">
        <v>8</v>
      </c>
      <c r="C122" s="74" t="s">
        <v>366</v>
      </c>
      <c r="E122" s="181">
        <f>Inputs!$C$7+$A122</f>
        <v>53</v>
      </c>
      <c r="F122" s="78">
        <f t="shared" si="32"/>
        <v>52</v>
      </c>
      <c r="G122" s="78">
        <f t="shared" si="32"/>
        <v>51</v>
      </c>
      <c r="H122" s="78">
        <f t="shared" si="32"/>
        <v>50</v>
      </c>
      <c r="I122" s="78">
        <f t="shared" si="32"/>
        <v>49</v>
      </c>
      <c r="J122" s="78">
        <f t="shared" si="32"/>
        <v>48</v>
      </c>
      <c r="K122" s="78">
        <f t="shared" si="31"/>
        <v>47</v>
      </c>
      <c r="L122" s="78">
        <f t="shared" si="31"/>
        <v>46</v>
      </c>
      <c r="M122" s="78">
        <f t="shared" si="31"/>
        <v>45</v>
      </c>
      <c r="N122" s="45"/>
    </row>
    <row r="123" spans="1:14">
      <c r="A123" s="74">
        <v>9</v>
      </c>
      <c r="C123" s="74" t="s">
        <v>367</v>
      </c>
      <c r="E123" s="181">
        <f>Inputs!$C$7+$A123</f>
        <v>54</v>
      </c>
      <c r="F123" s="78">
        <f t="shared" si="32"/>
        <v>53</v>
      </c>
      <c r="G123" s="78">
        <f t="shared" si="32"/>
        <v>52</v>
      </c>
      <c r="H123" s="78">
        <f t="shared" si="32"/>
        <v>51</v>
      </c>
      <c r="I123" s="78">
        <f t="shared" si="32"/>
        <v>50</v>
      </c>
      <c r="J123" s="78">
        <f t="shared" si="32"/>
        <v>49</v>
      </c>
      <c r="K123" s="78">
        <f t="shared" si="31"/>
        <v>48</v>
      </c>
      <c r="L123" s="78">
        <f t="shared" si="31"/>
        <v>47</v>
      </c>
      <c r="M123" s="78">
        <f t="shared" si="31"/>
        <v>46</v>
      </c>
      <c r="N123" s="45"/>
    </row>
    <row r="124" spans="1:14">
      <c r="A124" s="74">
        <v>1</v>
      </c>
      <c r="C124" s="74" t="s">
        <v>368</v>
      </c>
      <c r="E124" s="78">
        <f>E106*E$84</f>
        <v>0</v>
      </c>
      <c r="F124" s="78">
        <f t="shared" ref="F124:M132" si="33">F106*F$84</f>
        <v>0</v>
      </c>
      <c r="G124" s="78">
        <f t="shared" si="33"/>
        <v>0</v>
      </c>
      <c r="H124" s="78">
        <f t="shared" si="33"/>
        <v>0</v>
      </c>
      <c r="I124" s="78">
        <f t="shared" si="33"/>
        <v>0</v>
      </c>
      <c r="J124" s="78">
        <f t="shared" si="33"/>
        <v>0</v>
      </c>
      <c r="K124" s="78">
        <f t="shared" si="33"/>
        <v>0</v>
      </c>
      <c r="L124" s="78">
        <f t="shared" si="33"/>
        <v>0</v>
      </c>
      <c r="M124" s="78">
        <f t="shared" si="33"/>
        <v>0</v>
      </c>
      <c r="N124" s="45"/>
    </row>
    <row r="125" spans="1:14">
      <c r="A125" s="74">
        <v>2</v>
      </c>
      <c r="C125" s="74" t="s">
        <v>369</v>
      </c>
      <c r="E125" s="78">
        <f t="shared" ref="E125:J132" si="34">E107*E$84</f>
        <v>0</v>
      </c>
      <c r="F125" s="78">
        <f t="shared" si="34"/>
        <v>0</v>
      </c>
      <c r="G125" s="78">
        <f t="shared" si="34"/>
        <v>1.2728842832469771</v>
      </c>
      <c r="H125" s="78">
        <f t="shared" si="34"/>
        <v>1.1319321253281001</v>
      </c>
      <c r="I125" s="78">
        <f t="shared" si="34"/>
        <v>1.4386257045884072</v>
      </c>
      <c r="J125" s="78">
        <f t="shared" si="34"/>
        <v>1.4680382964438072</v>
      </c>
      <c r="K125" s="78">
        <f t="shared" si="33"/>
        <v>1.3946195950212594</v>
      </c>
      <c r="L125" s="78">
        <f t="shared" si="33"/>
        <v>1.3192531000075345</v>
      </c>
      <c r="M125" s="78">
        <f t="shared" si="33"/>
        <v>1.3126568345074969</v>
      </c>
      <c r="N125" s="45"/>
    </row>
    <row r="126" spans="1:14">
      <c r="A126" s="74">
        <v>3</v>
      </c>
      <c r="C126" s="74" t="s">
        <v>370</v>
      </c>
      <c r="E126" s="78">
        <f t="shared" si="34"/>
        <v>0</v>
      </c>
      <c r="F126" s="78">
        <f t="shared" si="34"/>
        <v>0</v>
      </c>
      <c r="G126" s="78">
        <f t="shared" si="34"/>
        <v>0</v>
      </c>
      <c r="H126" s="78">
        <f t="shared" si="34"/>
        <v>2.252665390266849</v>
      </c>
      <c r="I126" s="78">
        <f t="shared" si="34"/>
        <v>2.8644726238530422</v>
      </c>
      <c r="J126" s="78">
        <f t="shared" si="34"/>
        <v>2.9245839506548896</v>
      </c>
      <c r="K126" s="78">
        <f t="shared" si="33"/>
        <v>2.7798622604361167</v>
      </c>
      <c r="L126" s="78">
        <f t="shared" si="33"/>
        <v>2.6311681740335615</v>
      </c>
      <c r="M126" s="78">
        <f t="shared" si="33"/>
        <v>2.6196167040012188</v>
      </c>
      <c r="N126" s="45"/>
    </row>
    <row r="127" spans="1:14">
      <c r="A127" s="74">
        <v>4</v>
      </c>
      <c r="C127" s="74" t="s">
        <v>371</v>
      </c>
      <c r="E127" s="78">
        <f t="shared" si="34"/>
        <v>0</v>
      </c>
      <c r="F127" s="78">
        <f t="shared" si="34"/>
        <v>0</v>
      </c>
      <c r="G127" s="78">
        <f t="shared" si="34"/>
        <v>0</v>
      </c>
      <c r="H127" s="78">
        <f t="shared" si="34"/>
        <v>0</v>
      </c>
      <c r="I127" s="78">
        <f t="shared" si="34"/>
        <v>6.554154315503002</v>
      </c>
      <c r="J127" s="78">
        <f t="shared" si="34"/>
        <v>6.695077319391749</v>
      </c>
      <c r="K127" s="78">
        <f t="shared" si="33"/>
        <v>6.3671417590294217</v>
      </c>
      <c r="L127" s="78">
        <f t="shared" si="33"/>
        <v>6.0299111819867175</v>
      </c>
      <c r="M127" s="78">
        <f t="shared" si="33"/>
        <v>6.0069400917696258</v>
      </c>
      <c r="N127" s="45"/>
    </row>
    <row r="128" spans="1:14">
      <c r="A128" s="74">
        <v>5</v>
      </c>
      <c r="C128" s="74" t="s">
        <v>372</v>
      </c>
      <c r="E128" s="78">
        <f t="shared" si="34"/>
        <v>0</v>
      </c>
      <c r="F128" s="78">
        <f t="shared" si="34"/>
        <v>0</v>
      </c>
      <c r="G128" s="78">
        <f t="shared" si="34"/>
        <v>0</v>
      </c>
      <c r="H128" s="78">
        <f t="shared" si="34"/>
        <v>0</v>
      </c>
      <c r="I128" s="78">
        <f t="shared" si="34"/>
        <v>0</v>
      </c>
      <c r="J128" s="78">
        <f t="shared" si="34"/>
        <v>61.878373951114099</v>
      </c>
      <c r="K128" s="78">
        <f t="shared" si="33"/>
        <v>58.877210815323828</v>
      </c>
      <c r="L128" s="78">
        <f t="shared" si="33"/>
        <v>55.788361702851219</v>
      </c>
      <c r="M128" s="78">
        <f t="shared" si="33"/>
        <v>55.60672517637682</v>
      </c>
      <c r="N128" s="45"/>
    </row>
    <row r="129" spans="1:14">
      <c r="A129" s="74">
        <v>6</v>
      </c>
      <c r="C129" s="74" t="s">
        <v>373</v>
      </c>
      <c r="E129" s="78">
        <f t="shared" si="34"/>
        <v>0</v>
      </c>
      <c r="F129" s="78">
        <f t="shared" si="34"/>
        <v>0</v>
      </c>
      <c r="G129" s="78">
        <f t="shared" si="34"/>
        <v>0</v>
      </c>
      <c r="H129" s="78">
        <f t="shared" si="34"/>
        <v>0</v>
      </c>
      <c r="I129" s="78">
        <f t="shared" si="34"/>
        <v>0</v>
      </c>
      <c r="J129" s="78">
        <f t="shared" si="34"/>
        <v>0</v>
      </c>
      <c r="K129" s="78">
        <f t="shared" si="33"/>
        <v>4.4069259311714948</v>
      </c>
      <c r="L129" s="78">
        <f t="shared" si="33"/>
        <v>4.1778397710138426</v>
      </c>
      <c r="M129" s="78">
        <f t="shared" si="33"/>
        <v>4.1664456625474422</v>
      </c>
      <c r="N129" s="45"/>
    </row>
    <row r="130" spans="1:14">
      <c r="A130" s="74">
        <v>7</v>
      </c>
      <c r="C130" s="74" t="s">
        <v>374</v>
      </c>
      <c r="E130" s="78">
        <f t="shared" si="34"/>
        <v>0</v>
      </c>
      <c r="F130" s="78">
        <f t="shared" si="34"/>
        <v>0</v>
      </c>
      <c r="G130" s="78">
        <f t="shared" si="34"/>
        <v>0</v>
      </c>
      <c r="H130" s="78">
        <f t="shared" si="34"/>
        <v>0</v>
      </c>
      <c r="I130" s="78">
        <f t="shared" si="34"/>
        <v>0</v>
      </c>
      <c r="J130" s="78">
        <f t="shared" si="34"/>
        <v>0</v>
      </c>
      <c r="K130" s="78">
        <f t="shared" si="33"/>
        <v>0</v>
      </c>
      <c r="L130" s="78">
        <f t="shared" si="33"/>
        <v>2.8937600812357576</v>
      </c>
      <c r="M130" s="78">
        <f t="shared" si="33"/>
        <v>2.887329503277456</v>
      </c>
      <c r="N130" s="45"/>
    </row>
    <row r="131" spans="1:14">
      <c r="A131" s="74">
        <v>8</v>
      </c>
      <c r="C131" s="74" t="s">
        <v>375</v>
      </c>
      <c r="E131" s="78">
        <f t="shared" si="34"/>
        <v>0</v>
      </c>
      <c r="F131" s="78">
        <f t="shared" si="34"/>
        <v>0</v>
      </c>
      <c r="G131" s="78">
        <f t="shared" si="34"/>
        <v>0</v>
      </c>
      <c r="H131" s="78">
        <f t="shared" si="34"/>
        <v>0</v>
      </c>
      <c r="I131" s="78">
        <f t="shared" si="34"/>
        <v>0</v>
      </c>
      <c r="J131" s="78">
        <f t="shared" si="34"/>
        <v>0</v>
      </c>
      <c r="K131" s="78">
        <f t="shared" si="33"/>
        <v>0</v>
      </c>
      <c r="L131" s="78">
        <f t="shared" si="33"/>
        <v>0</v>
      </c>
      <c r="M131" s="78">
        <f t="shared" si="33"/>
        <v>4.2247256467367249</v>
      </c>
      <c r="N131" s="45"/>
    </row>
    <row r="132" spans="1:14">
      <c r="A132" s="74">
        <v>9</v>
      </c>
      <c r="C132" s="74" t="s">
        <v>376</v>
      </c>
      <c r="E132" s="78">
        <f t="shared" si="34"/>
        <v>0</v>
      </c>
      <c r="F132" s="78">
        <f t="shared" si="34"/>
        <v>0</v>
      </c>
      <c r="G132" s="78">
        <f t="shared" si="34"/>
        <v>0</v>
      </c>
      <c r="H132" s="78">
        <f t="shared" si="34"/>
        <v>0</v>
      </c>
      <c r="I132" s="78">
        <f t="shared" si="34"/>
        <v>0</v>
      </c>
      <c r="J132" s="78">
        <f t="shared" si="34"/>
        <v>0</v>
      </c>
      <c r="K132" s="78">
        <f t="shared" si="33"/>
        <v>0</v>
      </c>
      <c r="L132" s="78">
        <f t="shared" si="33"/>
        <v>0</v>
      </c>
      <c r="M132" s="78">
        <f t="shared" si="33"/>
        <v>0</v>
      </c>
      <c r="N132" s="45"/>
    </row>
    <row r="133" spans="1:14">
      <c r="A133" s="74">
        <v>1</v>
      </c>
      <c r="C133" s="74" t="s">
        <v>377</v>
      </c>
      <c r="E133" s="29">
        <f t="shared" ref="E133:M141" si="35">E106/E115</f>
        <v>0</v>
      </c>
      <c r="F133" s="29">
        <f t="shared" si="35"/>
        <v>0</v>
      </c>
      <c r="G133" s="29">
        <f t="shared" si="35"/>
        <v>0</v>
      </c>
      <c r="H133" s="29">
        <f t="shared" si="35"/>
        <v>0</v>
      </c>
      <c r="I133" s="29">
        <f t="shared" si="35"/>
        <v>0</v>
      </c>
      <c r="J133" s="29">
        <f t="shared" si="35"/>
        <v>0</v>
      </c>
      <c r="K133" s="29">
        <f t="shared" si="35"/>
        <v>0</v>
      </c>
      <c r="L133" s="29">
        <f t="shared" si="35"/>
        <v>0</v>
      </c>
      <c r="M133" s="29">
        <f t="shared" si="35"/>
        <v>0</v>
      </c>
      <c r="N133" s="45"/>
    </row>
    <row r="134" spans="1:14">
      <c r="A134" s="74">
        <v>2</v>
      </c>
      <c r="C134" s="74" t="s">
        <v>378</v>
      </c>
      <c r="E134" s="29">
        <f t="shared" si="35"/>
        <v>0</v>
      </c>
      <c r="F134" s="29">
        <f t="shared" si="35"/>
        <v>0</v>
      </c>
      <c r="G134" s="29">
        <f t="shared" si="35"/>
        <v>1.4888888888888889</v>
      </c>
      <c r="H134" s="29">
        <f t="shared" si="35"/>
        <v>1.517818077144502</v>
      </c>
      <c r="I134" s="29">
        <f t="shared" si="35"/>
        <v>1.5441420800591092</v>
      </c>
      <c r="J134" s="29">
        <f t="shared" si="35"/>
        <v>1.5783950730254999</v>
      </c>
      <c r="K134" s="29">
        <f t="shared" si="35"/>
        <v>1.6142008851338854</v>
      </c>
      <c r="L134" s="29">
        <f t="shared" si="35"/>
        <v>1.6490663750094168</v>
      </c>
      <c r="M134" s="29">
        <f t="shared" si="35"/>
        <v>1.6828933775737125</v>
      </c>
      <c r="N134" s="45"/>
    </row>
    <row r="135" spans="1:14">
      <c r="A135" s="74">
        <v>3</v>
      </c>
      <c r="C135" s="74" t="s">
        <v>379</v>
      </c>
      <c r="E135" s="29">
        <f t="shared" si="35"/>
        <v>0</v>
      </c>
      <c r="F135" s="29">
        <f t="shared" si="35"/>
        <v>0</v>
      </c>
      <c r="G135" s="29">
        <f t="shared" si="35"/>
        <v>0</v>
      </c>
      <c r="H135" s="29">
        <f t="shared" si="35"/>
        <v>2.9534946227943211</v>
      </c>
      <c r="I135" s="29">
        <f t="shared" si="35"/>
        <v>3.0046915634822042</v>
      </c>
      <c r="J135" s="29">
        <f t="shared" si="35"/>
        <v>3.0713072058973911</v>
      </c>
      <c r="K135" s="29">
        <f t="shared" si="35"/>
        <v>3.1409401571034601</v>
      </c>
      <c r="L135" s="29">
        <f t="shared" si="35"/>
        <v>3.2087416756506819</v>
      </c>
      <c r="M135" s="29">
        <f t="shared" si="35"/>
        <v>3.2745208800015204</v>
      </c>
      <c r="N135" s="45"/>
    </row>
    <row r="136" spans="1:14">
      <c r="A136" s="74">
        <v>4</v>
      </c>
      <c r="C136" s="74" t="s">
        <v>380</v>
      </c>
      <c r="E136" s="29">
        <f t="shared" si="35"/>
        <v>0</v>
      </c>
      <c r="F136" s="29">
        <f t="shared" si="35"/>
        <v>0</v>
      </c>
      <c r="G136" s="29">
        <f t="shared" si="35"/>
        <v>0</v>
      </c>
      <c r="H136" s="29">
        <f t="shared" si="35"/>
        <v>0</v>
      </c>
      <c r="I136" s="29">
        <f t="shared" si="35"/>
        <v>6.7222095543620366</v>
      </c>
      <c r="J136" s="29">
        <f t="shared" si="35"/>
        <v>6.8711676069871039</v>
      </c>
      <c r="K136" s="29">
        <f t="shared" si="35"/>
        <v>7.0268670795310983</v>
      </c>
      <c r="L136" s="29">
        <f t="shared" si="35"/>
        <v>7.178465692841324</v>
      </c>
      <c r="M136" s="29">
        <f t="shared" si="35"/>
        <v>7.3255366972800244</v>
      </c>
      <c r="N136" s="45"/>
    </row>
    <row r="137" spans="1:14">
      <c r="A137" s="74">
        <v>5</v>
      </c>
      <c r="C137" s="74" t="s">
        <v>381</v>
      </c>
      <c r="E137" s="29">
        <f t="shared" si="35"/>
        <v>0</v>
      </c>
      <c r="F137" s="29">
        <f t="shared" si="35"/>
        <v>0</v>
      </c>
      <c r="G137" s="29">
        <f t="shared" si="35"/>
        <v>0</v>
      </c>
      <c r="H137" s="29">
        <f t="shared" si="35"/>
        <v>0</v>
      </c>
      <c r="I137" s="29">
        <f t="shared" si="35"/>
        <v>0</v>
      </c>
      <c r="J137" s="29">
        <f t="shared" si="35"/>
        <v>62.094623885042502</v>
      </c>
      <c r="K137" s="29">
        <f t="shared" si="35"/>
        <v>63.50095056574964</v>
      </c>
      <c r="L137" s="29">
        <f t="shared" si="35"/>
        <v>64.870188026571128</v>
      </c>
      <c r="M137" s="29">
        <f t="shared" si="35"/>
        <v>66.198482352829487</v>
      </c>
      <c r="N137" s="45"/>
    </row>
    <row r="138" spans="1:14">
      <c r="A138" s="74">
        <v>6</v>
      </c>
      <c r="C138" s="74" t="s">
        <v>382</v>
      </c>
      <c r="E138" s="29">
        <f t="shared" si="35"/>
        <v>0</v>
      </c>
      <c r="F138" s="29">
        <f t="shared" si="35"/>
        <v>0</v>
      </c>
      <c r="G138" s="29">
        <f t="shared" si="35"/>
        <v>0</v>
      </c>
      <c r="H138" s="29">
        <f t="shared" si="35"/>
        <v>0</v>
      </c>
      <c r="I138" s="29">
        <f t="shared" si="35"/>
        <v>0</v>
      </c>
      <c r="J138" s="29">
        <f t="shared" si="35"/>
        <v>0</v>
      </c>
      <c r="K138" s="29">
        <f t="shared" si="35"/>
        <v>4.6473877868072835</v>
      </c>
      <c r="L138" s="29">
        <f t="shared" si="35"/>
        <v>4.7475451943339086</v>
      </c>
      <c r="M138" s="29">
        <f t="shared" si="35"/>
        <v>4.8447042587760913</v>
      </c>
      <c r="N138" s="45"/>
    </row>
    <row r="139" spans="1:14">
      <c r="A139" s="74">
        <v>7</v>
      </c>
      <c r="C139" s="74" t="s">
        <v>383</v>
      </c>
      <c r="E139" s="29">
        <f t="shared" si="35"/>
        <v>0</v>
      </c>
      <c r="F139" s="29">
        <f t="shared" si="35"/>
        <v>0</v>
      </c>
      <c r="G139" s="29">
        <f t="shared" si="35"/>
        <v>0</v>
      </c>
      <c r="H139" s="29">
        <f t="shared" si="35"/>
        <v>0</v>
      </c>
      <c r="I139" s="29">
        <f t="shared" si="35"/>
        <v>0</v>
      </c>
      <c r="J139" s="29">
        <f t="shared" si="35"/>
        <v>0</v>
      </c>
      <c r="K139" s="29">
        <f t="shared" si="35"/>
        <v>0</v>
      </c>
      <c r="L139" s="29">
        <f t="shared" si="35"/>
        <v>3.2152889791508388</v>
      </c>
      <c r="M139" s="29">
        <f t="shared" si="35"/>
        <v>3.2810562537243793</v>
      </c>
      <c r="N139" s="45"/>
    </row>
    <row r="140" spans="1:14">
      <c r="A140" s="74">
        <v>8</v>
      </c>
      <c r="C140" s="74" t="s">
        <v>384</v>
      </c>
      <c r="E140" s="29">
        <f t="shared" si="35"/>
        <v>0</v>
      </c>
      <c r="F140" s="29">
        <f t="shared" si="35"/>
        <v>0</v>
      </c>
      <c r="G140" s="29">
        <f t="shared" si="35"/>
        <v>0</v>
      </c>
      <c r="H140" s="29">
        <f t="shared" si="35"/>
        <v>0</v>
      </c>
      <c r="I140" s="29">
        <f t="shared" si="35"/>
        <v>0</v>
      </c>
      <c r="J140" s="29">
        <f t="shared" si="35"/>
        <v>0</v>
      </c>
      <c r="K140" s="29">
        <f t="shared" si="35"/>
        <v>0</v>
      </c>
      <c r="L140" s="29">
        <f t="shared" si="35"/>
        <v>0</v>
      </c>
      <c r="M140" s="29">
        <f t="shared" si="35"/>
        <v>4.6941396074852451</v>
      </c>
      <c r="N140" s="45"/>
    </row>
    <row r="141" spans="1:14">
      <c r="A141" s="74">
        <v>9</v>
      </c>
      <c r="C141" s="74" t="s">
        <v>385</v>
      </c>
      <c r="E141" s="29">
        <f t="shared" si="35"/>
        <v>0</v>
      </c>
      <c r="F141" s="29">
        <f t="shared" si="35"/>
        <v>0</v>
      </c>
      <c r="G141" s="29">
        <f t="shared" si="35"/>
        <v>0</v>
      </c>
      <c r="H141" s="29">
        <f t="shared" si="35"/>
        <v>0</v>
      </c>
      <c r="I141" s="29">
        <f t="shared" si="35"/>
        <v>0</v>
      </c>
      <c r="J141" s="29">
        <f t="shared" si="35"/>
        <v>0</v>
      </c>
      <c r="K141" s="29">
        <f t="shared" si="35"/>
        <v>0</v>
      </c>
      <c r="L141" s="29">
        <f t="shared" si="35"/>
        <v>0</v>
      </c>
      <c r="M141" s="29">
        <f t="shared" si="35"/>
        <v>0</v>
      </c>
      <c r="N141" s="45"/>
    </row>
    <row r="142" spans="1:14">
      <c r="A142" s="74">
        <v>1</v>
      </c>
      <c r="C142" s="74" t="s">
        <v>386</v>
      </c>
      <c r="E142" s="78">
        <f t="shared" ref="E142:M150" si="36">E106+E124-E133+IF($A142=E$104,E$105,0)</f>
        <v>0</v>
      </c>
      <c r="F142" s="78">
        <f t="shared" si="36"/>
        <v>0</v>
      </c>
      <c r="G142" s="78">
        <f t="shared" si="36"/>
        <v>0</v>
      </c>
      <c r="H142" s="78">
        <f t="shared" si="36"/>
        <v>0</v>
      </c>
      <c r="I142" s="78">
        <f t="shared" si="36"/>
        <v>0</v>
      </c>
      <c r="J142" s="29">
        <f t="shared" si="36"/>
        <v>0</v>
      </c>
      <c r="K142" s="29">
        <f t="shared" si="36"/>
        <v>0</v>
      </c>
      <c r="L142" s="29">
        <f t="shared" si="36"/>
        <v>0</v>
      </c>
      <c r="M142" s="29">
        <f t="shared" si="36"/>
        <v>0</v>
      </c>
      <c r="N142" s="45"/>
    </row>
    <row r="143" spans="1:14">
      <c r="A143" s="74">
        <v>2</v>
      </c>
      <c r="C143" s="74" t="s">
        <v>387</v>
      </c>
      <c r="E143" s="78">
        <f t="shared" si="36"/>
        <v>0</v>
      </c>
      <c r="F143" s="78">
        <f t="shared" si="36"/>
        <v>67</v>
      </c>
      <c r="G143" s="78">
        <f t="shared" si="36"/>
        <v>66.783995394358087</v>
      </c>
      <c r="H143" s="78">
        <f t="shared" si="36"/>
        <v>66.398109442541696</v>
      </c>
      <c r="I143" s="78">
        <f t="shared" si="36"/>
        <v>66.292593067070996</v>
      </c>
      <c r="J143" s="29">
        <f t="shared" si="36"/>
        <v>66.1822362904893</v>
      </c>
      <c r="K143" s="29">
        <f t="shared" si="36"/>
        <v>65.962655000376671</v>
      </c>
      <c r="L143" s="29">
        <f t="shared" si="36"/>
        <v>65.632841725374789</v>
      </c>
      <c r="M143" s="29">
        <f t="shared" si="36"/>
        <v>65.262605182308576</v>
      </c>
      <c r="N143" s="45"/>
    </row>
    <row r="144" spans="1:14">
      <c r="A144" s="74">
        <v>3</v>
      </c>
      <c r="C144" s="74" t="s">
        <v>388</v>
      </c>
      <c r="E144" s="78">
        <f t="shared" si="36"/>
        <v>0</v>
      </c>
      <c r="F144" s="78">
        <f t="shared" si="36"/>
        <v>0</v>
      </c>
      <c r="G144" s="78">
        <f t="shared" si="36"/>
        <v>132.90725802574445</v>
      </c>
      <c r="H144" s="78">
        <f t="shared" si="36"/>
        <v>132.20642879321699</v>
      </c>
      <c r="I144" s="78">
        <f t="shared" si="36"/>
        <v>132.06620985358782</v>
      </c>
      <c r="J144" s="29">
        <f t="shared" si="36"/>
        <v>131.91948659834532</v>
      </c>
      <c r="K144" s="29">
        <f t="shared" si="36"/>
        <v>131.55840870167796</v>
      </c>
      <c r="L144" s="29">
        <f t="shared" si="36"/>
        <v>130.98083520006082</v>
      </c>
      <c r="M144" s="29">
        <f t="shared" si="36"/>
        <v>130.32593102406054</v>
      </c>
      <c r="N144" s="45"/>
    </row>
    <row r="145" spans="1:14">
      <c r="A145" s="74">
        <v>4</v>
      </c>
      <c r="C145" s="74" t="s">
        <v>389</v>
      </c>
      <c r="E145" s="78">
        <f t="shared" si="36"/>
        <v>0</v>
      </c>
      <c r="F145" s="78">
        <f t="shared" si="36"/>
        <v>0</v>
      </c>
      <c r="G145" s="78">
        <f t="shared" si="36"/>
        <v>0</v>
      </c>
      <c r="H145" s="78">
        <f t="shared" si="36"/>
        <v>302.49942994629163</v>
      </c>
      <c r="I145" s="78">
        <f t="shared" si="36"/>
        <v>302.33137470743259</v>
      </c>
      <c r="J145" s="29">
        <f t="shared" si="36"/>
        <v>302.15528441983724</v>
      </c>
      <c r="K145" s="29">
        <f t="shared" si="36"/>
        <v>301.49555909933559</v>
      </c>
      <c r="L145" s="29">
        <f t="shared" si="36"/>
        <v>300.34700458848101</v>
      </c>
      <c r="M145" s="29">
        <f t="shared" si="36"/>
        <v>299.02840798297063</v>
      </c>
      <c r="N145" s="45"/>
    </row>
    <row r="146" spans="1:14">
      <c r="A146" s="74">
        <v>5</v>
      </c>
      <c r="C146" s="74" t="s">
        <v>390</v>
      </c>
      <c r="E146" s="78">
        <f t="shared" si="36"/>
        <v>0</v>
      </c>
      <c r="F146" s="78">
        <f t="shared" si="36"/>
        <v>0</v>
      </c>
      <c r="G146" s="78">
        <f t="shared" si="36"/>
        <v>0</v>
      </c>
      <c r="H146" s="78">
        <f t="shared" si="36"/>
        <v>0</v>
      </c>
      <c r="I146" s="78">
        <f t="shared" si="36"/>
        <v>2794.2580748269124</v>
      </c>
      <c r="J146" s="29">
        <f t="shared" si="36"/>
        <v>2794.0418248929841</v>
      </c>
      <c r="K146" s="29">
        <f t="shared" si="36"/>
        <v>2789.4180851425585</v>
      </c>
      <c r="L146" s="29">
        <f t="shared" si="36"/>
        <v>2780.3362588188384</v>
      </c>
      <c r="M146" s="29">
        <f t="shared" si="36"/>
        <v>2769.7445016423858</v>
      </c>
      <c r="N146" s="45"/>
    </row>
    <row r="147" spans="1:14">
      <c r="A147" s="74">
        <v>6</v>
      </c>
      <c r="C147" s="74" t="s">
        <v>391</v>
      </c>
      <c r="E147" s="78">
        <f t="shared" si="36"/>
        <v>0</v>
      </c>
      <c r="F147" s="78">
        <f t="shared" si="36"/>
        <v>0</v>
      </c>
      <c r="G147" s="78">
        <f t="shared" si="36"/>
        <v>0</v>
      </c>
      <c r="H147" s="78">
        <f t="shared" si="36"/>
        <v>0</v>
      </c>
      <c r="I147" s="78">
        <f t="shared" si="36"/>
        <v>0</v>
      </c>
      <c r="J147" s="29">
        <f t="shared" si="36"/>
        <v>209.13245040632776</v>
      </c>
      <c r="K147" s="29">
        <f t="shared" si="36"/>
        <v>208.89198855069196</v>
      </c>
      <c r="L147" s="29">
        <f t="shared" si="36"/>
        <v>208.32228312737192</v>
      </c>
      <c r="M147" s="29">
        <f t="shared" si="36"/>
        <v>207.64402453114326</v>
      </c>
      <c r="N147" s="45"/>
    </row>
    <row r="148" spans="1:14">
      <c r="A148" s="74">
        <v>7</v>
      </c>
      <c r="C148" s="74" t="s">
        <v>392</v>
      </c>
      <c r="E148" s="78">
        <f t="shared" si="36"/>
        <v>0</v>
      </c>
      <c r="F148" s="78">
        <f t="shared" si="36"/>
        <v>0</v>
      </c>
      <c r="G148" s="78">
        <f t="shared" si="36"/>
        <v>0</v>
      </c>
      <c r="H148" s="78">
        <f t="shared" si="36"/>
        <v>0</v>
      </c>
      <c r="I148" s="78">
        <f t="shared" si="36"/>
        <v>0</v>
      </c>
      <c r="J148" s="29">
        <f t="shared" si="36"/>
        <v>0</v>
      </c>
      <c r="K148" s="29">
        <f t="shared" si="36"/>
        <v>144.68800406178775</v>
      </c>
      <c r="L148" s="29">
        <f t="shared" si="36"/>
        <v>144.36647516387268</v>
      </c>
      <c r="M148" s="29">
        <f t="shared" si="36"/>
        <v>143.97274841342573</v>
      </c>
      <c r="N148" s="45"/>
    </row>
    <row r="149" spans="1:14">
      <c r="A149" s="74">
        <v>8</v>
      </c>
      <c r="C149" s="74" t="s">
        <v>393</v>
      </c>
      <c r="E149" s="78">
        <f t="shared" si="36"/>
        <v>0</v>
      </c>
      <c r="F149" s="78">
        <f t="shared" si="36"/>
        <v>0</v>
      </c>
      <c r="G149" s="78">
        <f t="shared" si="36"/>
        <v>0</v>
      </c>
      <c r="H149" s="78">
        <f t="shared" si="36"/>
        <v>0</v>
      </c>
      <c r="I149" s="78">
        <f t="shared" si="36"/>
        <v>0</v>
      </c>
      <c r="J149" s="29">
        <f t="shared" si="36"/>
        <v>0</v>
      </c>
      <c r="K149" s="29">
        <f t="shared" si="36"/>
        <v>0</v>
      </c>
      <c r="L149" s="29">
        <f t="shared" si="36"/>
        <v>211.23628233683604</v>
      </c>
      <c r="M149" s="29">
        <f t="shared" si="36"/>
        <v>210.7668683760875</v>
      </c>
      <c r="N149" s="45"/>
    </row>
    <row r="150" spans="1:14">
      <c r="A150" s="74">
        <v>9</v>
      </c>
      <c r="C150" s="74" t="s">
        <v>394</v>
      </c>
      <c r="E150" s="78">
        <f t="shared" si="36"/>
        <v>0</v>
      </c>
      <c r="F150" s="78">
        <f t="shared" si="36"/>
        <v>0</v>
      </c>
      <c r="G150" s="78">
        <f t="shared" si="36"/>
        <v>0</v>
      </c>
      <c r="H150" s="78">
        <f t="shared" si="36"/>
        <v>0</v>
      </c>
      <c r="I150" s="78">
        <f t="shared" si="36"/>
        <v>0</v>
      </c>
      <c r="J150" s="29">
        <f t="shared" si="36"/>
        <v>0</v>
      </c>
      <c r="K150" s="29">
        <f t="shared" si="36"/>
        <v>0</v>
      </c>
      <c r="L150" s="29">
        <f t="shared" si="36"/>
        <v>0</v>
      </c>
      <c r="M150" s="29">
        <f t="shared" si="36"/>
        <v>0</v>
      </c>
      <c r="N150" s="45"/>
    </row>
    <row r="151" spans="1:14">
      <c r="C151" s="74" t="s">
        <v>104</v>
      </c>
      <c r="E151" s="78">
        <f>SUM(E106:E114)</f>
        <v>0</v>
      </c>
      <c r="F151" s="78">
        <f t="shared" ref="F151:M151" si="37">SUM(F106:F114)</f>
        <v>0</v>
      </c>
      <c r="G151" s="78">
        <f t="shared" si="37"/>
        <v>67</v>
      </c>
      <c r="H151" s="78">
        <f t="shared" si="37"/>
        <v>199.69125342010256</v>
      </c>
      <c r="I151" s="78">
        <f t="shared" si="37"/>
        <v>501.10396818205032</v>
      </c>
      <c r="J151" s="78">
        <f t="shared" si="37"/>
        <v>3294.948252455004</v>
      </c>
      <c r="K151" s="78">
        <f t="shared" si="37"/>
        <v>3503.4312826079836</v>
      </c>
      <c r="L151" s="78">
        <f t="shared" si="37"/>
        <v>3642.0147005564286</v>
      </c>
      <c r="M151" s="78">
        <f t="shared" si="37"/>
        <v>3841.2219809608359</v>
      </c>
      <c r="N151" s="45"/>
    </row>
    <row r="152" spans="1:14">
      <c r="C152" s="74" t="s">
        <v>105</v>
      </c>
      <c r="E152" s="78">
        <f>SUM(E124:E132)</f>
        <v>0</v>
      </c>
      <c r="F152" s="78">
        <f t="shared" ref="F152:M152" si="38">SUM(F124:F132)</f>
        <v>0</v>
      </c>
      <c r="G152" s="78">
        <f t="shared" si="38"/>
        <v>1.2728842832469771</v>
      </c>
      <c r="H152" s="78">
        <f t="shared" si="38"/>
        <v>3.3845975155949493</v>
      </c>
      <c r="I152" s="78">
        <f t="shared" si="38"/>
        <v>10.857252643944452</v>
      </c>
      <c r="J152" s="78">
        <f t="shared" si="38"/>
        <v>72.966073517604542</v>
      </c>
      <c r="K152" s="78">
        <f t="shared" si="38"/>
        <v>73.82576036098213</v>
      </c>
      <c r="L152" s="78">
        <f t="shared" si="38"/>
        <v>72.84029401112862</v>
      </c>
      <c r="M152" s="78">
        <f t="shared" si="38"/>
        <v>76.82443961921679</v>
      </c>
      <c r="N152" s="45"/>
    </row>
    <row r="153" spans="1:14">
      <c r="C153" s="74" t="s">
        <v>49</v>
      </c>
      <c r="E153" s="78">
        <f>SUM(E133:E141)</f>
        <v>0</v>
      </c>
      <c r="F153" s="78">
        <f t="shared" ref="F153:M153" si="39">SUM(F133:F141)</f>
        <v>0</v>
      </c>
      <c r="G153" s="78">
        <f t="shared" si="39"/>
        <v>1.4888888888888889</v>
      </c>
      <c r="H153" s="78">
        <f t="shared" si="39"/>
        <v>4.4713126999388226</v>
      </c>
      <c r="I153" s="78">
        <f t="shared" si="39"/>
        <v>11.271043197903349</v>
      </c>
      <c r="J153" s="78">
        <f t="shared" si="39"/>
        <v>73.615493770952497</v>
      </c>
      <c r="K153" s="78">
        <f t="shared" si="39"/>
        <v>79.930346474325376</v>
      </c>
      <c r="L153" s="78">
        <f t="shared" si="39"/>
        <v>84.869295943557304</v>
      </c>
      <c r="M153" s="78">
        <f t="shared" si="39"/>
        <v>91.301333427670443</v>
      </c>
      <c r="N153" s="45"/>
    </row>
    <row r="154" spans="1:14">
      <c r="C154" s="74" t="s">
        <v>106</v>
      </c>
      <c r="E154" s="78"/>
      <c r="F154" s="78">
        <f t="shared" ref="F154:M154" si="40">SUM(F142:F150)</f>
        <v>67</v>
      </c>
      <c r="G154" s="78">
        <f t="shared" si="40"/>
        <v>199.69125342010256</v>
      </c>
      <c r="H154" s="78">
        <f t="shared" si="40"/>
        <v>501.10396818205032</v>
      </c>
      <c r="I154" s="78">
        <f t="shared" si="40"/>
        <v>3294.948252455004</v>
      </c>
      <c r="J154" s="78">
        <f t="shared" si="40"/>
        <v>3503.4312826079836</v>
      </c>
      <c r="K154" s="78">
        <f t="shared" si="40"/>
        <v>3642.0147005564286</v>
      </c>
      <c r="L154" s="78">
        <f t="shared" si="40"/>
        <v>3841.2219809608359</v>
      </c>
      <c r="M154" s="78">
        <f t="shared" si="40"/>
        <v>3826.7450871523824</v>
      </c>
      <c r="N154" s="45"/>
    </row>
    <row r="155" spans="1:14">
      <c r="E155" s="78"/>
      <c r="F155" s="78"/>
      <c r="G155" s="78"/>
      <c r="H155" s="78"/>
      <c r="I155" s="78"/>
      <c r="J155" s="78"/>
      <c r="K155" s="78"/>
      <c r="L155" s="78"/>
      <c r="M155" s="78"/>
      <c r="N155" s="45"/>
    </row>
    <row r="156" spans="1:14" ht="15.75">
      <c r="C156" s="5" t="s">
        <v>198</v>
      </c>
      <c r="E156" s="10" t="str">
        <f>E$21</f>
        <v>2009/10</v>
      </c>
      <c r="F156" s="10" t="str">
        <f t="shared" ref="F156:M156" si="41">F$21</f>
        <v>2010/11</v>
      </c>
      <c r="G156" s="10" t="str">
        <f t="shared" si="41"/>
        <v>2011/12</v>
      </c>
      <c r="H156" s="10" t="str">
        <f t="shared" si="41"/>
        <v>2012/13</v>
      </c>
      <c r="I156" s="10" t="str">
        <f t="shared" si="41"/>
        <v>2013/14</v>
      </c>
      <c r="J156" s="10" t="str">
        <f t="shared" si="41"/>
        <v>2014/15</v>
      </c>
      <c r="K156" s="10" t="str">
        <f t="shared" si="41"/>
        <v>2015/16</v>
      </c>
      <c r="L156" s="10" t="str">
        <f t="shared" si="41"/>
        <v>2016/17</v>
      </c>
      <c r="M156" s="10" t="str">
        <f t="shared" si="41"/>
        <v>2017/18</v>
      </c>
      <c r="N156" s="45"/>
    </row>
    <row r="157" spans="1:14">
      <c r="C157" s="20" t="s">
        <v>41</v>
      </c>
      <c r="E157" s="20">
        <v>1</v>
      </c>
      <c r="F157" s="20">
        <v>2</v>
      </c>
      <c r="G157" s="20">
        <v>3</v>
      </c>
      <c r="H157" s="20">
        <v>4</v>
      </c>
      <c r="I157" s="20">
        <v>5</v>
      </c>
      <c r="J157" s="20">
        <v>6</v>
      </c>
      <c r="K157" s="20">
        <v>7</v>
      </c>
      <c r="L157" s="20">
        <v>8</v>
      </c>
      <c r="M157" s="20">
        <v>9</v>
      </c>
      <c r="N157" s="45"/>
    </row>
    <row r="158" spans="1:14">
      <c r="C158" s="74" t="s">
        <v>22</v>
      </c>
      <c r="D158" s="78"/>
      <c r="E158" s="181">
        <v>0</v>
      </c>
      <c r="F158" s="78">
        <f t="shared" ref="F158:M158" si="42">F$48</f>
        <v>67</v>
      </c>
      <c r="G158" s="78">
        <f t="shared" si="42"/>
        <v>132.90725802574445</v>
      </c>
      <c r="H158" s="78">
        <f t="shared" si="42"/>
        <v>302.49942994629163</v>
      </c>
      <c r="I158" s="78">
        <f t="shared" si="42"/>
        <v>2794.2580748269124</v>
      </c>
      <c r="J158" s="78">
        <f t="shared" si="42"/>
        <v>209.13245040632776</v>
      </c>
      <c r="K158" s="78">
        <f t="shared" si="42"/>
        <v>144.68800406178775</v>
      </c>
      <c r="L158" s="78">
        <f t="shared" si="42"/>
        <v>211.23628233683604</v>
      </c>
      <c r="M158" s="78">
        <f t="shared" si="42"/>
        <v>0</v>
      </c>
      <c r="N158" s="45"/>
    </row>
    <row r="159" spans="1:14">
      <c r="A159" s="74">
        <v>1</v>
      </c>
      <c r="C159" s="74" t="s">
        <v>395</v>
      </c>
      <c r="E159" s="181">
        <v>0</v>
      </c>
      <c r="F159" s="78">
        <f>E186</f>
        <v>0</v>
      </c>
      <c r="G159" s="78">
        <f t="shared" ref="G159:M167" si="43">F186</f>
        <v>0</v>
      </c>
      <c r="H159" s="78">
        <f t="shared" si="43"/>
        <v>0</v>
      </c>
      <c r="I159" s="78">
        <f t="shared" si="43"/>
        <v>0</v>
      </c>
      <c r="J159" s="78">
        <f t="shared" si="43"/>
        <v>0</v>
      </c>
      <c r="K159" s="78">
        <f t="shared" si="43"/>
        <v>0</v>
      </c>
      <c r="L159" s="78">
        <f t="shared" si="43"/>
        <v>0</v>
      </c>
      <c r="M159" s="78">
        <f t="shared" si="43"/>
        <v>0</v>
      </c>
      <c r="N159" s="45"/>
    </row>
    <row r="160" spans="1:14">
      <c r="A160" s="74">
        <v>2</v>
      </c>
      <c r="C160" s="74" t="s">
        <v>396</v>
      </c>
      <c r="E160" s="181">
        <v>0</v>
      </c>
      <c r="F160" s="78">
        <f t="shared" ref="F160:J163" si="44">E187</f>
        <v>0</v>
      </c>
      <c r="G160" s="78">
        <f t="shared" si="44"/>
        <v>67</v>
      </c>
      <c r="H160" s="78">
        <f t="shared" si="44"/>
        <v>65.511111111111106</v>
      </c>
      <c r="I160" s="78">
        <f t="shared" si="44"/>
        <v>64.022222222222211</v>
      </c>
      <c r="J160" s="78">
        <f t="shared" si="44"/>
        <v>62.533333333333324</v>
      </c>
      <c r="K160" s="78">
        <f t="shared" si="43"/>
        <v>61.044444444444437</v>
      </c>
      <c r="L160" s="78">
        <f t="shared" si="43"/>
        <v>59.55555555555555</v>
      </c>
      <c r="M160" s="78">
        <f t="shared" si="43"/>
        <v>58.066666666666663</v>
      </c>
      <c r="N160" s="45"/>
    </row>
    <row r="161" spans="1:14">
      <c r="A161" s="74">
        <v>3</v>
      </c>
      <c r="C161" s="74" t="s">
        <v>397</v>
      </c>
      <c r="E161" s="181">
        <v>0</v>
      </c>
      <c r="F161" s="78">
        <f t="shared" si="44"/>
        <v>0</v>
      </c>
      <c r="G161" s="78">
        <f t="shared" si="44"/>
        <v>0</v>
      </c>
      <c r="H161" s="78">
        <f t="shared" si="44"/>
        <v>132.90725802574445</v>
      </c>
      <c r="I161" s="78">
        <f t="shared" si="44"/>
        <v>129.95376340295013</v>
      </c>
      <c r="J161" s="78">
        <f t="shared" si="44"/>
        <v>127.00026878015581</v>
      </c>
      <c r="K161" s="78">
        <f t="shared" si="43"/>
        <v>124.04677415736148</v>
      </c>
      <c r="L161" s="78">
        <f t="shared" si="43"/>
        <v>121.09327953456716</v>
      </c>
      <c r="M161" s="78">
        <f t="shared" si="43"/>
        <v>118.13978491177284</v>
      </c>
      <c r="N161" s="45"/>
    </row>
    <row r="162" spans="1:14">
      <c r="A162" s="74">
        <v>4</v>
      </c>
      <c r="C162" s="74" t="s">
        <v>398</v>
      </c>
      <c r="E162" s="181">
        <v>0</v>
      </c>
      <c r="F162" s="78">
        <f t="shared" si="44"/>
        <v>0</v>
      </c>
      <c r="G162" s="78">
        <f t="shared" si="44"/>
        <v>0</v>
      </c>
      <c r="H162" s="78">
        <f t="shared" si="44"/>
        <v>0</v>
      </c>
      <c r="I162" s="78">
        <f t="shared" si="44"/>
        <v>302.49942994629163</v>
      </c>
      <c r="J162" s="78">
        <f t="shared" si="44"/>
        <v>295.77722039192957</v>
      </c>
      <c r="K162" s="78">
        <f t="shared" si="43"/>
        <v>289.05501083756752</v>
      </c>
      <c r="L162" s="78">
        <f t="shared" si="43"/>
        <v>282.33280128320547</v>
      </c>
      <c r="M162" s="78">
        <f t="shared" si="43"/>
        <v>275.61059172884342</v>
      </c>
      <c r="N162" s="45"/>
    </row>
    <row r="163" spans="1:14">
      <c r="A163" s="74">
        <v>5</v>
      </c>
      <c r="C163" s="74" t="s">
        <v>399</v>
      </c>
      <c r="E163" s="181">
        <v>0</v>
      </c>
      <c r="F163" s="78">
        <f t="shared" si="44"/>
        <v>0</v>
      </c>
      <c r="G163" s="78">
        <f t="shared" si="44"/>
        <v>0</v>
      </c>
      <c r="H163" s="78">
        <f t="shared" si="44"/>
        <v>0</v>
      </c>
      <c r="I163" s="78">
        <f t="shared" si="44"/>
        <v>0</v>
      </c>
      <c r="J163" s="78">
        <f t="shared" si="44"/>
        <v>2794.2580748269124</v>
      </c>
      <c r="K163" s="78">
        <f t="shared" si="43"/>
        <v>2732.16345094187</v>
      </c>
      <c r="L163" s="78">
        <f t="shared" si="43"/>
        <v>2670.0688270568276</v>
      </c>
      <c r="M163" s="78">
        <f t="shared" si="43"/>
        <v>2607.9742031717851</v>
      </c>
      <c r="N163" s="45"/>
    </row>
    <row r="164" spans="1:14">
      <c r="A164" s="74">
        <v>6</v>
      </c>
      <c r="C164" s="74" t="s">
        <v>400</v>
      </c>
      <c r="E164" s="181">
        <v>0</v>
      </c>
      <c r="F164" s="78">
        <f>E191</f>
        <v>0</v>
      </c>
      <c r="G164" s="78">
        <f>F191</f>
        <v>0</v>
      </c>
      <c r="H164" s="78">
        <f>G191</f>
        <v>0</v>
      </c>
      <c r="I164" s="78">
        <f>H191</f>
        <v>0</v>
      </c>
      <c r="J164" s="78">
        <f>I191</f>
        <v>0</v>
      </c>
      <c r="K164" s="78">
        <f t="shared" si="43"/>
        <v>209.13245040632776</v>
      </c>
      <c r="L164" s="78">
        <f t="shared" si="43"/>
        <v>204.48506261952048</v>
      </c>
      <c r="M164" s="78">
        <f t="shared" si="43"/>
        <v>199.83767483271319</v>
      </c>
      <c r="N164" s="45"/>
    </row>
    <row r="165" spans="1:14">
      <c r="A165" s="74">
        <v>7</v>
      </c>
      <c r="C165" s="74" t="s">
        <v>401</v>
      </c>
      <c r="E165" s="181">
        <v>0</v>
      </c>
      <c r="F165" s="78">
        <f t="shared" ref="F165:J167" si="45">E192</f>
        <v>0</v>
      </c>
      <c r="G165" s="78">
        <f t="shared" si="45"/>
        <v>0</v>
      </c>
      <c r="H165" s="78">
        <f t="shared" si="45"/>
        <v>0</v>
      </c>
      <c r="I165" s="78">
        <f t="shared" si="45"/>
        <v>0</v>
      </c>
      <c r="J165" s="78">
        <f t="shared" si="45"/>
        <v>0</v>
      </c>
      <c r="K165" s="78">
        <f t="shared" si="43"/>
        <v>0</v>
      </c>
      <c r="L165" s="78">
        <f t="shared" si="43"/>
        <v>144.68800406178775</v>
      </c>
      <c r="M165" s="78">
        <f t="shared" si="43"/>
        <v>141.47271508263691</v>
      </c>
      <c r="N165" s="45"/>
    </row>
    <row r="166" spans="1:14">
      <c r="A166" s="74">
        <v>8</v>
      </c>
      <c r="C166" s="74" t="s">
        <v>402</v>
      </c>
      <c r="E166" s="181">
        <v>0</v>
      </c>
      <c r="F166" s="78">
        <f t="shared" si="45"/>
        <v>0</v>
      </c>
      <c r="G166" s="78">
        <f t="shared" si="45"/>
        <v>0</v>
      </c>
      <c r="H166" s="78">
        <f t="shared" si="45"/>
        <v>0</v>
      </c>
      <c r="I166" s="78">
        <f t="shared" si="45"/>
        <v>0</v>
      </c>
      <c r="J166" s="78">
        <f t="shared" si="45"/>
        <v>0</v>
      </c>
      <c r="K166" s="78">
        <f t="shared" si="43"/>
        <v>0</v>
      </c>
      <c r="L166" s="78">
        <f t="shared" si="43"/>
        <v>0</v>
      </c>
      <c r="M166" s="78">
        <f t="shared" si="43"/>
        <v>211.23628233683604</v>
      </c>
      <c r="N166" s="45"/>
    </row>
    <row r="167" spans="1:14">
      <c r="A167" s="74">
        <v>9</v>
      </c>
      <c r="C167" s="74" t="s">
        <v>403</v>
      </c>
      <c r="E167" s="181">
        <v>0</v>
      </c>
      <c r="F167" s="78">
        <f t="shared" si="45"/>
        <v>0</v>
      </c>
      <c r="G167" s="78">
        <f t="shared" si="45"/>
        <v>0</v>
      </c>
      <c r="H167" s="78">
        <f t="shared" si="45"/>
        <v>0</v>
      </c>
      <c r="I167" s="78">
        <f t="shared" si="45"/>
        <v>0</v>
      </c>
      <c r="J167" s="78">
        <f t="shared" si="45"/>
        <v>0</v>
      </c>
      <c r="K167" s="78">
        <f t="shared" si="43"/>
        <v>0</v>
      </c>
      <c r="L167" s="78">
        <f t="shared" si="43"/>
        <v>0</v>
      </c>
      <c r="M167" s="78">
        <f t="shared" si="43"/>
        <v>0</v>
      </c>
      <c r="N167" s="45"/>
    </row>
    <row r="168" spans="1:14">
      <c r="A168" s="74">
        <v>1</v>
      </c>
      <c r="C168" s="74" t="s">
        <v>359</v>
      </c>
      <c r="E168" s="181">
        <f>Inputs!$C$7+$A168</f>
        <v>46</v>
      </c>
      <c r="F168" s="78">
        <f>E168-1</f>
        <v>45</v>
      </c>
      <c r="G168" s="78">
        <f t="shared" ref="G168:M176" si="46">F168-1</f>
        <v>44</v>
      </c>
      <c r="H168" s="78">
        <f t="shared" si="46"/>
        <v>43</v>
      </c>
      <c r="I168" s="78">
        <f t="shared" si="46"/>
        <v>42</v>
      </c>
      <c r="J168" s="78">
        <f t="shared" si="46"/>
        <v>41</v>
      </c>
      <c r="K168" s="78">
        <f t="shared" si="46"/>
        <v>40</v>
      </c>
      <c r="L168" s="78">
        <f t="shared" si="46"/>
        <v>39</v>
      </c>
      <c r="M168" s="78">
        <f t="shared" si="46"/>
        <v>38</v>
      </c>
      <c r="N168" s="45"/>
    </row>
    <row r="169" spans="1:14">
      <c r="A169" s="74">
        <v>2</v>
      </c>
      <c r="C169" s="74" t="s">
        <v>360</v>
      </c>
      <c r="E169" s="181">
        <f>Inputs!$C$7+$A169</f>
        <v>47</v>
      </c>
      <c r="F169" s="78">
        <f t="shared" ref="F169:J176" si="47">E169-1</f>
        <v>46</v>
      </c>
      <c r="G169" s="78">
        <f t="shared" si="47"/>
        <v>45</v>
      </c>
      <c r="H169" s="78">
        <f t="shared" si="47"/>
        <v>44</v>
      </c>
      <c r="I169" s="78">
        <f t="shared" si="47"/>
        <v>43</v>
      </c>
      <c r="J169" s="78">
        <f t="shared" si="47"/>
        <v>42</v>
      </c>
      <c r="K169" s="78">
        <f t="shared" si="46"/>
        <v>41</v>
      </c>
      <c r="L169" s="78">
        <f t="shared" si="46"/>
        <v>40</v>
      </c>
      <c r="M169" s="78">
        <f t="shared" si="46"/>
        <v>39</v>
      </c>
      <c r="N169" s="45"/>
    </row>
    <row r="170" spans="1:14">
      <c r="A170" s="74">
        <v>3</v>
      </c>
      <c r="C170" s="74" t="s">
        <v>361</v>
      </c>
      <c r="E170" s="181">
        <f>Inputs!$C$7+$A170</f>
        <v>48</v>
      </c>
      <c r="F170" s="78">
        <f t="shared" si="47"/>
        <v>47</v>
      </c>
      <c r="G170" s="78">
        <f t="shared" si="47"/>
        <v>46</v>
      </c>
      <c r="H170" s="78">
        <f t="shared" si="47"/>
        <v>45</v>
      </c>
      <c r="I170" s="78">
        <f t="shared" si="47"/>
        <v>44</v>
      </c>
      <c r="J170" s="78">
        <f t="shared" si="47"/>
        <v>43</v>
      </c>
      <c r="K170" s="78">
        <f t="shared" si="46"/>
        <v>42</v>
      </c>
      <c r="L170" s="78">
        <f t="shared" si="46"/>
        <v>41</v>
      </c>
      <c r="M170" s="78">
        <f t="shared" si="46"/>
        <v>40</v>
      </c>
      <c r="N170" s="45"/>
    </row>
    <row r="171" spans="1:14">
      <c r="A171" s="74">
        <v>4</v>
      </c>
      <c r="C171" s="74" t="s">
        <v>362</v>
      </c>
      <c r="E171" s="181">
        <f>Inputs!$C$7+$A171</f>
        <v>49</v>
      </c>
      <c r="F171" s="78">
        <f t="shared" si="47"/>
        <v>48</v>
      </c>
      <c r="G171" s="78">
        <f t="shared" si="47"/>
        <v>47</v>
      </c>
      <c r="H171" s="78">
        <f t="shared" si="47"/>
        <v>46</v>
      </c>
      <c r="I171" s="78">
        <f t="shared" si="47"/>
        <v>45</v>
      </c>
      <c r="J171" s="78">
        <f t="shared" si="47"/>
        <v>44</v>
      </c>
      <c r="K171" s="78">
        <f t="shared" si="46"/>
        <v>43</v>
      </c>
      <c r="L171" s="78">
        <f t="shared" si="46"/>
        <v>42</v>
      </c>
      <c r="M171" s="78">
        <f t="shared" si="46"/>
        <v>41</v>
      </c>
      <c r="N171" s="45"/>
    </row>
    <row r="172" spans="1:14">
      <c r="A172" s="74">
        <v>5</v>
      </c>
      <c r="C172" s="74" t="s">
        <v>363</v>
      </c>
      <c r="E172" s="181">
        <f>Inputs!$C$7+$A172</f>
        <v>50</v>
      </c>
      <c r="F172" s="78">
        <f t="shared" si="47"/>
        <v>49</v>
      </c>
      <c r="G172" s="78">
        <f t="shared" si="47"/>
        <v>48</v>
      </c>
      <c r="H172" s="78">
        <f t="shared" si="47"/>
        <v>47</v>
      </c>
      <c r="I172" s="78">
        <f t="shared" si="47"/>
        <v>46</v>
      </c>
      <c r="J172" s="78">
        <f t="shared" si="47"/>
        <v>45</v>
      </c>
      <c r="K172" s="78">
        <f t="shared" si="46"/>
        <v>44</v>
      </c>
      <c r="L172" s="78">
        <f t="shared" si="46"/>
        <v>43</v>
      </c>
      <c r="M172" s="78">
        <f t="shared" si="46"/>
        <v>42</v>
      </c>
      <c r="N172" s="45"/>
    </row>
    <row r="173" spans="1:14">
      <c r="A173" s="74">
        <v>6</v>
      </c>
      <c r="C173" s="74" t="s">
        <v>364</v>
      </c>
      <c r="E173" s="181">
        <f>Inputs!$C$7+$A173</f>
        <v>51</v>
      </c>
      <c r="F173" s="78">
        <f t="shared" si="47"/>
        <v>50</v>
      </c>
      <c r="G173" s="78">
        <f t="shared" si="47"/>
        <v>49</v>
      </c>
      <c r="H173" s="78">
        <f t="shared" si="47"/>
        <v>48</v>
      </c>
      <c r="I173" s="78">
        <f t="shared" si="47"/>
        <v>47</v>
      </c>
      <c r="J173" s="78">
        <f t="shared" si="47"/>
        <v>46</v>
      </c>
      <c r="K173" s="78">
        <f t="shared" si="46"/>
        <v>45</v>
      </c>
      <c r="L173" s="78">
        <f t="shared" si="46"/>
        <v>44</v>
      </c>
      <c r="M173" s="78">
        <f t="shared" si="46"/>
        <v>43</v>
      </c>
      <c r="N173" s="45"/>
    </row>
    <row r="174" spans="1:14">
      <c r="A174" s="74">
        <v>7</v>
      </c>
      <c r="C174" s="74" t="s">
        <v>365</v>
      </c>
      <c r="E174" s="181">
        <f>Inputs!$C$7+$A174</f>
        <v>52</v>
      </c>
      <c r="F174" s="78">
        <f t="shared" si="47"/>
        <v>51</v>
      </c>
      <c r="G174" s="78">
        <f t="shared" si="47"/>
        <v>50</v>
      </c>
      <c r="H174" s="78">
        <f t="shared" si="47"/>
        <v>49</v>
      </c>
      <c r="I174" s="78">
        <f t="shared" si="47"/>
        <v>48</v>
      </c>
      <c r="J174" s="78">
        <f t="shared" si="47"/>
        <v>47</v>
      </c>
      <c r="K174" s="78">
        <f t="shared" si="46"/>
        <v>46</v>
      </c>
      <c r="L174" s="78">
        <f t="shared" si="46"/>
        <v>45</v>
      </c>
      <c r="M174" s="78">
        <f t="shared" si="46"/>
        <v>44</v>
      </c>
      <c r="N174" s="45"/>
    </row>
    <row r="175" spans="1:14">
      <c r="A175" s="74">
        <v>8</v>
      </c>
      <c r="C175" s="74" t="s">
        <v>366</v>
      </c>
      <c r="E175" s="181">
        <f>Inputs!$C$7+$A175</f>
        <v>53</v>
      </c>
      <c r="F175" s="78">
        <f t="shared" si="47"/>
        <v>52</v>
      </c>
      <c r="G175" s="78">
        <f t="shared" si="47"/>
        <v>51</v>
      </c>
      <c r="H175" s="78">
        <f t="shared" si="47"/>
        <v>50</v>
      </c>
      <c r="I175" s="78">
        <f t="shared" si="47"/>
        <v>49</v>
      </c>
      <c r="J175" s="78">
        <f t="shared" si="47"/>
        <v>48</v>
      </c>
      <c r="K175" s="78">
        <f t="shared" si="46"/>
        <v>47</v>
      </c>
      <c r="L175" s="78">
        <f t="shared" si="46"/>
        <v>46</v>
      </c>
      <c r="M175" s="78">
        <f t="shared" si="46"/>
        <v>45</v>
      </c>
      <c r="N175" s="45"/>
    </row>
    <row r="176" spans="1:14">
      <c r="A176" s="74">
        <v>9</v>
      </c>
      <c r="C176" s="74" t="s">
        <v>367</v>
      </c>
      <c r="E176" s="181">
        <f>Inputs!$C$7+$A176</f>
        <v>54</v>
      </c>
      <c r="F176" s="78">
        <f t="shared" si="47"/>
        <v>53</v>
      </c>
      <c r="G176" s="78">
        <f t="shared" si="47"/>
        <v>52</v>
      </c>
      <c r="H176" s="78">
        <f t="shared" si="47"/>
        <v>51</v>
      </c>
      <c r="I176" s="78">
        <f t="shared" si="47"/>
        <v>50</v>
      </c>
      <c r="J176" s="78">
        <f t="shared" si="47"/>
        <v>49</v>
      </c>
      <c r="K176" s="78">
        <f t="shared" si="46"/>
        <v>48</v>
      </c>
      <c r="L176" s="78">
        <f t="shared" si="46"/>
        <v>47</v>
      </c>
      <c r="M176" s="78">
        <f t="shared" si="46"/>
        <v>46</v>
      </c>
      <c r="N176" s="45"/>
    </row>
    <row r="177" spans="1:14">
      <c r="A177" s="74">
        <v>1</v>
      </c>
      <c r="C177" s="74" t="s">
        <v>404</v>
      </c>
      <c r="E177" s="78">
        <f t="shared" ref="E177:M185" si="48">E159/E168</f>
        <v>0</v>
      </c>
      <c r="F177" s="78">
        <f t="shared" si="48"/>
        <v>0</v>
      </c>
      <c r="G177" s="78">
        <f t="shared" si="48"/>
        <v>0</v>
      </c>
      <c r="H177" s="78">
        <f t="shared" si="48"/>
        <v>0</v>
      </c>
      <c r="I177" s="78">
        <f t="shared" si="48"/>
        <v>0</v>
      </c>
      <c r="J177" s="78">
        <f t="shared" si="48"/>
        <v>0</v>
      </c>
      <c r="K177" s="78">
        <f t="shared" si="48"/>
        <v>0</v>
      </c>
      <c r="L177" s="78">
        <f t="shared" si="48"/>
        <v>0</v>
      </c>
      <c r="M177" s="78">
        <f t="shared" si="48"/>
        <v>0</v>
      </c>
      <c r="N177" s="45"/>
    </row>
    <row r="178" spans="1:14">
      <c r="A178" s="74">
        <v>2</v>
      </c>
      <c r="C178" s="74" t="s">
        <v>405</v>
      </c>
      <c r="E178" s="78">
        <f t="shared" si="48"/>
        <v>0</v>
      </c>
      <c r="F178" s="78">
        <f t="shared" si="48"/>
        <v>0</v>
      </c>
      <c r="G178" s="78">
        <f t="shared" si="48"/>
        <v>1.4888888888888889</v>
      </c>
      <c r="H178" s="78">
        <f t="shared" si="48"/>
        <v>1.4888888888888887</v>
      </c>
      <c r="I178" s="78">
        <f t="shared" si="48"/>
        <v>1.4888888888888887</v>
      </c>
      <c r="J178" s="78">
        <f t="shared" si="48"/>
        <v>1.4888888888888887</v>
      </c>
      <c r="K178" s="78">
        <f t="shared" si="48"/>
        <v>1.4888888888888887</v>
      </c>
      <c r="L178" s="78">
        <f t="shared" si="48"/>
        <v>1.4888888888888887</v>
      </c>
      <c r="M178" s="78">
        <f t="shared" si="48"/>
        <v>1.4888888888888887</v>
      </c>
      <c r="N178" s="45"/>
    </row>
    <row r="179" spans="1:14">
      <c r="A179" s="74">
        <v>3</v>
      </c>
      <c r="C179" s="74" t="s">
        <v>406</v>
      </c>
      <c r="E179" s="78">
        <f t="shared" si="48"/>
        <v>0</v>
      </c>
      <c r="F179" s="78">
        <f t="shared" si="48"/>
        <v>0</v>
      </c>
      <c r="G179" s="78">
        <f t="shared" si="48"/>
        <v>0</v>
      </c>
      <c r="H179" s="78">
        <f t="shared" si="48"/>
        <v>2.9534946227943211</v>
      </c>
      <c r="I179" s="78">
        <f t="shared" si="48"/>
        <v>2.9534946227943211</v>
      </c>
      <c r="J179" s="78">
        <f t="shared" si="48"/>
        <v>2.9534946227943211</v>
      </c>
      <c r="K179" s="78">
        <f t="shared" si="48"/>
        <v>2.9534946227943211</v>
      </c>
      <c r="L179" s="78">
        <f t="shared" si="48"/>
        <v>2.9534946227943211</v>
      </c>
      <c r="M179" s="78">
        <f t="shared" si="48"/>
        <v>2.9534946227943211</v>
      </c>
      <c r="N179" s="45"/>
    </row>
    <row r="180" spans="1:14">
      <c r="A180" s="74">
        <v>4</v>
      </c>
      <c r="C180" s="74" t="s">
        <v>407</v>
      </c>
      <c r="E180" s="78">
        <f t="shared" si="48"/>
        <v>0</v>
      </c>
      <c r="F180" s="78">
        <f t="shared" si="48"/>
        <v>0</v>
      </c>
      <c r="G180" s="78">
        <f t="shared" si="48"/>
        <v>0</v>
      </c>
      <c r="H180" s="78">
        <f t="shared" si="48"/>
        <v>0</v>
      </c>
      <c r="I180" s="78">
        <f t="shared" si="48"/>
        <v>6.7222095543620366</v>
      </c>
      <c r="J180" s="78">
        <f t="shared" si="48"/>
        <v>6.7222095543620357</v>
      </c>
      <c r="K180" s="78">
        <f t="shared" si="48"/>
        <v>6.7222095543620357</v>
      </c>
      <c r="L180" s="78">
        <f t="shared" si="48"/>
        <v>6.7222095543620348</v>
      </c>
      <c r="M180" s="78">
        <f t="shared" si="48"/>
        <v>6.7222095543620348</v>
      </c>
      <c r="N180" s="45"/>
    </row>
    <row r="181" spans="1:14">
      <c r="A181" s="74">
        <v>5</v>
      </c>
      <c r="C181" s="74" t="s">
        <v>408</v>
      </c>
      <c r="E181" s="78">
        <f t="shared" si="48"/>
        <v>0</v>
      </c>
      <c r="F181" s="78">
        <f t="shared" si="48"/>
        <v>0</v>
      </c>
      <c r="G181" s="78">
        <f t="shared" si="48"/>
        <v>0</v>
      </c>
      <c r="H181" s="78">
        <f t="shared" si="48"/>
        <v>0</v>
      </c>
      <c r="I181" s="78">
        <f t="shared" si="48"/>
        <v>0</v>
      </c>
      <c r="J181" s="78">
        <f t="shared" si="48"/>
        <v>62.094623885042502</v>
      </c>
      <c r="K181" s="78">
        <f t="shared" si="48"/>
        <v>62.094623885042502</v>
      </c>
      <c r="L181" s="78">
        <f t="shared" si="48"/>
        <v>62.094623885042502</v>
      </c>
      <c r="M181" s="78">
        <f t="shared" si="48"/>
        <v>62.094623885042502</v>
      </c>
      <c r="N181" s="45"/>
    </row>
    <row r="182" spans="1:14">
      <c r="A182" s="74">
        <v>6</v>
      </c>
      <c r="C182" s="74" t="s">
        <v>409</v>
      </c>
      <c r="E182" s="78">
        <f t="shared" si="48"/>
        <v>0</v>
      </c>
      <c r="F182" s="78">
        <f t="shared" si="48"/>
        <v>0</v>
      </c>
      <c r="G182" s="78">
        <f t="shared" si="48"/>
        <v>0</v>
      </c>
      <c r="H182" s="78">
        <f t="shared" si="48"/>
        <v>0</v>
      </c>
      <c r="I182" s="78">
        <f t="shared" si="48"/>
        <v>0</v>
      </c>
      <c r="J182" s="78">
        <f t="shared" si="48"/>
        <v>0</v>
      </c>
      <c r="K182" s="78">
        <f t="shared" si="48"/>
        <v>4.6473877868072835</v>
      </c>
      <c r="L182" s="78">
        <f t="shared" si="48"/>
        <v>4.6473877868072835</v>
      </c>
      <c r="M182" s="78">
        <f t="shared" si="48"/>
        <v>4.6473877868072835</v>
      </c>
      <c r="N182" s="45"/>
    </row>
    <row r="183" spans="1:14">
      <c r="A183" s="74">
        <v>7</v>
      </c>
      <c r="C183" s="74" t="s">
        <v>410</v>
      </c>
      <c r="E183" s="78">
        <f t="shared" si="48"/>
        <v>0</v>
      </c>
      <c r="F183" s="78">
        <f t="shared" si="48"/>
        <v>0</v>
      </c>
      <c r="G183" s="78">
        <f t="shared" si="48"/>
        <v>0</v>
      </c>
      <c r="H183" s="78">
        <f t="shared" si="48"/>
        <v>0</v>
      </c>
      <c r="I183" s="78">
        <f t="shared" si="48"/>
        <v>0</v>
      </c>
      <c r="J183" s="78">
        <f t="shared" si="48"/>
        <v>0</v>
      </c>
      <c r="K183" s="78">
        <f t="shared" si="48"/>
        <v>0</v>
      </c>
      <c r="L183" s="78">
        <f t="shared" si="48"/>
        <v>3.2152889791508388</v>
      </c>
      <c r="M183" s="78">
        <f t="shared" si="48"/>
        <v>3.2152889791508388</v>
      </c>
      <c r="N183" s="45"/>
    </row>
    <row r="184" spans="1:14">
      <c r="A184" s="74">
        <v>8</v>
      </c>
      <c r="C184" s="74" t="s">
        <v>411</v>
      </c>
      <c r="E184" s="78">
        <f t="shared" si="48"/>
        <v>0</v>
      </c>
      <c r="F184" s="78">
        <f t="shared" si="48"/>
        <v>0</v>
      </c>
      <c r="G184" s="78">
        <f t="shared" si="48"/>
        <v>0</v>
      </c>
      <c r="H184" s="78">
        <f t="shared" si="48"/>
        <v>0</v>
      </c>
      <c r="I184" s="78">
        <f t="shared" si="48"/>
        <v>0</v>
      </c>
      <c r="J184" s="78">
        <f t="shared" si="48"/>
        <v>0</v>
      </c>
      <c r="K184" s="78">
        <f t="shared" si="48"/>
        <v>0</v>
      </c>
      <c r="L184" s="78">
        <f t="shared" si="48"/>
        <v>0</v>
      </c>
      <c r="M184" s="78">
        <f t="shared" si="48"/>
        <v>4.6941396074852451</v>
      </c>
      <c r="N184" s="45"/>
    </row>
    <row r="185" spans="1:14">
      <c r="A185" s="74">
        <v>9</v>
      </c>
      <c r="C185" s="74" t="s">
        <v>412</v>
      </c>
      <c r="E185" s="78">
        <f t="shared" si="48"/>
        <v>0</v>
      </c>
      <c r="F185" s="78">
        <f t="shared" si="48"/>
        <v>0</v>
      </c>
      <c r="G185" s="78">
        <f t="shared" si="48"/>
        <v>0</v>
      </c>
      <c r="H185" s="78">
        <f t="shared" si="48"/>
        <v>0</v>
      </c>
      <c r="I185" s="78">
        <f t="shared" si="48"/>
        <v>0</v>
      </c>
      <c r="J185" s="78">
        <f t="shared" si="48"/>
        <v>0</v>
      </c>
      <c r="K185" s="78">
        <f t="shared" si="48"/>
        <v>0</v>
      </c>
      <c r="L185" s="78">
        <f t="shared" si="48"/>
        <v>0</v>
      </c>
      <c r="M185" s="78">
        <f t="shared" si="48"/>
        <v>0</v>
      </c>
      <c r="N185" s="45"/>
    </row>
    <row r="186" spans="1:14">
      <c r="A186" s="74">
        <v>1</v>
      </c>
      <c r="C186" s="74" t="s">
        <v>413</v>
      </c>
      <c r="E186" s="78">
        <f t="shared" ref="E186:M194" si="49">E159-E177+IF($A186=E$157,E$158,0)</f>
        <v>0</v>
      </c>
      <c r="F186" s="78">
        <f t="shared" si="49"/>
        <v>0</v>
      </c>
      <c r="G186" s="78">
        <f t="shared" si="49"/>
        <v>0</v>
      </c>
      <c r="H186" s="78">
        <f t="shared" si="49"/>
        <v>0</v>
      </c>
      <c r="I186" s="78">
        <f t="shared" si="49"/>
        <v>0</v>
      </c>
      <c r="J186" s="78">
        <f t="shared" si="49"/>
        <v>0</v>
      </c>
      <c r="K186" s="78">
        <f t="shared" si="49"/>
        <v>0</v>
      </c>
      <c r="L186" s="78">
        <f t="shared" si="49"/>
        <v>0</v>
      </c>
      <c r="M186" s="78">
        <f t="shared" si="49"/>
        <v>0</v>
      </c>
      <c r="N186" s="45"/>
    </row>
    <row r="187" spans="1:14">
      <c r="A187" s="74">
        <v>2</v>
      </c>
      <c r="C187" s="74" t="s">
        <v>414</v>
      </c>
      <c r="E187" s="78">
        <f t="shared" si="49"/>
        <v>0</v>
      </c>
      <c r="F187" s="78">
        <f t="shared" si="49"/>
        <v>67</v>
      </c>
      <c r="G187" s="78">
        <f t="shared" si="49"/>
        <v>65.511111111111106</v>
      </c>
      <c r="H187" s="78">
        <f t="shared" si="49"/>
        <v>64.022222222222211</v>
      </c>
      <c r="I187" s="78">
        <f t="shared" si="49"/>
        <v>62.533333333333324</v>
      </c>
      <c r="J187" s="78">
        <f t="shared" si="49"/>
        <v>61.044444444444437</v>
      </c>
      <c r="K187" s="78">
        <f t="shared" si="49"/>
        <v>59.55555555555555</v>
      </c>
      <c r="L187" s="78">
        <f t="shared" si="49"/>
        <v>58.066666666666663</v>
      </c>
      <c r="M187" s="78">
        <f t="shared" si="49"/>
        <v>56.577777777777776</v>
      </c>
      <c r="N187" s="45"/>
    </row>
    <row r="188" spans="1:14">
      <c r="A188" s="74">
        <v>3</v>
      </c>
      <c r="C188" s="74" t="s">
        <v>415</v>
      </c>
      <c r="E188" s="78">
        <f t="shared" si="49"/>
        <v>0</v>
      </c>
      <c r="F188" s="78">
        <f t="shared" si="49"/>
        <v>0</v>
      </c>
      <c r="G188" s="78">
        <f t="shared" si="49"/>
        <v>132.90725802574445</v>
      </c>
      <c r="H188" s="78">
        <f t="shared" si="49"/>
        <v>129.95376340295013</v>
      </c>
      <c r="I188" s="78">
        <f t="shared" si="49"/>
        <v>127.00026878015581</v>
      </c>
      <c r="J188" s="78">
        <f t="shared" si="49"/>
        <v>124.04677415736148</v>
      </c>
      <c r="K188" s="78">
        <f t="shared" si="49"/>
        <v>121.09327953456716</v>
      </c>
      <c r="L188" s="78">
        <f t="shared" si="49"/>
        <v>118.13978491177284</v>
      </c>
      <c r="M188" s="78">
        <f t="shared" si="49"/>
        <v>115.18629028897851</v>
      </c>
      <c r="N188" s="45"/>
    </row>
    <row r="189" spans="1:14">
      <c r="A189" s="74">
        <v>4</v>
      </c>
      <c r="C189" s="74" t="s">
        <v>416</v>
      </c>
      <c r="E189" s="78">
        <f t="shared" si="49"/>
        <v>0</v>
      </c>
      <c r="F189" s="78">
        <f t="shared" si="49"/>
        <v>0</v>
      </c>
      <c r="G189" s="78">
        <f t="shared" si="49"/>
        <v>0</v>
      </c>
      <c r="H189" s="78">
        <f t="shared" si="49"/>
        <v>302.49942994629163</v>
      </c>
      <c r="I189" s="78">
        <f t="shared" si="49"/>
        <v>295.77722039192957</v>
      </c>
      <c r="J189" s="78">
        <f t="shared" si="49"/>
        <v>289.05501083756752</v>
      </c>
      <c r="K189" s="78">
        <f t="shared" si="49"/>
        <v>282.33280128320547</v>
      </c>
      <c r="L189" s="78">
        <f t="shared" si="49"/>
        <v>275.61059172884342</v>
      </c>
      <c r="M189" s="78">
        <f t="shared" si="49"/>
        <v>268.88838217448136</v>
      </c>
      <c r="N189" s="45"/>
    </row>
    <row r="190" spans="1:14">
      <c r="A190" s="74">
        <v>5</v>
      </c>
      <c r="C190" s="74" t="s">
        <v>417</v>
      </c>
      <c r="E190" s="78">
        <f t="shared" si="49"/>
        <v>0</v>
      </c>
      <c r="F190" s="78">
        <f t="shared" si="49"/>
        <v>0</v>
      </c>
      <c r="G190" s="78">
        <f t="shared" si="49"/>
        <v>0</v>
      </c>
      <c r="H190" s="78">
        <f t="shared" si="49"/>
        <v>0</v>
      </c>
      <c r="I190" s="78">
        <f t="shared" si="49"/>
        <v>2794.2580748269124</v>
      </c>
      <c r="J190" s="78">
        <f t="shared" si="49"/>
        <v>2732.16345094187</v>
      </c>
      <c r="K190" s="78">
        <f t="shared" si="49"/>
        <v>2670.0688270568276</v>
      </c>
      <c r="L190" s="78">
        <f t="shared" si="49"/>
        <v>2607.9742031717851</v>
      </c>
      <c r="M190" s="78">
        <f t="shared" si="49"/>
        <v>2545.8795792867427</v>
      </c>
      <c r="N190" s="45"/>
    </row>
    <row r="191" spans="1:14">
      <c r="A191" s="74">
        <v>6</v>
      </c>
      <c r="C191" s="74" t="s">
        <v>418</v>
      </c>
      <c r="E191" s="78">
        <f t="shared" si="49"/>
        <v>0</v>
      </c>
      <c r="F191" s="78">
        <f t="shared" si="49"/>
        <v>0</v>
      </c>
      <c r="G191" s="78">
        <f t="shared" si="49"/>
        <v>0</v>
      </c>
      <c r="H191" s="78">
        <f t="shared" si="49"/>
        <v>0</v>
      </c>
      <c r="I191" s="78">
        <f t="shared" si="49"/>
        <v>0</v>
      </c>
      <c r="J191" s="78">
        <f t="shared" si="49"/>
        <v>209.13245040632776</v>
      </c>
      <c r="K191" s="78">
        <f t="shared" si="49"/>
        <v>204.48506261952048</v>
      </c>
      <c r="L191" s="78">
        <f t="shared" si="49"/>
        <v>199.83767483271319</v>
      </c>
      <c r="M191" s="78">
        <f t="shared" si="49"/>
        <v>195.1902870459059</v>
      </c>
      <c r="N191" s="45"/>
    </row>
    <row r="192" spans="1:14">
      <c r="A192" s="74">
        <v>7</v>
      </c>
      <c r="C192" s="74" t="s">
        <v>419</v>
      </c>
      <c r="E192" s="78">
        <f t="shared" si="49"/>
        <v>0</v>
      </c>
      <c r="F192" s="78">
        <f t="shared" si="49"/>
        <v>0</v>
      </c>
      <c r="G192" s="78">
        <f t="shared" si="49"/>
        <v>0</v>
      </c>
      <c r="H192" s="78">
        <f t="shared" si="49"/>
        <v>0</v>
      </c>
      <c r="I192" s="78">
        <f t="shared" si="49"/>
        <v>0</v>
      </c>
      <c r="J192" s="78">
        <f t="shared" si="49"/>
        <v>0</v>
      </c>
      <c r="K192" s="78">
        <f t="shared" si="49"/>
        <v>144.68800406178775</v>
      </c>
      <c r="L192" s="78">
        <f t="shared" si="49"/>
        <v>141.47271508263691</v>
      </c>
      <c r="M192" s="78">
        <f t="shared" si="49"/>
        <v>138.25742610348607</v>
      </c>
      <c r="N192" s="45"/>
    </row>
    <row r="193" spans="1:14">
      <c r="A193" s="74">
        <v>8</v>
      </c>
      <c r="C193" s="74" t="s">
        <v>420</v>
      </c>
      <c r="E193" s="78">
        <f t="shared" si="49"/>
        <v>0</v>
      </c>
      <c r="F193" s="78">
        <f t="shared" si="49"/>
        <v>0</v>
      </c>
      <c r="G193" s="78">
        <f t="shared" si="49"/>
        <v>0</v>
      </c>
      <c r="H193" s="78">
        <f t="shared" si="49"/>
        <v>0</v>
      </c>
      <c r="I193" s="78">
        <f t="shared" si="49"/>
        <v>0</v>
      </c>
      <c r="J193" s="78">
        <f t="shared" si="49"/>
        <v>0</v>
      </c>
      <c r="K193" s="78">
        <f t="shared" si="49"/>
        <v>0</v>
      </c>
      <c r="L193" s="78">
        <f t="shared" si="49"/>
        <v>211.23628233683604</v>
      </c>
      <c r="M193" s="78">
        <f t="shared" si="49"/>
        <v>206.54214272935079</v>
      </c>
      <c r="N193" s="45"/>
    </row>
    <row r="194" spans="1:14">
      <c r="A194" s="74">
        <v>9</v>
      </c>
      <c r="C194" s="74" t="s">
        <v>421</v>
      </c>
      <c r="E194" s="78">
        <f t="shared" si="49"/>
        <v>0</v>
      </c>
      <c r="F194" s="78">
        <f t="shared" si="49"/>
        <v>0</v>
      </c>
      <c r="G194" s="78">
        <f t="shared" si="49"/>
        <v>0</v>
      </c>
      <c r="H194" s="78">
        <f t="shared" si="49"/>
        <v>0</v>
      </c>
      <c r="I194" s="78">
        <f t="shared" si="49"/>
        <v>0</v>
      </c>
      <c r="J194" s="78">
        <f t="shared" si="49"/>
        <v>0</v>
      </c>
      <c r="K194" s="78">
        <f t="shared" si="49"/>
        <v>0</v>
      </c>
      <c r="L194" s="78">
        <f t="shared" si="49"/>
        <v>0</v>
      </c>
      <c r="M194" s="78">
        <f t="shared" si="49"/>
        <v>0</v>
      </c>
      <c r="N194" s="45"/>
    </row>
    <row r="195" spans="1:14">
      <c r="C195" s="74" t="s">
        <v>47</v>
      </c>
      <c r="E195" s="78">
        <f>SUM(E159:E167)</f>
        <v>0</v>
      </c>
      <c r="F195" s="78">
        <f t="shared" ref="F195:M195" si="50">SUM(F159:F167)</f>
        <v>0</v>
      </c>
      <c r="G195" s="78">
        <f t="shared" si="50"/>
        <v>67</v>
      </c>
      <c r="H195" s="78">
        <f>SUM(H159:H167)</f>
        <v>198.41836913685557</v>
      </c>
      <c r="I195" s="78">
        <f t="shared" si="50"/>
        <v>496.47541557146394</v>
      </c>
      <c r="J195" s="78">
        <f t="shared" si="50"/>
        <v>3279.5688973323313</v>
      </c>
      <c r="K195" s="78">
        <f t="shared" si="50"/>
        <v>3415.4421307875709</v>
      </c>
      <c r="L195" s="78">
        <f t="shared" si="50"/>
        <v>3482.2235301114642</v>
      </c>
      <c r="M195" s="78">
        <f t="shared" si="50"/>
        <v>3612.3379187312544</v>
      </c>
      <c r="N195" s="45"/>
    </row>
    <row r="196" spans="1:14">
      <c r="C196" s="74" t="s">
        <v>43</v>
      </c>
      <c r="E196" s="78">
        <f>SUM(E177:E185)</f>
        <v>0</v>
      </c>
      <c r="F196" s="78">
        <f t="shared" ref="F196:M196" si="51">SUM(F177:F185)</f>
        <v>0</v>
      </c>
      <c r="G196" s="78">
        <f t="shared" si="51"/>
        <v>1.4888888888888889</v>
      </c>
      <c r="H196" s="78">
        <f t="shared" si="51"/>
        <v>4.44238351168321</v>
      </c>
      <c r="I196" s="78">
        <f t="shared" si="51"/>
        <v>11.164593066045246</v>
      </c>
      <c r="J196" s="78">
        <f t="shared" si="51"/>
        <v>73.259216951087751</v>
      </c>
      <c r="K196" s="78">
        <f t="shared" si="51"/>
        <v>77.906604737895037</v>
      </c>
      <c r="L196" s="78">
        <f t="shared" si="51"/>
        <v>81.121893717045879</v>
      </c>
      <c r="M196" s="78">
        <f t="shared" si="51"/>
        <v>85.816033324531119</v>
      </c>
      <c r="N196" s="45"/>
    </row>
    <row r="197" spans="1:14" s="40" customFormat="1">
      <c r="C197" s="40" t="s">
        <v>48</v>
      </c>
      <c r="E197" s="63">
        <f>SUM(E186:E194)</f>
        <v>0</v>
      </c>
      <c r="F197" s="63">
        <f t="shared" ref="F197:M197" si="52">SUM(F186:F194)</f>
        <v>67</v>
      </c>
      <c r="G197" s="63">
        <f t="shared" si="52"/>
        <v>198.41836913685557</v>
      </c>
      <c r="H197" s="63">
        <f t="shared" si="52"/>
        <v>496.47541557146394</v>
      </c>
      <c r="I197" s="63">
        <f t="shared" si="52"/>
        <v>3279.5688973323313</v>
      </c>
      <c r="J197" s="63">
        <f t="shared" si="52"/>
        <v>3415.4421307875709</v>
      </c>
      <c r="K197" s="63">
        <f t="shared" si="52"/>
        <v>3482.2235301114642</v>
      </c>
      <c r="L197" s="63">
        <f t="shared" si="52"/>
        <v>3612.3379187312544</v>
      </c>
      <c r="M197" s="63">
        <f t="shared" si="52"/>
        <v>3526.521885406723</v>
      </c>
      <c r="N197" s="70"/>
    </row>
    <row r="198" spans="1:14" s="40" customFormat="1">
      <c r="E198" s="63"/>
      <c r="F198" s="63"/>
      <c r="G198" s="63"/>
      <c r="H198" s="63"/>
      <c r="I198" s="63"/>
      <c r="J198" s="63"/>
      <c r="K198" s="63"/>
      <c r="L198" s="63"/>
      <c r="M198" s="63"/>
      <c r="N198" s="70"/>
    </row>
    <row r="199" spans="1:14" ht="15.75">
      <c r="C199" s="5" t="s">
        <v>199</v>
      </c>
      <c r="N199" s="45"/>
    </row>
    <row r="200" spans="1:14">
      <c r="C200" s="74" t="s">
        <v>45</v>
      </c>
      <c r="E200" s="63">
        <f>E97</f>
        <v>301325</v>
      </c>
      <c r="F200" s="182">
        <f>F26-E99</f>
        <v>295276.97211802378</v>
      </c>
      <c r="G200" s="78">
        <f t="shared" ref="G200:M200" si="53">F203</f>
        <v>288297.27943756222</v>
      </c>
      <c r="H200" s="78">
        <f t="shared" si="53"/>
        <v>281317.58675710065</v>
      </c>
      <c r="I200" s="78">
        <f t="shared" si="53"/>
        <v>274337.89407663909</v>
      </c>
      <c r="J200" s="78">
        <f t="shared" si="53"/>
        <v>267358.20139617752</v>
      </c>
      <c r="K200" s="78">
        <f t="shared" si="53"/>
        <v>260378.50871571596</v>
      </c>
      <c r="L200" s="78">
        <f t="shared" si="53"/>
        <v>253398.81603525439</v>
      </c>
      <c r="M200" s="78">
        <f t="shared" si="53"/>
        <v>246419.12335479283</v>
      </c>
      <c r="N200" s="45"/>
    </row>
    <row r="201" spans="1:14">
      <c r="C201" s="74" t="s">
        <v>23</v>
      </c>
      <c r="E201" s="78">
        <f t="shared" ref="E201:M201" si="54">E93</f>
        <v>0</v>
      </c>
      <c r="F201" s="78">
        <f t="shared" si="54"/>
        <v>0</v>
      </c>
      <c r="G201" s="78">
        <f t="shared" si="54"/>
        <v>0</v>
      </c>
      <c r="H201" s="78">
        <f t="shared" si="54"/>
        <v>0</v>
      </c>
      <c r="I201" s="78">
        <f t="shared" si="54"/>
        <v>0</v>
      </c>
      <c r="J201" s="78">
        <f t="shared" si="54"/>
        <v>0</v>
      </c>
      <c r="K201" s="78">
        <f t="shared" si="54"/>
        <v>0</v>
      </c>
      <c r="L201" s="78">
        <f t="shared" si="54"/>
        <v>0</v>
      </c>
      <c r="M201" s="78">
        <f t="shared" si="54"/>
        <v>0</v>
      </c>
      <c r="N201" s="45"/>
    </row>
    <row r="202" spans="1:14">
      <c r="C202" s="80" t="s">
        <v>44</v>
      </c>
      <c r="E202" s="78">
        <f t="shared" ref="E202:M202" si="55">E200/E$91</f>
        <v>6958.17873310504</v>
      </c>
      <c r="F202" s="78">
        <f t="shared" si="55"/>
        <v>6979.6926804615596</v>
      </c>
      <c r="G202" s="78">
        <f t="shared" si="55"/>
        <v>6979.6926804615596</v>
      </c>
      <c r="H202" s="78">
        <f t="shared" si="55"/>
        <v>6979.6926804615596</v>
      </c>
      <c r="I202" s="78">
        <f t="shared" si="55"/>
        <v>6979.6926804615596</v>
      </c>
      <c r="J202" s="78">
        <f t="shared" si="55"/>
        <v>6979.6926804615596</v>
      </c>
      <c r="K202" s="78">
        <f t="shared" si="55"/>
        <v>6979.6926804615587</v>
      </c>
      <c r="L202" s="78">
        <f t="shared" si="55"/>
        <v>6979.6926804615587</v>
      </c>
      <c r="M202" s="78">
        <f t="shared" si="55"/>
        <v>6979.6926804615587</v>
      </c>
      <c r="N202" s="45"/>
    </row>
    <row r="203" spans="1:14">
      <c r="C203" s="74" t="s">
        <v>42</v>
      </c>
      <c r="E203" s="78"/>
      <c r="F203" s="78">
        <f t="shared" ref="F203:M203" si="56">F200-F201-F202</f>
        <v>288297.27943756222</v>
      </c>
      <c r="G203" s="78">
        <f t="shared" si="56"/>
        <v>281317.58675710065</v>
      </c>
      <c r="H203" s="78">
        <f t="shared" si="56"/>
        <v>274337.89407663909</v>
      </c>
      <c r="I203" s="78">
        <f t="shared" si="56"/>
        <v>267358.20139617752</v>
      </c>
      <c r="J203" s="78">
        <f t="shared" si="56"/>
        <v>260378.50871571596</v>
      </c>
      <c r="K203" s="78">
        <f t="shared" si="56"/>
        <v>253398.81603525439</v>
      </c>
      <c r="L203" s="78">
        <f t="shared" si="56"/>
        <v>246419.12335479283</v>
      </c>
      <c r="M203" s="78">
        <f t="shared" si="56"/>
        <v>239439.43067433126</v>
      </c>
      <c r="N203" s="45"/>
    </row>
    <row r="204" spans="1:14">
      <c r="E204" s="78"/>
      <c r="F204" s="78"/>
      <c r="G204" s="78"/>
      <c r="H204" s="78"/>
      <c r="I204" s="78"/>
      <c r="J204" s="78"/>
      <c r="K204" s="78"/>
      <c r="L204" s="78"/>
      <c r="M204" s="78"/>
      <c r="N204" s="45"/>
    </row>
    <row r="205" spans="1:14" ht="15.75">
      <c r="C205" s="5" t="s">
        <v>46</v>
      </c>
      <c r="E205" s="109"/>
      <c r="F205" s="109"/>
      <c r="G205" s="109"/>
      <c r="H205" s="109"/>
      <c r="I205" s="109"/>
      <c r="J205" s="109"/>
      <c r="K205" s="109"/>
      <c r="L205" s="109"/>
      <c r="M205" s="109"/>
      <c r="N205" s="45"/>
    </row>
    <row r="206" spans="1:14">
      <c r="C206" s="74" t="s">
        <v>111</v>
      </c>
      <c r="E206" s="63">
        <f>E97</f>
        <v>301325</v>
      </c>
      <c r="F206" s="181">
        <f>F97</f>
        <v>301255</v>
      </c>
      <c r="G206" s="78">
        <f t="shared" ref="G206:M206" si="57">G97+G151</f>
        <v>299759.5124406332</v>
      </c>
      <c r="H206" s="78">
        <f t="shared" si="57"/>
        <v>298324.57830073586</v>
      </c>
      <c r="I206" s="78">
        <f t="shared" si="57"/>
        <v>296277.20828857907</v>
      </c>
      <c r="J206" s="78">
        <f t="shared" si="57"/>
        <v>297948.00366473972</v>
      </c>
      <c r="K206" s="78">
        <f t="shared" si="57"/>
        <v>296982.74771640846</v>
      </c>
      <c r="L206" s="78">
        <f t="shared" si="57"/>
        <v>295432.47377106617</v>
      </c>
      <c r="M206" s="78">
        <f t="shared" si="57"/>
        <v>293424.49085968488</v>
      </c>
      <c r="N206" s="45"/>
    </row>
    <row r="207" spans="1:14">
      <c r="C207" s="74" t="s">
        <v>110</v>
      </c>
      <c r="E207" s="78">
        <f t="shared" ref="E207:M209" si="58">E99+E152</f>
        <v>5978.0278819761998</v>
      </c>
      <c r="F207" s="78">
        <f t="shared" si="58"/>
        <v>5558.5124406332234</v>
      </c>
      <c r="G207" s="78">
        <f t="shared" si="58"/>
        <v>5689.2193768741226</v>
      </c>
      <c r="H207" s="78">
        <f t="shared" si="58"/>
        <v>5051.2958205709783</v>
      </c>
      <c r="I207" s="78">
        <f t="shared" si="58"/>
        <v>6412.9310306589541</v>
      </c>
      <c r="J207" s="78">
        <f t="shared" si="58"/>
        <v>6591.4832644607977</v>
      </c>
      <c r="K207" s="78">
        <f t="shared" si="58"/>
        <v>6251.9595972399466</v>
      </c>
      <c r="L207" s="78">
        <f t="shared" si="58"/>
        <v>5902.8136662399183</v>
      </c>
      <c r="M207" s="78">
        <f t="shared" si="58"/>
        <v>5862.6981518161283</v>
      </c>
      <c r="N207" s="45"/>
    </row>
    <row r="208" spans="1:14">
      <c r="C208" s="74" t="s">
        <v>109</v>
      </c>
      <c r="E208" s="78"/>
      <c r="F208" s="78">
        <f t="shared" si="58"/>
        <v>7120.9999999999991</v>
      </c>
      <c r="G208" s="78">
        <f t="shared" si="58"/>
        <v>7257.060774797179</v>
      </c>
      <c r="H208" s="78">
        <f t="shared" si="58"/>
        <v>7401.1652626741052</v>
      </c>
      <c r="I208" s="78">
        <f t="shared" si="58"/>
        <v>7536.3937293252202</v>
      </c>
      <c r="J208" s="78">
        <f t="shared" si="58"/>
        <v>7765.8716631983452</v>
      </c>
      <c r="K208" s="78">
        <f t="shared" si="58"/>
        <v>7946.9215466440719</v>
      </c>
      <c r="L208" s="78">
        <f t="shared" si="58"/>
        <v>8122.0328599580389</v>
      </c>
      <c r="M208" s="78">
        <f t="shared" si="58"/>
        <v>8293.595841499784</v>
      </c>
      <c r="N208" s="45"/>
    </row>
    <row r="209" spans="3:15">
      <c r="C209" s="74" t="s">
        <v>112</v>
      </c>
      <c r="E209" s="78"/>
      <c r="F209" s="78">
        <f t="shared" si="58"/>
        <v>299759.5124406332</v>
      </c>
      <c r="G209" s="78">
        <f t="shared" si="58"/>
        <v>298324.57830073586</v>
      </c>
      <c r="H209" s="78">
        <f t="shared" si="58"/>
        <v>296277.20828857907</v>
      </c>
      <c r="I209" s="78">
        <f t="shared" si="58"/>
        <v>297948.00366473972</v>
      </c>
      <c r="J209" s="29">
        <f t="shared" si="58"/>
        <v>296982.74771640846</v>
      </c>
      <c r="K209" s="29">
        <f t="shared" si="58"/>
        <v>295432.47377106617</v>
      </c>
      <c r="L209" s="29">
        <f t="shared" si="58"/>
        <v>293424.49085968488</v>
      </c>
      <c r="M209" s="29">
        <f t="shared" si="58"/>
        <v>290993.59317000123</v>
      </c>
      <c r="N209" s="45"/>
    </row>
    <row r="210" spans="3:15">
      <c r="C210" s="74" t="s">
        <v>28</v>
      </c>
      <c r="E210" s="78">
        <f t="shared" ref="E210:M210" si="59">E196+E202</f>
        <v>6958.17873310504</v>
      </c>
      <c r="F210" s="78">
        <f t="shared" si="59"/>
        <v>6979.6926804615596</v>
      </c>
      <c r="G210" s="78">
        <f t="shared" si="59"/>
        <v>6981.1815693504486</v>
      </c>
      <c r="H210" s="78">
        <f t="shared" si="59"/>
        <v>6984.1350639732427</v>
      </c>
      <c r="I210" s="78">
        <f t="shared" si="59"/>
        <v>6990.8572735276048</v>
      </c>
      <c r="J210" s="78">
        <f t="shared" si="59"/>
        <v>7052.9518974126477</v>
      </c>
      <c r="K210" s="78">
        <f t="shared" si="59"/>
        <v>7057.5992851994533</v>
      </c>
      <c r="L210" s="78">
        <f t="shared" si="59"/>
        <v>7060.8145741786047</v>
      </c>
      <c r="M210" s="78">
        <f t="shared" si="59"/>
        <v>7065.5087137860901</v>
      </c>
      <c r="N210" s="45"/>
    </row>
    <row r="211" spans="3:15">
      <c r="C211" s="74" t="s">
        <v>134</v>
      </c>
      <c r="E211" s="82"/>
      <c r="F211" s="82">
        <f>F206+F158+F207-F208-F93-F209</f>
        <v>0</v>
      </c>
      <c r="G211" s="82">
        <f>G206+G158+G207-G208-G93-G209</f>
        <v>0</v>
      </c>
      <c r="H211" s="82">
        <f>H206+H158+H207-H208-H93-H209</f>
        <v>0</v>
      </c>
      <c r="I211" s="82">
        <f>I206+I158+I207-I208-I93-I209</f>
        <v>0</v>
      </c>
      <c r="J211" s="82">
        <f>J206+J158+J207-J208-J93-J209</f>
        <v>0</v>
      </c>
      <c r="K211" s="82">
        <f t="shared" ref="K211:M211" si="60">K206+K158+K207-K208-K93-K209</f>
        <v>0</v>
      </c>
      <c r="L211" s="82">
        <f t="shared" si="60"/>
        <v>0</v>
      </c>
      <c r="M211" s="82">
        <f t="shared" si="60"/>
        <v>0</v>
      </c>
      <c r="N211" s="45"/>
    </row>
    <row r="212" spans="3:15">
      <c r="F212" s="78"/>
      <c r="G212" s="78"/>
      <c r="N212" s="45"/>
    </row>
    <row r="213" spans="3:15" ht="15.75">
      <c r="C213" s="5" t="s">
        <v>56</v>
      </c>
      <c r="N213" s="45"/>
    </row>
    <row r="214" spans="3:15" ht="15.75">
      <c r="C214" s="16" t="s">
        <v>115</v>
      </c>
      <c r="E214" s="63"/>
      <c r="F214" s="116">
        <f>F206/$F$206</f>
        <v>1</v>
      </c>
      <c r="G214" s="116">
        <f t="shared" ref="G214:M214" si="61">G206/$F$206</f>
        <v>0.99503580833723326</v>
      </c>
      <c r="H214" s="116">
        <f t="shared" si="61"/>
        <v>0.99027262053986109</v>
      </c>
      <c r="I214" s="116">
        <f t="shared" si="61"/>
        <v>0.98347648433579216</v>
      </c>
      <c r="J214" s="116">
        <f t="shared" si="61"/>
        <v>0.98902260100160899</v>
      </c>
      <c r="K214" s="116">
        <f t="shared" si="61"/>
        <v>0.98581848505886527</v>
      </c>
      <c r="L214" s="116">
        <f t="shared" si="61"/>
        <v>0.98067243289261974</v>
      </c>
      <c r="M214" s="116">
        <f t="shared" si="61"/>
        <v>0.97400704008127625</v>
      </c>
      <c r="N214" s="45"/>
    </row>
    <row r="215" spans="3:15">
      <c r="C215" s="74" t="s">
        <v>56</v>
      </c>
      <c r="F215" s="181">
        <f>IF(F40&gt;0,F40,0)</f>
        <v>0</v>
      </c>
      <c r="G215" s="78">
        <f t="shared" ref="G215:M215" si="62">$F215*G214</f>
        <v>0</v>
      </c>
      <c r="H215" s="78">
        <f t="shared" si="62"/>
        <v>0</v>
      </c>
      <c r="I215" s="78">
        <f t="shared" si="62"/>
        <v>0</v>
      </c>
      <c r="J215" s="78">
        <f t="shared" si="62"/>
        <v>0</v>
      </c>
      <c r="K215" s="78">
        <f t="shared" si="62"/>
        <v>0</v>
      </c>
      <c r="L215" s="78">
        <f t="shared" si="62"/>
        <v>0</v>
      </c>
      <c r="M215" s="78">
        <f t="shared" si="62"/>
        <v>0</v>
      </c>
      <c r="N215" s="45"/>
    </row>
    <row r="216" spans="3:15">
      <c r="N216" s="45"/>
    </row>
    <row r="217" spans="3:15" ht="15.75">
      <c r="C217" s="5" t="s">
        <v>29</v>
      </c>
      <c r="N217" s="45"/>
    </row>
    <row r="218" spans="3:15">
      <c r="C218" s="74" t="s">
        <v>166</v>
      </c>
      <c r="D218" s="35">
        <f>F30/F31</f>
        <v>8.4186535764375875E-2</v>
      </c>
      <c r="N218" s="45"/>
    </row>
    <row r="219" spans="3:15">
      <c r="C219" s="74" t="s">
        <v>122</v>
      </c>
      <c r="D219" s="78"/>
      <c r="E219" s="88">
        <f>E35</f>
        <v>61857</v>
      </c>
      <c r="F219" s="179">
        <f>F31</f>
        <v>57040</v>
      </c>
      <c r="G219" s="78">
        <f t="shared" ref="G219:M219" si="63">F223</f>
        <v>52305</v>
      </c>
      <c r="H219" s="78">
        <f t="shared" si="63"/>
        <v>48034.530504870061</v>
      </c>
      <c r="I219" s="78">
        <f t="shared" si="63"/>
        <v>44293.169214543108</v>
      </c>
      <c r="J219" s="78">
        <f t="shared" si="63"/>
        <v>43358.538815172331</v>
      </c>
      <c r="K219" s="78">
        <f t="shared" si="63"/>
        <v>39917.466086924076</v>
      </c>
      <c r="L219" s="78">
        <f t="shared" si="63"/>
        <v>36701.640904635773</v>
      </c>
      <c r="M219" s="78">
        <f t="shared" si="63"/>
        <v>33823.093182343211</v>
      </c>
      <c r="N219" s="45"/>
    </row>
    <row r="220" spans="3:15">
      <c r="C220" s="74" t="s">
        <v>17</v>
      </c>
      <c r="E220" s="181">
        <f>E36</f>
        <v>4847</v>
      </c>
      <c r="F220" s="78">
        <f t="shared" ref="F220:M220" si="64">F219*$D218</f>
        <v>4802</v>
      </c>
      <c r="G220" s="78">
        <f t="shared" si="64"/>
        <v>4403.3767531556805</v>
      </c>
      <c r="H220" s="78">
        <f t="shared" si="64"/>
        <v>4043.8607202732474</v>
      </c>
      <c r="I220" s="78">
        <f t="shared" si="64"/>
        <v>3728.8884741976858</v>
      </c>
      <c r="J220" s="78">
        <f t="shared" si="64"/>
        <v>3650.2051786545849</v>
      </c>
      <c r="K220" s="78">
        <f t="shared" si="64"/>
        <v>3360.5131863500947</v>
      </c>
      <c r="L220" s="78">
        <f t="shared" si="64"/>
        <v>3089.7840046294</v>
      </c>
      <c r="M220" s="78">
        <f t="shared" si="64"/>
        <v>2847.4490438571547</v>
      </c>
      <c r="N220" s="45"/>
    </row>
    <row r="221" spans="3:15">
      <c r="C221" s="74" t="s">
        <v>65</v>
      </c>
      <c r="E221" s="97"/>
      <c r="F221" s="78">
        <f t="shared" ref="F221:M221" si="65">F48</f>
        <v>67</v>
      </c>
      <c r="G221" s="78">
        <f t="shared" si="65"/>
        <v>132.90725802574445</v>
      </c>
      <c r="H221" s="78">
        <f t="shared" si="65"/>
        <v>302.49942994629163</v>
      </c>
      <c r="I221" s="78">
        <f t="shared" si="65"/>
        <v>2794.2580748269124</v>
      </c>
      <c r="J221" s="78">
        <f t="shared" si="65"/>
        <v>209.13245040632776</v>
      </c>
      <c r="K221" s="78">
        <f t="shared" si="65"/>
        <v>144.68800406178775</v>
      </c>
      <c r="L221" s="78">
        <f t="shared" si="65"/>
        <v>211.23628233683604</v>
      </c>
      <c r="M221" s="78">
        <f t="shared" si="65"/>
        <v>0</v>
      </c>
      <c r="N221" s="45"/>
      <c r="O221" s="15"/>
    </row>
    <row r="222" spans="3:15">
      <c r="C222" s="74" t="s">
        <v>23</v>
      </c>
      <c r="E222" s="97"/>
      <c r="F222" s="78">
        <f t="shared" ref="F222:M222" si="66">F93</f>
        <v>0</v>
      </c>
      <c r="G222" s="78">
        <f t="shared" si="66"/>
        <v>0</v>
      </c>
      <c r="H222" s="78">
        <f t="shared" si="66"/>
        <v>0</v>
      </c>
      <c r="I222" s="78">
        <f t="shared" si="66"/>
        <v>0</v>
      </c>
      <c r="J222" s="78">
        <f t="shared" si="66"/>
        <v>0</v>
      </c>
      <c r="K222" s="78">
        <f t="shared" si="66"/>
        <v>0</v>
      </c>
      <c r="L222" s="78">
        <f t="shared" si="66"/>
        <v>0</v>
      </c>
      <c r="M222" s="78">
        <f t="shared" si="66"/>
        <v>0</v>
      </c>
      <c r="N222" s="45"/>
      <c r="O222" s="15"/>
    </row>
    <row r="223" spans="3:15">
      <c r="C223" s="74" t="s">
        <v>87</v>
      </c>
      <c r="E223" s="97"/>
      <c r="F223" s="78">
        <f t="shared" ref="F223:M223" si="67">F219-F220+F221-F222</f>
        <v>52305</v>
      </c>
      <c r="G223" s="78">
        <f t="shared" si="67"/>
        <v>48034.530504870061</v>
      </c>
      <c r="H223" s="78">
        <f t="shared" si="67"/>
        <v>44293.169214543108</v>
      </c>
      <c r="I223" s="78">
        <f t="shared" si="67"/>
        <v>43358.538815172331</v>
      </c>
      <c r="J223" s="78">
        <f t="shared" si="67"/>
        <v>39917.466086924076</v>
      </c>
      <c r="K223" s="78">
        <f t="shared" si="67"/>
        <v>36701.640904635773</v>
      </c>
      <c r="L223" s="78">
        <f t="shared" si="67"/>
        <v>33823.093182343211</v>
      </c>
      <c r="M223" s="78">
        <f t="shared" si="67"/>
        <v>30975.644138486055</v>
      </c>
      <c r="N223" s="45"/>
      <c r="O223" s="15"/>
    </row>
    <row r="224" spans="3:15">
      <c r="E224" s="97"/>
      <c r="F224" s="78"/>
      <c r="G224" s="78"/>
      <c r="H224" s="78"/>
      <c r="I224" s="78"/>
      <c r="J224" s="78"/>
      <c r="K224" s="78"/>
      <c r="L224" s="78"/>
      <c r="M224" s="78"/>
      <c r="N224" s="45"/>
      <c r="O224" s="15"/>
    </row>
    <row r="225" spans="1:15" ht="21">
      <c r="C225" s="3" t="s">
        <v>226</v>
      </c>
      <c r="D225" s="3"/>
      <c r="E225" s="3"/>
      <c r="F225" s="3"/>
      <c r="G225" s="3"/>
      <c r="N225" s="45"/>
      <c r="O225" s="15"/>
    </row>
    <row r="226" spans="1:15" ht="15.75">
      <c r="C226" s="5" t="s">
        <v>88</v>
      </c>
      <c r="N226" s="45"/>
      <c r="O226" s="15"/>
    </row>
    <row r="227" spans="1:15">
      <c r="A227" s="80"/>
      <c r="B227" s="80"/>
      <c r="C227" s="74" t="s">
        <v>238</v>
      </c>
      <c r="E227" s="78">
        <f t="shared" ref="E227:M227" si="68">E210-E220</f>
        <v>2111.17873310504</v>
      </c>
      <c r="F227" s="78">
        <f t="shared" si="68"/>
        <v>2177.6926804615596</v>
      </c>
      <c r="G227" s="78">
        <f t="shared" si="68"/>
        <v>2577.8048161947681</v>
      </c>
      <c r="H227" s="78">
        <f t="shared" si="68"/>
        <v>2940.2743436999954</v>
      </c>
      <c r="I227" s="78">
        <f t="shared" si="68"/>
        <v>3261.968799329919</v>
      </c>
      <c r="J227" s="78">
        <f t="shared" si="68"/>
        <v>3402.7467187580628</v>
      </c>
      <c r="K227" s="78">
        <f t="shared" si="68"/>
        <v>3697.0860988493587</v>
      </c>
      <c r="L227" s="78">
        <f t="shared" si="68"/>
        <v>3971.0305695492048</v>
      </c>
      <c r="M227" s="78">
        <f t="shared" si="68"/>
        <v>4218.0596699289354</v>
      </c>
      <c r="N227" s="45"/>
      <c r="O227" s="15"/>
    </row>
    <row r="228" spans="1:15">
      <c r="A228" s="80"/>
      <c r="B228" s="80"/>
      <c r="C228" s="74" t="s">
        <v>239</v>
      </c>
      <c r="E228" s="97"/>
      <c r="F228" s="97"/>
      <c r="G228" s="78">
        <f t="shared" ref="G228:M228" si="69">G208-G220</f>
        <v>2853.6840216414985</v>
      </c>
      <c r="H228" s="78">
        <f t="shared" si="69"/>
        <v>3357.3045424008578</v>
      </c>
      <c r="I228" s="78">
        <f t="shared" si="69"/>
        <v>3807.5052551275344</v>
      </c>
      <c r="J228" s="78">
        <f t="shared" si="69"/>
        <v>4115.6664845437608</v>
      </c>
      <c r="K228" s="78">
        <f t="shared" si="69"/>
        <v>4586.4083602939772</v>
      </c>
      <c r="L228" s="78">
        <f t="shared" si="69"/>
        <v>5032.2488553286385</v>
      </c>
      <c r="M228" s="78">
        <f t="shared" si="69"/>
        <v>5446.1467976426293</v>
      </c>
      <c r="N228" s="45"/>
      <c r="O228" s="15"/>
    </row>
    <row r="229" spans="1:15">
      <c r="N229" s="45"/>
      <c r="O229" s="15"/>
    </row>
    <row r="230" spans="1:15" ht="15.75">
      <c r="A230" s="110"/>
      <c r="C230" s="5" t="s">
        <v>216</v>
      </c>
      <c r="N230" s="45"/>
      <c r="O230" s="15"/>
    </row>
    <row r="231" spans="1:15">
      <c r="A231" s="110"/>
      <c r="C231" s="74" t="s">
        <v>216</v>
      </c>
      <c r="E231" s="114"/>
      <c r="F231" s="22"/>
      <c r="G231" s="22"/>
      <c r="H231" s="22"/>
      <c r="I231" s="22"/>
      <c r="J231" s="22"/>
      <c r="K231" s="22"/>
      <c r="L231" s="22"/>
      <c r="M231" s="22"/>
      <c r="N231" s="45"/>
      <c r="O231" s="15"/>
    </row>
    <row r="232" spans="1:15">
      <c r="A232" s="110"/>
      <c r="C232" s="74" t="s">
        <v>216</v>
      </c>
      <c r="E232" s="78"/>
      <c r="F232" s="78"/>
      <c r="G232" s="78"/>
      <c r="H232" s="78"/>
      <c r="I232" s="78"/>
      <c r="J232" s="78"/>
      <c r="K232" s="78"/>
      <c r="L232" s="78"/>
      <c r="M232" s="78"/>
      <c r="N232" s="45"/>
      <c r="O232" s="15"/>
    </row>
    <row r="233" spans="1:15">
      <c r="A233" s="110"/>
      <c r="C233" s="74" t="s">
        <v>216</v>
      </c>
      <c r="E233" s="88"/>
      <c r="F233" s="78"/>
      <c r="G233" s="78"/>
      <c r="H233" s="78"/>
      <c r="I233" s="78"/>
      <c r="J233" s="78"/>
      <c r="K233" s="78"/>
      <c r="L233" s="78"/>
      <c r="M233" s="78"/>
      <c r="N233" s="45"/>
      <c r="O233" s="15"/>
    </row>
    <row r="234" spans="1:15">
      <c r="A234" s="110"/>
      <c r="C234" s="74" t="s">
        <v>216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45"/>
      <c r="O234" s="15"/>
    </row>
    <row r="235" spans="1:15">
      <c r="E235" s="22"/>
      <c r="F235" s="22"/>
      <c r="G235" s="22"/>
      <c r="H235" s="22"/>
      <c r="I235" s="22"/>
      <c r="J235" s="22"/>
      <c r="K235" s="22"/>
      <c r="L235" s="22"/>
      <c r="M235" s="22"/>
      <c r="N235" s="45"/>
      <c r="O235" s="15"/>
    </row>
    <row r="236" spans="1:15" ht="21">
      <c r="C236" s="3" t="s">
        <v>225</v>
      </c>
      <c r="D236" s="3"/>
      <c r="E236" s="3"/>
      <c r="F236" s="3"/>
      <c r="G236" s="3"/>
      <c r="H236" s="22"/>
      <c r="I236" s="22"/>
      <c r="J236" s="22"/>
      <c r="K236" s="22"/>
      <c r="L236" s="22"/>
      <c r="M236" s="22"/>
      <c r="N236" s="45"/>
      <c r="O236" s="15"/>
    </row>
    <row r="237" spans="1:15" ht="15.75">
      <c r="C237" s="5" t="s">
        <v>31</v>
      </c>
      <c r="E237" s="97"/>
      <c r="F237" s="97"/>
      <c r="G237" s="97"/>
      <c r="N237" s="45"/>
      <c r="O237" s="15"/>
    </row>
    <row r="238" spans="1:15">
      <c r="C238" s="80" t="s">
        <v>32</v>
      </c>
      <c r="D238" s="80"/>
      <c r="E238" s="207"/>
      <c r="F238" s="97"/>
      <c r="G238" s="97"/>
      <c r="H238" s="22">
        <f t="shared" ref="H238:M238" si="70">(H260*Leverage*Debt+H215)/SQRT(1+Debt)</f>
        <v>6855.7041707667631</v>
      </c>
      <c r="I238" s="22">
        <f t="shared" si="70"/>
        <v>6832.0981819385788</v>
      </c>
      <c r="J238" s="22">
        <f t="shared" si="70"/>
        <v>6870.6264174305916</v>
      </c>
      <c r="K238" s="22">
        <f t="shared" si="70"/>
        <v>6848.367791977108</v>
      </c>
      <c r="L238" s="22">
        <f t="shared" si="70"/>
        <v>6812.6187586152046</v>
      </c>
      <c r="M238" s="22">
        <f t="shared" si="70"/>
        <v>6766.3150402918918</v>
      </c>
      <c r="N238" s="45"/>
      <c r="O238" s="15"/>
    </row>
    <row r="239" spans="1:15">
      <c r="C239" s="74" t="s">
        <v>216</v>
      </c>
      <c r="E239" s="97"/>
      <c r="F239" s="97"/>
      <c r="G239" s="97"/>
      <c r="H239" s="22"/>
      <c r="I239" s="22"/>
      <c r="J239" s="22"/>
      <c r="K239" s="22"/>
      <c r="L239" s="22"/>
      <c r="M239" s="22"/>
      <c r="N239" s="45"/>
      <c r="O239" s="15"/>
    </row>
    <row r="240" spans="1:15">
      <c r="A240" s="110"/>
      <c r="C240" s="74" t="s">
        <v>216</v>
      </c>
      <c r="E240" s="97"/>
      <c r="F240" s="97"/>
      <c r="G240" s="97"/>
      <c r="H240" s="22"/>
      <c r="I240" s="22"/>
      <c r="J240" s="22"/>
      <c r="K240" s="22"/>
      <c r="L240" s="22"/>
      <c r="M240" s="22"/>
      <c r="N240" s="45"/>
      <c r="O240" s="15"/>
    </row>
    <row r="241" spans="1:15">
      <c r="E241" s="97"/>
      <c r="F241" s="97"/>
      <c r="G241" s="97"/>
      <c r="H241" s="78"/>
      <c r="I241" s="78"/>
      <c r="J241" s="78"/>
      <c r="K241" s="78"/>
      <c r="L241" s="78"/>
      <c r="M241" s="78"/>
      <c r="N241" s="45"/>
      <c r="O241" s="15"/>
    </row>
    <row r="242" spans="1:15" ht="15.75">
      <c r="C242" s="5" t="s">
        <v>73</v>
      </c>
      <c r="E242" s="97"/>
      <c r="F242" s="97"/>
      <c r="G242" s="97"/>
      <c r="H242" s="78"/>
      <c r="I242" s="78"/>
      <c r="J242" s="78"/>
      <c r="K242" s="78"/>
      <c r="L242" s="78"/>
      <c r="M242" s="78"/>
      <c r="N242" s="45"/>
      <c r="O242" s="15"/>
    </row>
    <row r="243" spans="1:15">
      <c r="C243" s="74" t="s">
        <v>109</v>
      </c>
      <c r="E243" s="97"/>
      <c r="F243" s="97"/>
      <c r="G243" s="97"/>
      <c r="H243" s="78">
        <f t="shared" ref="H243:M243" si="71">H208</f>
        <v>7401.1652626741052</v>
      </c>
      <c r="I243" s="78">
        <f t="shared" si="71"/>
        <v>7536.3937293252202</v>
      </c>
      <c r="J243" s="78">
        <f t="shared" si="71"/>
        <v>7765.8716631983452</v>
      </c>
      <c r="K243" s="78">
        <f t="shared" si="71"/>
        <v>7946.9215466440719</v>
      </c>
      <c r="L243" s="78">
        <f t="shared" si="71"/>
        <v>8122.0328599580389</v>
      </c>
      <c r="M243" s="78">
        <f t="shared" si="71"/>
        <v>8293.595841499784</v>
      </c>
      <c r="N243" s="45"/>
      <c r="O243" s="15"/>
    </row>
    <row r="244" spans="1:15">
      <c r="C244" s="74" t="s">
        <v>116</v>
      </c>
      <c r="E244" s="97"/>
      <c r="F244" s="97"/>
      <c r="G244" s="97"/>
      <c r="H244" s="78">
        <f t="shared" ref="H244:M244" si="72">H93</f>
        <v>0</v>
      </c>
      <c r="I244" s="78">
        <f t="shared" si="72"/>
        <v>0</v>
      </c>
      <c r="J244" s="78">
        <f t="shared" si="72"/>
        <v>0</v>
      </c>
      <c r="K244" s="78">
        <f t="shared" si="72"/>
        <v>0</v>
      </c>
      <c r="L244" s="78">
        <f t="shared" si="72"/>
        <v>0</v>
      </c>
      <c r="M244" s="78">
        <f t="shared" si="72"/>
        <v>0</v>
      </c>
      <c r="N244" s="45"/>
      <c r="O244" s="15"/>
    </row>
    <row r="245" spans="1:15" ht="15.75" thickBot="1">
      <c r="C245" s="74" t="s">
        <v>73</v>
      </c>
      <c r="E245" s="97"/>
      <c r="F245" s="97"/>
      <c r="G245" s="97"/>
      <c r="H245" s="48">
        <f t="shared" ref="H245:M245" si="73">H243+H244</f>
        <v>7401.1652626741052</v>
      </c>
      <c r="I245" s="48">
        <f t="shared" si="73"/>
        <v>7536.3937293252202</v>
      </c>
      <c r="J245" s="48">
        <f t="shared" si="73"/>
        <v>7765.8716631983452</v>
      </c>
      <c r="K245" s="48">
        <f t="shared" si="73"/>
        <v>7946.9215466440719</v>
      </c>
      <c r="L245" s="48">
        <f t="shared" si="73"/>
        <v>8122.0328599580389</v>
      </c>
      <c r="M245" s="48">
        <f t="shared" si="73"/>
        <v>8293.595841499784</v>
      </c>
      <c r="N245" s="45"/>
      <c r="O245" s="15"/>
    </row>
    <row r="246" spans="1:15" ht="15.75" thickTop="1">
      <c r="E246" s="97"/>
      <c r="F246" s="97"/>
      <c r="G246" s="97"/>
      <c r="H246" s="49"/>
      <c r="I246" s="49"/>
      <c r="J246" s="49"/>
      <c r="K246" s="49"/>
      <c r="L246" s="49"/>
      <c r="M246" s="49"/>
      <c r="N246" s="45"/>
      <c r="O246" s="15"/>
    </row>
    <row r="247" spans="1:15" ht="15.75">
      <c r="C247" s="79" t="s">
        <v>85</v>
      </c>
      <c r="E247" s="97"/>
      <c r="F247" s="97"/>
      <c r="G247" s="97"/>
      <c r="H247" s="49"/>
      <c r="I247" s="49"/>
      <c r="J247" s="49"/>
      <c r="K247" s="49"/>
      <c r="L247" s="49"/>
      <c r="M247" s="49"/>
      <c r="N247" s="45"/>
      <c r="O247" s="15"/>
    </row>
    <row r="248" spans="1:15">
      <c r="C248" s="74" t="s">
        <v>85</v>
      </c>
      <c r="E248" s="97"/>
      <c r="F248" s="97"/>
      <c r="G248" s="97"/>
      <c r="H248" s="78">
        <f t="shared" ref="H248:M248" si="74">H86</f>
        <v>0</v>
      </c>
      <c r="I248" s="78">
        <f t="shared" si="74"/>
        <v>0</v>
      </c>
      <c r="J248" s="78">
        <f t="shared" si="74"/>
        <v>0</v>
      </c>
      <c r="K248" s="78">
        <f t="shared" si="74"/>
        <v>0</v>
      </c>
      <c r="L248" s="78">
        <f t="shared" si="74"/>
        <v>0</v>
      </c>
      <c r="M248" s="78">
        <f t="shared" si="74"/>
        <v>0</v>
      </c>
      <c r="N248" s="45"/>
      <c r="O248" s="15"/>
    </row>
    <row r="249" spans="1:15">
      <c r="E249" s="97"/>
      <c r="F249" s="97"/>
      <c r="G249" s="97"/>
      <c r="H249" s="49"/>
      <c r="I249" s="49"/>
      <c r="J249" s="49"/>
      <c r="K249" s="49"/>
      <c r="L249" s="49"/>
      <c r="M249" s="49"/>
      <c r="N249" s="45"/>
      <c r="O249" s="15"/>
    </row>
    <row r="250" spans="1:15" ht="15.75">
      <c r="C250" s="5" t="s">
        <v>135</v>
      </c>
      <c r="E250" s="97"/>
      <c r="F250" s="97"/>
      <c r="G250" s="97"/>
      <c r="H250" s="78">
        <f t="shared" ref="H250:M250" si="75">H47</f>
        <v>12340.704746973583</v>
      </c>
      <c r="I250" s="78">
        <f t="shared" si="75"/>
        <v>12653.769862568573</v>
      </c>
      <c r="J250" s="78">
        <f t="shared" si="75"/>
        <v>13001.85971325796</v>
      </c>
      <c r="K250" s="78">
        <f t="shared" si="75"/>
        <v>13350.017491214847</v>
      </c>
      <c r="L250" s="78">
        <f t="shared" si="75"/>
        <v>13682.742725687782</v>
      </c>
      <c r="M250" s="78">
        <f t="shared" si="75"/>
        <v>0</v>
      </c>
      <c r="N250" s="45"/>
      <c r="O250" s="15"/>
    </row>
    <row r="251" spans="1:15">
      <c r="C251" s="74" t="s">
        <v>136</v>
      </c>
      <c r="E251" s="97"/>
      <c r="F251" s="97"/>
      <c r="G251" s="97"/>
      <c r="H251" s="78">
        <f>H250*H67</f>
        <v>12565.955040379687</v>
      </c>
      <c r="I251" s="78">
        <f>I250*I67</f>
        <v>13114.756703414687</v>
      </c>
      <c r="J251" s="78">
        <f>J250*J67</f>
        <v>13475.527742583292</v>
      </c>
      <c r="K251" s="78">
        <f>K250*K67</f>
        <v>13836.369183663461</v>
      </c>
      <c r="L251" s="181">
        <f>L250*L67</f>
        <v>14053.538828899262</v>
      </c>
      <c r="M251" s="78">
        <f>M250*IF(ISNUMBER(M67),M67,0)</f>
        <v>0</v>
      </c>
      <c r="N251" s="45"/>
      <c r="O251" s="15"/>
    </row>
    <row r="252" spans="1:15">
      <c r="E252" s="97"/>
      <c r="F252" s="97"/>
      <c r="G252" s="97"/>
      <c r="H252" s="78"/>
      <c r="I252" s="78"/>
      <c r="J252" s="78"/>
      <c r="K252" s="78"/>
      <c r="L252" s="78"/>
      <c r="M252" s="78"/>
      <c r="N252" s="45"/>
      <c r="O252" s="15"/>
    </row>
    <row r="253" spans="1:15" ht="15.75">
      <c r="A253" s="110"/>
      <c r="C253" s="5" t="s">
        <v>130</v>
      </c>
      <c r="E253" s="97"/>
      <c r="F253" s="97"/>
      <c r="G253" s="97"/>
      <c r="O253" s="15"/>
    </row>
    <row r="254" spans="1:15" ht="46.5" customHeight="1">
      <c r="A254" s="110"/>
      <c r="C254" s="125" t="s">
        <v>234</v>
      </c>
      <c r="E254" s="97"/>
      <c r="F254" s="97"/>
      <c r="G254" s="126"/>
      <c r="H254" s="127" t="str">
        <f t="shared" ref="H254:M254" si="76">H13</f>
        <v>01/07/13 to 31/12/13</v>
      </c>
      <c r="I254" s="127" t="str">
        <f t="shared" si="76"/>
        <v>01/01/14 to 31/12/14</v>
      </c>
      <c r="J254" s="127" t="str">
        <f t="shared" si="76"/>
        <v>01/01/15 to 31/12/15</v>
      </c>
      <c r="K254" s="127" t="str">
        <f t="shared" si="76"/>
        <v>01/01/16 to 31/12/16</v>
      </c>
      <c r="L254" s="127" t="str">
        <f t="shared" si="76"/>
        <v>01/01/17 to 30/09/17</v>
      </c>
      <c r="M254" s="127" t="str">
        <f t="shared" si="76"/>
        <v/>
      </c>
      <c r="O254" s="15"/>
    </row>
    <row r="255" spans="1:15">
      <c r="A255" s="110"/>
      <c r="C255" s="133" t="s">
        <v>251</v>
      </c>
      <c r="E255" s="97"/>
      <c r="F255" s="97"/>
      <c r="G255" s="126"/>
      <c r="H255" s="118"/>
      <c r="I255" s="118"/>
      <c r="J255" s="118"/>
      <c r="K255" s="118"/>
      <c r="L255" s="118"/>
      <c r="M255" s="118"/>
      <c r="O255" s="15"/>
    </row>
    <row r="256" spans="1:15">
      <c r="A256" s="110"/>
      <c r="C256" s="74" t="s">
        <v>193</v>
      </c>
      <c r="E256" s="97"/>
      <c r="F256" s="97"/>
      <c r="G256" s="126"/>
      <c r="H256" s="17">
        <f t="shared" ref="H256:M256" si="77">H50/12</f>
        <v>0.5</v>
      </c>
      <c r="I256" s="17">
        <f t="shared" si="77"/>
        <v>1</v>
      </c>
      <c r="J256" s="17">
        <f t="shared" si="77"/>
        <v>1</v>
      </c>
      <c r="K256" s="17">
        <f t="shared" si="77"/>
        <v>1</v>
      </c>
      <c r="L256" s="17">
        <f t="shared" si="77"/>
        <v>0.75</v>
      </c>
      <c r="M256" s="17">
        <f t="shared" si="77"/>
        <v>0</v>
      </c>
      <c r="O256" s="15"/>
    </row>
    <row r="257" spans="1:62" ht="18">
      <c r="C257" s="74" t="s">
        <v>263</v>
      </c>
      <c r="E257" s="97"/>
      <c r="F257" s="97"/>
      <c r="G257" s="126"/>
      <c r="H257" s="44">
        <f t="shared" ref="H257:M257" si="78">(1+WACC)^H256-1</f>
        <v>3.6532681587995164E-2</v>
      </c>
      <c r="I257" s="44">
        <f t="shared" si="78"/>
        <v>7.4400000000000022E-2</v>
      </c>
      <c r="J257" s="44">
        <f t="shared" si="78"/>
        <v>7.4400000000000022E-2</v>
      </c>
      <c r="K257" s="44">
        <f t="shared" si="78"/>
        <v>7.4400000000000022E-2</v>
      </c>
      <c r="L257" s="44">
        <f t="shared" si="78"/>
        <v>5.5296504826080506E-2</v>
      </c>
      <c r="M257" s="44">
        <f t="shared" si="78"/>
        <v>0</v>
      </c>
      <c r="O257" s="15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</row>
    <row r="258" spans="1:62">
      <c r="E258" s="97"/>
      <c r="F258" s="97"/>
      <c r="G258" s="97"/>
      <c r="H258" s="77"/>
      <c r="I258" s="77"/>
      <c r="J258" s="77"/>
      <c r="K258" s="77"/>
      <c r="L258" s="77"/>
      <c r="M258" s="77"/>
      <c r="O258" s="15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</row>
    <row r="259" spans="1:62" ht="15.75">
      <c r="C259" s="5" t="s">
        <v>149</v>
      </c>
      <c r="N259" s="45"/>
      <c r="O259" s="15"/>
    </row>
    <row r="260" spans="1:62">
      <c r="A260" s="110"/>
      <c r="C260" s="74" t="s">
        <v>305</v>
      </c>
      <c r="E260" s="97"/>
      <c r="F260" s="97"/>
      <c r="G260" s="97"/>
      <c r="H260" s="181">
        <f>H206+(1-H256)*(H209-H206)</f>
        <v>297300.89329465746</v>
      </c>
      <c r="I260" s="63">
        <f>I206</f>
        <v>296277.20828857907</v>
      </c>
      <c r="J260" s="63">
        <f>J206</f>
        <v>297948.00366473972</v>
      </c>
      <c r="K260" s="63">
        <f>K206</f>
        <v>296982.74771640846</v>
      </c>
      <c r="L260" s="63">
        <f>L206</f>
        <v>295432.47377106617</v>
      </c>
      <c r="M260" s="63">
        <f>M206</f>
        <v>293424.49085968488</v>
      </c>
      <c r="N260" s="45"/>
      <c r="O260" s="15"/>
    </row>
    <row r="261" spans="1:62">
      <c r="C261" s="74" t="s">
        <v>65</v>
      </c>
      <c r="E261" s="97"/>
      <c r="F261" s="97"/>
      <c r="G261" s="97"/>
      <c r="H261" s="78">
        <f t="shared" ref="H261:M261" si="79">H48*H256</f>
        <v>151.24971497314581</v>
      </c>
      <c r="I261" s="78">
        <f t="shared" si="79"/>
        <v>2794.2580748269124</v>
      </c>
      <c r="J261" s="78">
        <f t="shared" si="79"/>
        <v>209.13245040632776</v>
      </c>
      <c r="K261" s="78">
        <f t="shared" si="79"/>
        <v>144.68800406178775</v>
      </c>
      <c r="L261" s="78">
        <f t="shared" si="79"/>
        <v>158.42721175262704</v>
      </c>
      <c r="M261" s="78">
        <f t="shared" si="79"/>
        <v>0</v>
      </c>
      <c r="N261" s="45"/>
      <c r="O261" s="15"/>
    </row>
    <row r="262" spans="1:62">
      <c r="C262" s="74" t="s">
        <v>76</v>
      </c>
      <c r="E262" s="97"/>
      <c r="F262" s="97"/>
      <c r="G262" s="97"/>
      <c r="H262" s="47">
        <f t="shared" ref="H262:M262" si="80">H215*H256</f>
        <v>0</v>
      </c>
      <c r="I262" s="47">
        <f t="shared" si="80"/>
        <v>0</v>
      </c>
      <c r="J262" s="47">
        <f t="shared" si="80"/>
        <v>0</v>
      </c>
      <c r="K262" s="47">
        <f t="shared" si="80"/>
        <v>0</v>
      </c>
      <c r="L262" s="47">
        <f t="shared" si="80"/>
        <v>0</v>
      </c>
      <c r="M262" s="47">
        <f t="shared" si="80"/>
        <v>0</v>
      </c>
      <c r="N262" s="45"/>
      <c r="O262" s="15"/>
    </row>
    <row r="263" spans="1:62">
      <c r="C263" s="74" t="s">
        <v>27</v>
      </c>
      <c r="E263" s="97"/>
      <c r="F263" s="97"/>
      <c r="G263" s="97"/>
      <c r="H263" s="47">
        <f t="shared" ref="H263:M263" si="81">H207*H256</f>
        <v>2525.6479102854892</v>
      </c>
      <c r="I263" s="47">
        <f t="shared" si="81"/>
        <v>6412.9310306589541</v>
      </c>
      <c r="J263" s="47">
        <f t="shared" si="81"/>
        <v>6591.4832644607977</v>
      </c>
      <c r="K263" s="47">
        <f t="shared" si="81"/>
        <v>6251.9595972399466</v>
      </c>
      <c r="L263" s="47">
        <f t="shared" si="81"/>
        <v>4427.1102496799385</v>
      </c>
      <c r="M263" s="47">
        <f t="shared" si="81"/>
        <v>0</v>
      </c>
      <c r="N263" s="45"/>
      <c r="O263" s="15"/>
    </row>
    <row r="264" spans="1:62" ht="15.75" thickBot="1">
      <c r="C264" s="74" t="s">
        <v>149</v>
      </c>
      <c r="E264" s="97"/>
      <c r="F264" s="97"/>
      <c r="G264" s="97"/>
      <c r="H264" s="28">
        <f t="shared" ref="H264:M264" si="82">H260*H257+H261*(H67-1)+H262-H263</f>
        <v>8338.3116650621923</v>
      </c>
      <c r="I264" s="28">
        <f t="shared" si="82"/>
        <v>15731.89029696838</v>
      </c>
      <c r="J264" s="28">
        <f t="shared" si="82"/>
        <v>15583.467068715539</v>
      </c>
      <c r="K264" s="28">
        <f t="shared" si="82"/>
        <v>15848.827931246957</v>
      </c>
      <c r="L264" s="28">
        <f t="shared" si="82"/>
        <v>11913.566267348342</v>
      </c>
      <c r="M264" s="28">
        <f t="shared" si="82"/>
        <v>0</v>
      </c>
      <c r="N264" s="45"/>
      <c r="O264" s="15"/>
    </row>
    <row r="265" spans="1:62" ht="15.75" thickTop="1"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15"/>
      <c r="AY265" s="92"/>
      <c r="AZ265" s="92"/>
      <c r="BA265" s="92"/>
    </row>
    <row r="266" spans="1:62">
      <c r="A266" s="110"/>
      <c r="C266" s="40" t="s">
        <v>246</v>
      </c>
      <c r="D266" s="40"/>
      <c r="E266" s="40"/>
      <c r="F266" s="40"/>
      <c r="G266" s="40"/>
      <c r="H266" s="134"/>
      <c r="I266" s="134"/>
      <c r="J266" s="134"/>
      <c r="K266" s="134"/>
      <c r="L266" s="134"/>
      <c r="M266" s="134"/>
      <c r="O266" s="15"/>
    </row>
    <row r="267" spans="1:62">
      <c r="A267" s="110"/>
      <c r="C267" s="74" t="s">
        <v>73</v>
      </c>
      <c r="H267" s="78">
        <f t="shared" ref="H267:L267" si="83">H256*H245</f>
        <v>3700.5826313370526</v>
      </c>
      <c r="I267" s="78">
        <f t="shared" si="83"/>
        <v>7536.3937293252202</v>
      </c>
      <c r="J267" s="78">
        <f t="shared" si="83"/>
        <v>7765.8716631983452</v>
      </c>
      <c r="K267" s="78">
        <f t="shared" si="83"/>
        <v>7946.9215466440719</v>
      </c>
      <c r="L267" s="78">
        <f t="shared" si="83"/>
        <v>6091.5246449685292</v>
      </c>
      <c r="M267" s="78">
        <f>M256*M245</f>
        <v>0</v>
      </c>
      <c r="O267" s="15"/>
    </row>
    <row r="268" spans="1:62">
      <c r="A268" s="110"/>
      <c r="C268" s="74" t="s">
        <v>135</v>
      </c>
      <c r="H268" s="78">
        <f t="shared" ref="H268:L268" si="84">H256*H250</f>
        <v>6170.3523734867913</v>
      </c>
      <c r="I268" s="78">
        <f t="shared" si="84"/>
        <v>12653.769862568573</v>
      </c>
      <c r="J268" s="78">
        <f t="shared" si="84"/>
        <v>13001.85971325796</v>
      </c>
      <c r="K268" s="78">
        <f t="shared" si="84"/>
        <v>13350.017491214847</v>
      </c>
      <c r="L268" s="78">
        <f t="shared" si="84"/>
        <v>10262.057044265835</v>
      </c>
      <c r="M268" s="78">
        <f>M256*M250</f>
        <v>0</v>
      </c>
      <c r="O268" s="15"/>
    </row>
    <row r="269" spans="1:62">
      <c r="A269" s="110"/>
      <c r="C269" s="74" t="s">
        <v>136</v>
      </c>
      <c r="H269" s="78">
        <f t="shared" ref="H269:L269" si="85">H256*H251</f>
        <v>6282.9775201898437</v>
      </c>
      <c r="I269" s="78">
        <f t="shared" si="85"/>
        <v>13114.756703414687</v>
      </c>
      <c r="J269" s="78">
        <f t="shared" si="85"/>
        <v>13475.527742583292</v>
      </c>
      <c r="K269" s="78">
        <f t="shared" si="85"/>
        <v>13836.369183663461</v>
      </c>
      <c r="L269" s="78">
        <f t="shared" si="85"/>
        <v>10540.154121674446</v>
      </c>
      <c r="M269" s="78">
        <f>M256*M251</f>
        <v>0</v>
      </c>
      <c r="O269" s="15"/>
    </row>
    <row r="270" spans="1:62">
      <c r="A270" s="110"/>
      <c r="C270" s="74" t="s">
        <v>85</v>
      </c>
      <c r="H270" s="78">
        <f t="shared" ref="H270:L270" si="86">H256*H248</f>
        <v>0</v>
      </c>
      <c r="I270" s="78">
        <f t="shared" si="86"/>
        <v>0</v>
      </c>
      <c r="J270" s="78">
        <f t="shared" si="86"/>
        <v>0</v>
      </c>
      <c r="K270" s="78">
        <f t="shared" si="86"/>
        <v>0</v>
      </c>
      <c r="L270" s="78">
        <f t="shared" si="86"/>
        <v>0</v>
      </c>
      <c r="M270" s="78">
        <f>M256*M248</f>
        <v>0</v>
      </c>
      <c r="O270" s="15"/>
    </row>
    <row r="271" spans="1:62">
      <c r="A271" s="110"/>
      <c r="C271" s="74" t="s">
        <v>216</v>
      </c>
      <c r="H271" s="22"/>
      <c r="I271" s="22"/>
      <c r="J271" s="22"/>
      <c r="K271" s="22"/>
      <c r="L271" s="22"/>
      <c r="M271" s="22"/>
      <c r="O271" s="15"/>
    </row>
    <row r="272" spans="1:62">
      <c r="A272" s="110"/>
      <c r="C272" s="74" t="s">
        <v>17</v>
      </c>
      <c r="H272" s="78">
        <f t="shared" ref="H272:M272" si="87">H256*H220</f>
        <v>2021.9303601366237</v>
      </c>
      <c r="I272" s="78">
        <f t="shared" si="87"/>
        <v>3728.8884741976858</v>
      </c>
      <c r="J272" s="78">
        <f t="shared" si="87"/>
        <v>3650.2051786545849</v>
      </c>
      <c r="K272" s="78">
        <f t="shared" si="87"/>
        <v>3360.5131863500947</v>
      </c>
      <c r="L272" s="78">
        <f t="shared" si="87"/>
        <v>2317.3380034720499</v>
      </c>
      <c r="M272" s="78">
        <f t="shared" si="87"/>
        <v>0</v>
      </c>
      <c r="O272" s="15"/>
    </row>
    <row r="273" spans="1:16">
      <c r="A273" s="110"/>
      <c r="C273" s="74" t="s">
        <v>245</v>
      </c>
      <c r="H273" s="73">
        <f>H256*H238</f>
        <v>3427.8520853833816</v>
      </c>
      <c r="I273" s="73">
        <f t="shared" ref="I273:M273" si="88">I256*I238</f>
        <v>6832.0981819385788</v>
      </c>
      <c r="J273" s="73">
        <f t="shared" si="88"/>
        <v>6870.6264174305916</v>
      </c>
      <c r="K273" s="73">
        <f t="shared" si="88"/>
        <v>6848.367791977108</v>
      </c>
      <c r="L273" s="73">
        <f t="shared" si="88"/>
        <v>5109.4640689614034</v>
      </c>
      <c r="M273" s="73">
        <f t="shared" si="88"/>
        <v>0</v>
      </c>
      <c r="O273" s="15"/>
    </row>
    <row r="274" spans="1:16">
      <c r="A274" s="110"/>
      <c r="C274" s="80" t="s">
        <v>125</v>
      </c>
      <c r="H274" s="22">
        <f t="shared" ref="H274:M274" si="89">(H264+H267+H269+(H270-H268-H272-H273)*H90*H67-H270*H67)/(H68-H90*H67)</f>
        <v>20668.815239624997</v>
      </c>
      <c r="I274" s="22">
        <f t="shared" si="89"/>
        <v>40098.87762696595</v>
      </c>
      <c r="J274" s="22">
        <f t="shared" si="89"/>
        <v>40575.613652673404</v>
      </c>
      <c r="K274" s="22">
        <f t="shared" si="89"/>
        <v>41653.278837504135</v>
      </c>
      <c r="L274" s="22">
        <f t="shared" si="89"/>
        <v>32017.395536877462</v>
      </c>
      <c r="M274" s="22">
        <f t="shared" si="89"/>
        <v>0</v>
      </c>
      <c r="O274" s="15"/>
      <c r="P274" s="128"/>
    </row>
    <row r="275" spans="1:16">
      <c r="A275" s="110"/>
      <c r="C275" s="74" t="s">
        <v>133</v>
      </c>
      <c r="E275" s="97"/>
      <c r="F275" s="97"/>
      <c r="G275" s="97"/>
      <c r="H275" s="22">
        <f t="shared" ref="H275:M275" si="90">(H274+(H270-H268-H272-H273))*H90</f>
        <v>2533.6305177730965</v>
      </c>
      <c r="I275" s="22">
        <f t="shared" si="90"/>
        <v>4727.5539103131114</v>
      </c>
      <c r="J275" s="138">
        <f t="shared" si="90"/>
        <v>4774.8182561324757</v>
      </c>
      <c r="K275" s="138">
        <f t="shared" si="90"/>
        <v>5066.4265030293845</v>
      </c>
      <c r="L275" s="22">
        <f t="shared" si="90"/>
        <v>4011.9901976498891</v>
      </c>
      <c r="M275" s="22">
        <f t="shared" si="90"/>
        <v>0</v>
      </c>
      <c r="O275" s="15"/>
      <c r="P275" s="128"/>
    </row>
    <row r="276" spans="1:16">
      <c r="A276" s="110"/>
      <c r="C276" s="74" t="s">
        <v>118</v>
      </c>
      <c r="E276" s="97"/>
      <c r="F276" s="97"/>
      <c r="G276" s="97"/>
      <c r="H276" s="22">
        <f t="shared" ref="H276:M276" si="91">IF(H275&lt;0,#N/A,H275)</f>
        <v>2533.6305177730965</v>
      </c>
      <c r="I276" s="22">
        <f t="shared" si="91"/>
        <v>4727.5539103131114</v>
      </c>
      <c r="J276" s="22">
        <f t="shared" si="91"/>
        <v>4774.8182561324757</v>
      </c>
      <c r="K276" s="22">
        <f t="shared" si="91"/>
        <v>5066.4265030293845</v>
      </c>
      <c r="L276" s="22">
        <f t="shared" si="91"/>
        <v>4011.9901976498891</v>
      </c>
      <c r="M276" s="22">
        <f t="shared" si="91"/>
        <v>0</v>
      </c>
      <c r="O276" s="15"/>
      <c r="P276" s="128"/>
    </row>
    <row r="277" spans="1:16">
      <c r="A277" s="110"/>
      <c r="C277" s="74" t="s">
        <v>126</v>
      </c>
      <c r="E277" s="97"/>
      <c r="F277" s="97"/>
      <c r="G277" s="97"/>
      <c r="H277" s="22">
        <f t="shared" ref="H277:M277" si="92">H264+H267+H269+H276*H67-H270*H67</f>
        <v>20901.74774977503</v>
      </c>
      <c r="I277" s="22">
        <f t="shared" si="92"/>
        <v>41282.823166833135</v>
      </c>
      <c r="J277" s="22">
        <f t="shared" si="92"/>
        <v>41773.635134929325</v>
      </c>
      <c r="K277" s="22">
        <f t="shared" si="92"/>
        <v>42883.119087879204</v>
      </c>
      <c r="L277" s="22">
        <f t="shared" si="92"/>
        <v>32665.958340833226</v>
      </c>
      <c r="M277" s="22">
        <f t="shared" si="92"/>
        <v>0</v>
      </c>
      <c r="O277" s="15"/>
      <c r="P277" s="128"/>
    </row>
    <row r="278" spans="1:16">
      <c r="A278" s="110"/>
      <c r="C278" s="74" t="s">
        <v>127</v>
      </c>
      <c r="E278" s="97"/>
      <c r="F278" s="97"/>
      <c r="G278" s="97"/>
      <c r="H278" s="22">
        <f t="shared" ref="H278:M278" si="93">H277/H68</f>
        <v>20668.815239624997</v>
      </c>
      <c r="I278" s="22">
        <f t="shared" si="93"/>
        <v>40098.87762696595</v>
      </c>
      <c r="J278" s="22">
        <f t="shared" si="93"/>
        <v>40575.613652673404</v>
      </c>
      <c r="K278" s="22">
        <f t="shared" si="93"/>
        <v>41653.278837504135</v>
      </c>
      <c r="L278" s="22">
        <f t="shared" si="93"/>
        <v>32017.395536877462</v>
      </c>
      <c r="M278" s="22">
        <f t="shared" si="93"/>
        <v>0</v>
      </c>
      <c r="O278" s="15"/>
      <c r="P278" s="128"/>
    </row>
    <row r="279" spans="1:16">
      <c r="A279" s="110"/>
      <c r="C279" s="74" t="s">
        <v>128</v>
      </c>
      <c r="E279" s="97"/>
      <c r="F279" s="97"/>
      <c r="G279" s="97"/>
      <c r="H279" s="69">
        <f t="shared" ref="H279:M279" si="94">H274-H278</f>
        <v>0</v>
      </c>
      <c r="I279" s="69">
        <f t="shared" si="94"/>
        <v>0</v>
      </c>
      <c r="J279" s="69">
        <f t="shared" si="94"/>
        <v>0</v>
      </c>
      <c r="K279" s="69">
        <f t="shared" si="94"/>
        <v>0</v>
      </c>
      <c r="L279" s="69">
        <f t="shared" si="94"/>
        <v>0</v>
      </c>
      <c r="M279" s="69">
        <f t="shared" si="94"/>
        <v>0</v>
      </c>
      <c r="O279" s="15"/>
      <c r="P279" s="128"/>
    </row>
    <row r="280" spans="1:16">
      <c r="E280" s="97"/>
      <c r="F280" s="97"/>
      <c r="G280" s="97"/>
      <c r="H280" s="22"/>
      <c r="I280" s="22"/>
      <c r="J280" s="22"/>
      <c r="K280" s="22"/>
      <c r="L280" s="22"/>
      <c r="M280" s="22"/>
      <c r="N280" s="97"/>
      <c r="O280" s="15"/>
      <c r="P280" s="128"/>
    </row>
    <row r="281" spans="1:16">
      <c r="E281" s="97"/>
      <c r="F281" s="97"/>
      <c r="G281" s="97"/>
      <c r="O281" s="15"/>
    </row>
    <row r="282" spans="1:16" ht="15.75">
      <c r="C282" s="113" t="s">
        <v>129</v>
      </c>
      <c r="E282" s="97"/>
      <c r="F282" s="97"/>
      <c r="G282" s="97"/>
      <c r="H282" s="83"/>
      <c r="I282" s="22"/>
      <c r="N282" s="45"/>
      <c r="O282" s="15"/>
    </row>
    <row r="283" spans="1:16">
      <c r="C283" s="74" t="s">
        <v>206</v>
      </c>
      <c r="D283" s="80"/>
      <c r="E283" s="97"/>
      <c r="F283" s="97"/>
      <c r="G283" s="97"/>
      <c r="H283" s="115">
        <f>I283-1</f>
        <v>0.5</v>
      </c>
      <c r="I283" s="183">
        <f>IF($G$1 = 4,1.5,1)</f>
        <v>1.5</v>
      </c>
      <c r="J283" s="65">
        <f>I283+J256</f>
        <v>2.5</v>
      </c>
      <c r="K283" s="65">
        <f>J283+K256</f>
        <v>3.5</v>
      </c>
      <c r="L283" s="65">
        <f>K283+L256</f>
        <v>4.25</v>
      </c>
      <c r="M283" s="65">
        <f>L283+M256</f>
        <v>4.25</v>
      </c>
      <c r="N283" s="45"/>
      <c r="O283" s="15"/>
    </row>
    <row r="284" spans="1:16">
      <c r="C284" s="74" t="s">
        <v>94</v>
      </c>
      <c r="D284" s="80"/>
      <c r="E284" s="97"/>
      <c r="F284" s="97"/>
      <c r="G284" s="97"/>
      <c r="H284" s="46">
        <f>H277</f>
        <v>20901.74774977503</v>
      </c>
      <c r="I284" s="46">
        <f t="shared" ref="I284:M284" si="95">I277</f>
        <v>41282.823166833135</v>
      </c>
      <c r="J284" s="46">
        <f t="shared" si="95"/>
        <v>41773.635134929325</v>
      </c>
      <c r="K284" s="46">
        <f t="shared" si="95"/>
        <v>42883.119087879204</v>
      </c>
      <c r="L284" s="46">
        <f t="shared" si="95"/>
        <v>32665.958340833226</v>
      </c>
      <c r="M284" s="46">
        <f t="shared" si="95"/>
        <v>0</v>
      </c>
      <c r="N284" s="45"/>
      <c r="O284" s="15"/>
    </row>
    <row r="285" spans="1:16">
      <c r="C285" s="74" t="s">
        <v>95</v>
      </c>
      <c r="D285" s="80"/>
      <c r="E285" s="80"/>
      <c r="F285" s="46"/>
      <c r="G285" s="46"/>
      <c r="H285" s="46">
        <f t="shared" ref="H285:M285" si="96">H284/(1+WACC)^H$283</f>
        <v>20165.063891427915</v>
      </c>
      <c r="I285" s="46">
        <f t="shared" si="96"/>
        <v>37069.812537528574</v>
      </c>
      <c r="J285" s="46">
        <f t="shared" si="96"/>
        <v>34913.008165407788</v>
      </c>
      <c r="K285" s="46">
        <f t="shared" si="96"/>
        <v>33358.411926828034</v>
      </c>
      <c r="L285" s="46">
        <f t="shared" si="96"/>
        <v>24079.080869941525</v>
      </c>
      <c r="M285" s="46">
        <f t="shared" si="96"/>
        <v>0</v>
      </c>
      <c r="N285" s="45"/>
      <c r="O285" s="15"/>
    </row>
    <row r="286" spans="1:16">
      <c r="C286" s="74" t="s">
        <v>68</v>
      </c>
      <c r="D286" s="46">
        <f>SUM(H285:M285)</f>
        <v>149585.37739113384</v>
      </c>
      <c r="E286" s="80"/>
      <c r="F286" s="46"/>
      <c r="G286" s="46"/>
      <c r="H286" s="46"/>
      <c r="I286" s="46"/>
      <c r="J286" s="46"/>
      <c r="K286" s="46"/>
      <c r="L286" s="46"/>
      <c r="M286" s="46"/>
      <c r="N286" s="45"/>
      <c r="O286" s="15"/>
    </row>
    <row r="287" spans="1:16" ht="21">
      <c r="D287" s="46"/>
      <c r="E287" s="123" t="str">
        <f>"All information above this line is in " &amp; E38 &amp; " year-ends."</f>
        <v>All information above this line is in December year-ends.</v>
      </c>
      <c r="G287" s="46"/>
      <c r="H287" s="46"/>
      <c r="I287" s="46"/>
      <c r="J287" s="46"/>
      <c r="K287" s="46"/>
      <c r="L287" s="46"/>
      <c r="M287" s="46"/>
      <c r="N287" s="45"/>
      <c r="O287" s="15"/>
    </row>
    <row r="288" spans="1:16" ht="3" customHeight="1">
      <c r="A288" s="120"/>
      <c r="B288" s="120"/>
      <c r="C288" s="120"/>
      <c r="D288" s="121"/>
      <c r="E288" s="124"/>
      <c r="F288" s="120"/>
      <c r="G288" s="121"/>
      <c r="H288" s="121"/>
      <c r="I288" s="121"/>
      <c r="J288" s="121"/>
      <c r="K288" s="121"/>
      <c r="L288" s="121"/>
      <c r="M288" s="121"/>
      <c r="N288" s="122"/>
      <c r="O288" s="15"/>
    </row>
    <row r="289" spans="1:15" ht="21">
      <c r="D289" s="46"/>
      <c r="E289" s="123" t="str">
        <f>"All information below this line is in " &amp; E39 &amp; " year-ends."</f>
        <v>All information below this line is in June year-ends.</v>
      </c>
      <c r="G289" s="46"/>
      <c r="H289" s="46"/>
      <c r="I289" s="46"/>
      <c r="J289" s="46"/>
      <c r="K289" s="46"/>
      <c r="L289" s="46"/>
      <c r="M289" s="46"/>
      <c r="N289" s="45"/>
      <c r="O289" s="15"/>
    </row>
    <row r="290" spans="1:15" ht="48.75" customHeight="1">
      <c r="C290" s="125" t="s">
        <v>235</v>
      </c>
      <c r="D290" s="46"/>
      <c r="E290" s="123"/>
      <c r="G290" s="46"/>
      <c r="H290" s="118" t="str">
        <f t="shared" ref="H290:M290" si="97">H14</f>
        <v/>
      </c>
      <c r="I290" s="118" t="str">
        <f t="shared" si="97"/>
        <v>01/07/13 to 30/06/14</v>
      </c>
      <c r="J290" s="118" t="str">
        <f t="shared" si="97"/>
        <v>01/07/14 to 30/06/15</v>
      </c>
      <c r="K290" s="118" t="str">
        <f t="shared" si="97"/>
        <v>01/07/15 to 30/06/16</v>
      </c>
      <c r="L290" s="118" t="str">
        <f t="shared" si="97"/>
        <v>01/07/16 to 30/06/17</v>
      </c>
      <c r="M290" s="118" t="str">
        <f t="shared" si="97"/>
        <v>01/07/17 to 30/09/17</v>
      </c>
      <c r="N290" s="45"/>
    </row>
    <row r="291" spans="1:15">
      <c r="D291" s="80"/>
      <c r="F291" s="54"/>
      <c r="N291" s="45"/>
    </row>
    <row r="292" spans="1:15" ht="21">
      <c r="C292" s="3" t="s">
        <v>70</v>
      </c>
      <c r="D292" s="80"/>
      <c r="F292" s="54"/>
      <c r="N292" s="45"/>
    </row>
    <row r="293" spans="1:15">
      <c r="D293" s="80"/>
      <c r="E293" s="10" t="str">
        <f t="shared" ref="E293:M293" si="98">E$21</f>
        <v>2009/10</v>
      </c>
      <c r="F293" s="10" t="str">
        <f t="shared" si="98"/>
        <v>2010/11</v>
      </c>
      <c r="G293" s="10" t="str">
        <f t="shared" si="98"/>
        <v>2011/12</v>
      </c>
      <c r="H293" s="10" t="str">
        <f t="shared" si="98"/>
        <v>2012/13</v>
      </c>
      <c r="I293" s="10" t="str">
        <f t="shared" si="98"/>
        <v>2013/14</v>
      </c>
      <c r="J293" s="10" t="str">
        <f t="shared" si="98"/>
        <v>2014/15</v>
      </c>
      <c r="K293" s="10" t="str">
        <f t="shared" si="98"/>
        <v>2015/16</v>
      </c>
      <c r="L293" s="10" t="str">
        <f t="shared" si="98"/>
        <v>2016/17</v>
      </c>
      <c r="M293" s="10" t="str">
        <f t="shared" si="98"/>
        <v>2017/18</v>
      </c>
      <c r="N293" s="45"/>
    </row>
    <row r="294" spans="1:15">
      <c r="C294" s="74" t="s">
        <v>264</v>
      </c>
      <c r="D294" s="29">
        <f>E41</f>
        <v>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45"/>
    </row>
    <row r="295" spans="1:15">
      <c r="C295" s="74" t="s">
        <v>35</v>
      </c>
      <c r="D295" s="29">
        <f>D286+D294</f>
        <v>149585.37739113384</v>
      </c>
      <c r="F295" s="55"/>
      <c r="G295" s="78"/>
      <c r="H295" s="78"/>
      <c r="I295" s="78"/>
      <c r="J295" s="78"/>
      <c r="K295" s="78"/>
      <c r="L295" s="78"/>
      <c r="M295" s="78"/>
      <c r="N295" s="45"/>
    </row>
    <row r="296" spans="1:15">
      <c r="C296" s="74" t="s">
        <v>203</v>
      </c>
      <c r="D296" s="29"/>
      <c r="F296" s="55"/>
      <c r="G296" s="78"/>
      <c r="H296" s="64">
        <f t="shared" ref="H296:M296" si="99">H51/12</f>
        <v>0</v>
      </c>
      <c r="I296" s="64">
        <f t="shared" si="99"/>
        <v>1</v>
      </c>
      <c r="J296" s="64">
        <f t="shared" si="99"/>
        <v>1</v>
      </c>
      <c r="K296" s="64">
        <f t="shared" si="99"/>
        <v>1</v>
      </c>
      <c r="L296" s="64">
        <f t="shared" si="99"/>
        <v>1</v>
      </c>
      <c r="M296" s="64">
        <f t="shared" si="99"/>
        <v>0.25</v>
      </c>
      <c r="N296" s="45"/>
    </row>
    <row r="297" spans="1:15">
      <c r="C297" s="74" t="s">
        <v>207</v>
      </c>
      <c r="D297" s="29"/>
      <c r="F297" s="55"/>
      <c r="G297" s="78"/>
      <c r="H297" s="116">
        <f>I297-1</f>
        <v>0</v>
      </c>
      <c r="I297" s="183">
        <f>IF($G$1 = 4,1,1.25)</f>
        <v>1</v>
      </c>
      <c r="J297" s="64">
        <f>I297+J296</f>
        <v>2</v>
      </c>
      <c r="K297" s="64">
        <f>J297+K296</f>
        <v>3</v>
      </c>
      <c r="L297" s="64">
        <f>K297+L296</f>
        <v>4</v>
      </c>
      <c r="M297" s="64">
        <f>L297+M296</f>
        <v>4.25</v>
      </c>
      <c r="N297" s="45"/>
    </row>
    <row r="298" spans="1:15">
      <c r="A298" s="110"/>
      <c r="C298" s="74" t="s">
        <v>102</v>
      </c>
      <c r="D298" s="80"/>
      <c r="F298" s="31"/>
      <c r="G298" s="31"/>
      <c r="H298" s="100">
        <f>H296*I298/((1+I$78)*(1-X_industry_wide))</f>
        <v>0</v>
      </c>
      <c r="I298" s="184">
        <v>1</v>
      </c>
      <c r="J298" s="100">
        <f>J296*I298*(1+J$78)*(1-X_industry_wide)</f>
        <v>1.0192053536642196</v>
      </c>
      <c r="K298" s="31">
        <f>K296*J298*(1+K$78)*(1-X_industry_wide)</f>
        <v>1.0399043843020588</v>
      </c>
      <c r="L298" s="100">
        <f>L296*K298*(1+L$78)*(1-X_industry_wide)</f>
        <v>1.0632090678033559</v>
      </c>
      <c r="M298" s="100">
        <f>M296*L298*(1+M$78)*(1-X_industry_wide)</f>
        <v>0.27147400988691722</v>
      </c>
      <c r="N298" s="70"/>
      <c r="O298" s="74" t="s">
        <v>422</v>
      </c>
    </row>
    <row r="299" spans="1:15">
      <c r="C299" s="74" t="s">
        <v>69</v>
      </c>
      <c r="D299" s="80"/>
      <c r="F299" s="57"/>
      <c r="G299" s="31"/>
      <c r="H299" s="31">
        <f t="shared" ref="H299:M299" si="100">H298/(1+WACC)^H$297</f>
        <v>0</v>
      </c>
      <c r="I299" s="31">
        <f t="shared" si="100"/>
        <v>0.93075204765450481</v>
      </c>
      <c r="J299" s="31">
        <f t="shared" si="100"/>
        <v>0.88293696007390732</v>
      </c>
      <c r="K299" s="31">
        <f t="shared" si="100"/>
        <v>0.83848521720242397</v>
      </c>
      <c r="L299" s="31">
        <f t="shared" si="100"/>
        <v>0.79791140600223065</v>
      </c>
      <c r="M299" s="31">
        <f t="shared" si="100"/>
        <v>0.20011182803668653</v>
      </c>
      <c r="N299" s="45"/>
      <c r="O299" s="74" t="s">
        <v>120</v>
      </c>
    </row>
    <row r="300" spans="1:15">
      <c r="C300" s="74" t="s">
        <v>57</v>
      </c>
      <c r="D300" s="65">
        <f>SUM(H299:M299)</f>
        <v>3.6501974589697532</v>
      </c>
      <c r="F300" s="57"/>
      <c r="G300" s="31"/>
      <c r="H300" s="31"/>
      <c r="I300" s="31"/>
      <c r="J300" s="31"/>
      <c r="K300" s="31"/>
      <c r="L300" s="31"/>
      <c r="M300" s="31"/>
      <c r="N300" s="45"/>
      <c r="O300" s="74" t="s">
        <v>121</v>
      </c>
    </row>
    <row r="301" spans="1:15">
      <c r="C301" s="74" t="s">
        <v>101</v>
      </c>
      <c r="D301" s="29">
        <f>D295/D300</f>
        <v>40980.078221125448</v>
      </c>
      <c r="F301" s="57"/>
      <c r="G301" s="31"/>
      <c r="H301" s="22"/>
      <c r="I301" s="22"/>
      <c r="J301" s="22"/>
      <c r="K301" s="22"/>
      <c r="L301" s="22"/>
      <c r="M301" s="22"/>
      <c r="N301" s="45"/>
    </row>
    <row r="302" spans="1:15">
      <c r="C302" s="74" t="s">
        <v>97</v>
      </c>
      <c r="D302" s="29"/>
      <c r="F302" s="57"/>
      <c r="G302" s="31"/>
      <c r="H302" s="22">
        <f t="shared" ref="H302:M302" si="101">$D301*H298</f>
        <v>0</v>
      </c>
      <c r="I302" s="22">
        <f t="shared" si="101"/>
        <v>40980.078221125448</v>
      </c>
      <c r="J302" s="22">
        <f t="shared" si="101"/>
        <v>41767.115116549547</v>
      </c>
      <c r="K302" s="22">
        <f t="shared" si="101"/>
        <v>42615.363011189671</v>
      </c>
      <c r="L302" s="22">
        <f t="shared" si="101"/>
        <v>43570.390763991396</v>
      </c>
      <c r="M302" s="22">
        <f t="shared" si="101"/>
        <v>11125.026160168451</v>
      </c>
      <c r="N302" s="45"/>
      <c r="O302" s="74" t="s">
        <v>90</v>
      </c>
    </row>
    <row r="303" spans="1:15">
      <c r="C303" s="74" t="s">
        <v>98</v>
      </c>
      <c r="D303" s="29"/>
      <c r="F303" s="57"/>
      <c r="G303" s="31"/>
      <c r="H303" s="56">
        <f t="shared" ref="H303:M303" si="102">H302/H72</f>
        <v>0</v>
      </c>
      <c r="I303" s="56">
        <f t="shared" si="102"/>
        <v>39804.815070220364</v>
      </c>
      <c r="J303" s="56">
        <f t="shared" si="102"/>
        <v>40569.280621182806</v>
      </c>
      <c r="K303" s="56">
        <f t="shared" si="102"/>
        <v>41393.201707854823</v>
      </c>
      <c r="L303" s="143">
        <f t="shared" si="102"/>
        <v>42320.840324893965</v>
      </c>
      <c r="M303" s="143">
        <f t="shared" si="102"/>
        <v>11103.174820640912</v>
      </c>
      <c r="N303" s="45"/>
      <c r="O303" s="74" t="s">
        <v>92</v>
      </c>
    </row>
    <row r="304" spans="1:15">
      <c r="C304" s="74" t="s">
        <v>99</v>
      </c>
      <c r="D304" s="80"/>
      <c r="F304" s="57"/>
      <c r="G304" s="31"/>
      <c r="H304" s="22">
        <f t="shared" ref="H304:M304" si="103">H302/(1+WACC)^H$297</f>
        <v>0</v>
      </c>
      <c r="I304" s="22">
        <f t="shared" si="103"/>
        <v>38142.291717354288</v>
      </c>
      <c r="J304" s="22">
        <f t="shared" si="103"/>
        <v>36182.825688151439</v>
      </c>
      <c r="K304" s="22">
        <f t="shared" si="103"/>
        <v>34361.189788212694</v>
      </c>
      <c r="L304" s="22">
        <f t="shared" si="103"/>
        <v>32698.471831499599</v>
      </c>
      <c r="M304" s="22">
        <f t="shared" si="103"/>
        <v>8200.5983659158192</v>
      </c>
      <c r="N304" s="45"/>
      <c r="O304" s="74" t="s">
        <v>137</v>
      </c>
    </row>
    <row r="305" spans="3:15">
      <c r="C305" s="74" t="s">
        <v>100</v>
      </c>
      <c r="D305" s="29">
        <f>SUM(H304:M304)</f>
        <v>149585.37739113386</v>
      </c>
      <c r="F305" s="57"/>
      <c r="G305" s="31"/>
      <c r="H305" s="22"/>
      <c r="I305" s="22"/>
      <c r="J305" s="22"/>
      <c r="K305" s="22"/>
      <c r="L305" s="22"/>
      <c r="M305" s="22"/>
      <c r="N305" s="45"/>
      <c r="O305" s="74" t="s">
        <v>93</v>
      </c>
    </row>
    <row r="306" spans="3:15">
      <c r="C306" s="74" t="s">
        <v>91</v>
      </c>
      <c r="D306" s="68">
        <f>D295-D305</f>
        <v>0</v>
      </c>
      <c r="E306" s="56"/>
      <c r="F306" s="57"/>
      <c r="G306" s="31"/>
      <c r="H306" s="22"/>
      <c r="I306" s="22"/>
      <c r="J306" s="22"/>
      <c r="K306" s="22"/>
      <c r="L306" s="22"/>
      <c r="M306" s="22"/>
      <c r="N306" s="45"/>
    </row>
    <row r="307" spans="3:15">
      <c r="C307" s="74" t="s">
        <v>151</v>
      </c>
      <c r="F307" s="57"/>
      <c r="G307" s="31"/>
      <c r="H307" s="22"/>
      <c r="I307" s="22"/>
      <c r="J307" s="22"/>
      <c r="K307" s="22"/>
      <c r="L307" s="22"/>
      <c r="M307" s="22"/>
      <c r="N307" s="45"/>
    </row>
    <row r="308" spans="3:15">
      <c r="D308" s="46"/>
      <c r="F308" s="54"/>
      <c r="N308" s="45"/>
    </row>
    <row r="309" spans="3:15" ht="21">
      <c r="C309" s="3" t="s">
        <v>96</v>
      </c>
      <c r="D309" s="66"/>
      <c r="F309" s="56"/>
      <c r="G309" s="22"/>
      <c r="H309" s="22"/>
      <c r="I309" s="22"/>
      <c r="J309" s="22"/>
      <c r="K309" s="22"/>
      <c r="L309" s="22"/>
      <c r="M309" s="22"/>
      <c r="N309" s="45"/>
    </row>
    <row r="310" spans="3:15" ht="15" customHeight="1">
      <c r="C310" s="81" t="str">
        <f>IF($G$1=4,"Estimation of revenue in year-ending 30-6-2012","Estimation of revenue in year-ending 30-9-2011")</f>
        <v>Estimation of revenue in year-ending 30-6-2012</v>
      </c>
      <c r="D310" s="22"/>
      <c r="E310" s="22"/>
      <c r="F310" s="56"/>
      <c r="G310" s="22"/>
      <c r="H310" s="22"/>
      <c r="I310" s="22"/>
      <c r="J310" s="22"/>
      <c r="K310" s="22"/>
      <c r="L310" s="22"/>
      <c r="M310" s="22"/>
      <c r="N310" s="45"/>
    </row>
    <row r="311" spans="3:15" ht="15" customHeight="1">
      <c r="C311" s="74" t="str">
        <f>IF($G$1=4,"Price increase on 1 July 2011","Price increase on 1 October 2010")</f>
        <v>Price increase on 1 July 2011</v>
      </c>
      <c r="D311" s="59">
        <f>IF($G$1=4,G59,F60)</f>
        <v>2.3020257826887658E-2</v>
      </c>
      <c r="F311" s="56"/>
      <c r="G311" s="22"/>
      <c r="H311" s="22"/>
      <c r="I311" s="22"/>
      <c r="J311" s="22"/>
      <c r="K311" s="22"/>
      <c r="L311" s="22"/>
      <c r="M311" s="22"/>
      <c r="N311" s="45"/>
    </row>
    <row r="312" spans="3:15" ht="15" customHeight="1">
      <c r="C312" s="74" t="str">
        <f>IF($G$1=4,"Constant price revenue growth to Y/E 30-6-2012","Constant price revenue growth to Y/E 30-9-2011")</f>
        <v>Constant price revenue growth to Y/E 30-6-2012</v>
      </c>
      <c r="D312" s="208">
        <f>IF($G$1=4,0,F49)</f>
        <v>0</v>
      </c>
      <c r="E312" s="80"/>
      <c r="F312" s="209"/>
      <c r="G312" s="46"/>
      <c r="H312" s="46"/>
      <c r="I312" s="46"/>
      <c r="J312" s="46"/>
      <c r="K312" s="46"/>
      <c r="L312" s="46"/>
      <c r="M312" s="46"/>
      <c r="N312" s="45"/>
    </row>
    <row r="313" spans="3:15" ht="15" customHeight="1">
      <c r="C313" s="56"/>
      <c r="D313" s="209"/>
      <c r="E313" s="209"/>
      <c r="F313" s="209"/>
      <c r="G313" s="46"/>
      <c r="H313" s="46"/>
      <c r="I313" s="46"/>
      <c r="J313" s="46"/>
      <c r="K313" s="46"/>
      <c r="L313" s="46"/>
      <c r="M313" s="46"/>
      <c r="N313" s="45"/>
    </row>
    <row r="314" spans="3:15" ht="15" customHeight="1">
      <c r="C314" s="74" t="str">
        <f>IF($G$1=4,"Revenue growth to Y/E 30-6-2012","Revenue growth to Y/E 30-9-2011")</f>
        <v>Revenue growth to Y/E 30-6-2012</v>
      </c>
      <c r="D314" s="208">
        <f>(1+D311)*(1+D312)-1</f>
        <v>2.3020257826887658E-2</v>
      </c>
      <c r="E314" s="80"/>
      <c r="F314" s="209"/>
      <c r="G314" s="46"/>
      <c r="H314" s="46"/>
      <c r="I314" s="46"/>
      <c r="J314" s="46"/>
      <c r="K314" s="46"/>
      <c r="L314" s="46"/>
      <c r="M314" s="46"/>
      <c r="N314" s="45"/>
    </row>
    <row r="315" spans="3:15" ht="15" customHeight="1">
      <c r="C315" s="74" t="str">
        <f>IF($G$1=4,"Proportion of BB Y/E 31-12-11 in AR Y/E 30-6-11","Proportion of BB Y/E 30-6-11 in AR Y/E 30-9-10")</f>
        <v>Proportion of BB Y/E 31-12-11 in AR Y/E 30-6-11</v>
      </c>
      <c r="D315" s="210">
        <f>IF($G$1=4,0.5,0.25)</f>
        <v>0.5</v>
      </c>
      <c r="E315" s="80"/>
      <c r="F315" s="209"/>
      <c r="G315" s="46"/>
      <c r="H315" s="46"/>
      <c r="I315" s="46"/>
      <c r="J315" s="46"/>
      <c r="K315" s="46"/>
      <c r="L315" s="46"/>
      <c r="M315" s="46"/>
      <c r="N315" s="45"/>
    </row>
    <row r="316" spans="3:15" ht="15" customHeight="1">
      <c r="C316" s="74" t="str">
        <f>IF($G$1=4,"Net revenue in information year ending 31-12-11","Net revenue in information year ending 30-6-11")</f>
        <v>Net revenue in information year ending 31-12-11</v>
      </c>
      <c r="D316" s="209">
        <f>F$23-F$24-F$25</f>
        <v>37801</v>
      </c>
      <c r="E316" s="80"/>
      <c r="F316" s="209"/>
      <c r="G316" s="46"/>
      <c r="H316" s="46"/>
      <c r="I316" s="46"/>
      <c r="J316" s="46"/>
      <c r="K316" s="46"/>
      <c r="L316" s="46"/>
      <c r="M316" s="46"/>
      <c r="N316" s="45"/>
    </row>
    <row r="317" spans="3:15" ht="15" customHeight="1">
      <c r="C317" s="74" t="str">
        <f>IF($G$1=4,"Estimated income in Y/E 30-6-2011","Estimated income in Y/E 30-9-2010")</f>
        <v>Estimated income in Y/E 30-6-2011</v>
      </c>
      <c r="D317" s="211">
        <f>D316/(1+D314*(1-D315))</f>
        <v>37370.85662266727</v>
      </c>
      <c r="E317" s="80"/>
      <c r="F317" s="209"/>
      <c r="G317" s="46"/>
      <c r="H317" s="46"/>
      <c r="I317" s="46"/>
      <c r="J317" s="46"/>
      <c r="K317" s="46"/>
      <c r="L317" s="46"/>
      <c r="M317" s="46"/>
      <c r="N317" s="45"/>
    </row>
    <row r="318" spans="3:15" ht="15" customHeight="1">
      <c r="C318" s="74" t="str">
        <f>IF($G$1=4,"Estimated income in Y/E 30-6-2012","Estimated income in Y/E 30-9-2011")</f>
        <v>Estimated income in Y/E 30-6-2012</v>
      </c>
      <c r="D318" s="211">
        <f>D317*(1+D314)</f>
        <v>38231.143377332723</v>
      </c>
      <c r="E318" s="80"/>
      <c r="F318" s="209"/>
      <c r="G318" s="46"/>
      <c r="H318" s="46"/>
      <c r="I318" s="46"/>
      <c r="J318" s="46"/>
      <c r="K318" s="46"/>
      <c r="L318" s="46"/>
      <c r="M318" s="46"/>
      <c r="N318" s="45"/>
    </row>
    <row r="319" spans="3:15" ht="15" customHeight="1">
      <c r="C319" s="74" t="str">
        <f>"Check: (" &amp; TEXT(D315,"0%") &amp; " of " &amp; TEXT(D317,"0,000") &amp; " plus " &amp; TEXT(1-D315,"0%") &amp;  " of " &amp; TEXT(D318,"0,000") &amp; ") less " &amp; TEXT(D316,"0,000")</f>
        <v>Check: (50% of 37,371 plus 50% of 38,231) less 37,801</v>
      </c>
      <c r="D319" s="211">
        <f>D315*D317+(1-D315)*D318-D316</f>
        <v>0</v>
      </c>
      <c r="E319" s="80" t="s">
        <v>270</v>
      </c>
      <c r="F319" s="212"/>
      <c r="G319" s="46"/>
      <c r="H319" s="46"/>
      <c r="I319" s="46"/>
      <c r="J319" s="46"/>
      <c r="K319" s="46"/>
      <c r="L319" s="46"/>
      <c r="M319" s="46"/>
      <c r="N319" s="45"/>
    </row>
    <row r="320" spans="3:15" ht="15" customHeight="1">
      <c r="D320" s="66"/>
      <c r="E320" s="80"/>
      <c r="F320" s="209"/>
      <c r="G320" s="46"/>
      <c r="H320" s="46"/>
      <c r="I320" s="46"/>
      <c r="J320" s="46"/>
      <c r="K320" s="46"/>
      <c r="L320" s="46"/>
      <c r="M320" s="46"/>
      <c r="N320" s="45"/>
    </row>
    <row r="321" spans="1:17">
      <c r="A321" s="22"/>
      <c r="B321" s="22"/>
      <c r="C321" s="81" t="s">
        <v>232</v>
      </c>
      <c r="D321" s="46"/>
      <c r="E321" s="213" t="str">
        <f t="shared" ref="E321:M321" si="104">E$21</f>
        <v>2009/10</v>
      </c>
      <c r="F321" s="213" t="str">
        <f t="shared" si="104"/>
        <v>2010/11</v>
      </c>
      <c r="G321" s="213" t="str">
        <f t="shared" si="104"/>
        <v>2011/12</v>
      </c>
      <c r="H321" s="213" t="str">
        <f t="shared" si="104"/>
        <v>2012/13</v>
      </c>
      <c r="I321" s="213" t="str">
        <f t="shared" si="104"/>
        <v>2013/14</v>
      </c>
      <c r="J321" s="213" t="str">
        <f t="shared" si="104"/>
        <v>2014/15</v>
      </c>
      <c r="K321" s="213" t="str">
        <f t="shared" si="104"/>
        <v>2015/16</v>
      </c>
      <c r="L321" s="213" t="str">
        <f t="shared" si="104"/>
        <v>2016/17</v>
      </c>
      <c r="M321" s="213" t="str">
        <f t="shared" si="104"/>
        <v>2017/18</v>
      </c>
      <c r="N321" s="45"/>
    </row>
    <row r="322" spans="1:17">
      <c r="A322" s="22"/>
      <c r="B322" s="22"/>
      <c r="C322" s="74" t="s">
        <v>297</v>
      </c>
      <c r="D322" s="46"/>
      <c r="E322" s="198"/>
      <c r="F322" s="208"/>
      <c r="G322" s="208">
        <f t="shared" ref="G322:M322" si="105">IF($G$1=4,G$59,G60)</f>
        <v>2.3020257826887658E-2</v>
      </c>
      <c r="H322" s="208">
        <f t="shared" si="105"/>
        <v>4.0279027902790254E-2</v>
      </c>
      <c r="I322" s="208">
        <f t="shared" si="105"/>
        <v>1.29785853341986E-2</v>
      </c>
      <c r="J322" s="208">
        <f t="shared" si="105"/>
        <v>1.9205353664219604E-2</v>
      </c>
      <c r="K322" s="208">
        <f t="shared" si="105"/>
        <v>2.0308989315472648E-2</v>
      </c>
      <c r="L322" s="208">
        <f t="shared" si="105"/>
        <v>2.2410409892577032E-2</v>
      </c>
      <c r="M322" s="208">
        <f t="shared" si="105"/>
        <v>2.1338203775091324E-2</v>
      </c>
      <c r="N322" s="45"/>
    </row>
    <row r="323" spans="1:17">
      <c r="A323" s="22"/>
      <c r="B323" s="22"/>
      <c r="C323" s="74" t="s">
        <v>150</v>
      </c>
      <c r="D323" s="46"/>
      <c r="E323" s="214"/>
      <c r="F323" s="208"/>
      <c r="G323" s="208">
        <f>G49</f>
        <v>-4.8529034142521688E-2</v>
      </c>
      <c r="H323" s="208">
        <f t="shared" ref="H323:M323" si="106">H49</f>
        <v>8.6478763596620177E-3</v>
      </c>
      <c r="I323" s="208">
        <f t="shared" si="106"/>
        <v>-4.1138541039843761E-2</v>
      </c>
      <c r="J323" s="208">
        <f t="shared" si="106"/>
        <v>-6.0672360934851385E-2</v>
      </c>
      <c r="K323" s="208">
        <f t="shared" si="106"/>
        <v>-6.0204778048143934E-2</v>
      </c>
      <c r="L323" s="208">
        <f t="shared" si="106"/>
        <v>-6.1225527832922184E-2</v>
      </c>
      <c r="M323" s="208">
        <f t="shared" si="106"/>
        <v>-6.1722467954496402E-2</v>
      </c>
      <c r="N323" s="59"/>
      <c r="O323" s="59"/>
      <c r="P323" s="59"/>
    </row>
    <row r="324" spans="1:17">
      <c r="A324" s="22"/>
      <c r="B324" s="22"/>
      <c r="C324" s="80" t="s">
        <v>236</v>
      </c>
      <c r="D324" s="80"/>
      <c r="E324" s="80"/>
      <c r="F324" s="185">
        <f>IF($G$1=4,D317,D318)</f>
        <v>37370.85662266727</v>
      </c>
      <c r="G324" s="209">
        <f>F324*(1+G322)*IF($G$1=4,1,(1+G323))</f>
        <v>38231.143377332723</v>
      </c>
      <c r="H324" s="209">
        <f t="shared" ref="H324:M324" si="107">G324*(1+H322)*IF($G$1=4,1,(1+H323))</f>
        <v>39771.056668183883</v>
      </c>
      <c r="I324" s="209">
        <f t="shared" si="107"/>
        <v>40287.228720983156</v>
      </c>
      <c r="J324" s="209">
        <f t="shared" si="107"/>
        <v>41060.959196720942</v>
      </c>
      <c r="K324" s="209">
        <f t="shared" si="107"/>
        <v>41894.865778330204</v>
      </c>
      <c r="L324" s="209">
        <f t="shared" si="107"/>
        <v>42833.746892817086</v>
      </c>
      <c r="M324" s="209">
        <f t="shared" si="107"/>
        <v>43747.742112466702</v>
      </c>
      <c r="N324" s="45"/>
      <c r="O324" s="80"/>
    </row>
    <row r="325" spans="1:17">
      <c r="A325" s="22"/>
      <c r="B325" s="22"/>
      <c r="C325" s="87"/>
      <c r="D325" s="87"/>
      <c r="E325" s="87"/>
      <c r="F325" s="87"/>
      <c r="G325" s="209"/>
      <c r="H325" s="209"/>
      <c r="I325" s="209"/>
      <c r="J325" s="209"/>
      <c r="K325" s="209"/>
      <c r="L325" s="209"/>
      <c r="M325" s="209"/>
      <c r="N325" s="45"/>
      <c r="O325" s="80"/>
    </row>
    <row r="326" spans="1:17">
      <c r="A326" s="22"/>
      <c r="B326" s="22"/>
      <c r="C326" s="74" t="s">
        <v>202</v>
      </c>
      <c r="D326" s="46">
        <f>I324</f>
        <v>40287.228720983156</v>
      </c>
      <c r="F326" s="56"/>
      <c r="G326" s="22"/>
      <c r="H326" s="22"/>
      <c r="I326" s="22"/>
      <c r="J326" s="22"/>
      <c r="K326" s="22"/>
      <c r="L326" s="22"/>
      <c r="M326" s="22"/>
      <c r="N326" s="45"/>
      <c r="O326" s="80"/>
    </row>
    <row r="327" spans="1:17">
      <c r="B327" s="22"/>
      <c r="C327" s="74" t="s">
        <v>201</v>
      </c>
      <c r="D327" s="46">
        <f>I303</f>
        <v>39804.815070220364</v>
      </c>
      <c r="F327" s="89"/>
      <c r="G327" s="22"/>
      <c r="K327" s="22"/>
      <c r="L327" s="22"/>
      <c r="M327" s="22"/>
      <c r="N327" s="45"/>
    </row>
    <row r="328" spans="1:17">
      <c r="B328" s="22"/>
      <c r="C328" s="74" t="s">
        <v>147</v>
      </c>
      <c r="D328" s="35">
        <f>(D327-D326)/D326</f>
        <v>-1.1974356789439131E-2</v>
      </c>
      <c r="F328" s="56"/>
      <c r="G328" s="22"/>
      <c r="K328" s="22"/>
      <c r="L328" s="22"/>
      <c r="M328" s="22"/>
      <c r="N328" s="22"/>
      <c r="O328" s="22"/>
      <c r="P328" s="22"/>
      <c r="Q328" s="22"/>
    </row>
    <row r="329" spans="1:17">
      <c r="B329" s="22"/>
      <c r="D329" s="80"/>
      <c r="F329" s="56"/>
      <c r="G329" s="22"/>
      <c r="K329" s="22"/>
      <c r="L329" s="22"/>
      <c r="M329" s="22"/>
      <c r="N329" s="45"/>
    </row>
    <row r="330" spans="1:17">
      <c r="B330" s="22"/>
      <c r="C330" s="74" t="s">
        <v>295</v>
      </c>
      <c r="D330" s="80"/>
      <c r="F330" s="56"/>
      <c r="G330" s="22"/>
      <c r="H330" s="22">
        <f>H296*H324</f>
        <v>0</v>
      </c>
      <c r="I330" s="22">
        <f t="shared" ref="I330:M330" si="108">I296*I324</f>
        <v>40287.228720983156</v>
      </c>
      <c r="J330" s="22">
        <f t="shared" si="108"/>
        <v>41060.959196720942</v>
      </c>
      <c r="K330" s="22">
        <f t="shared" si="108"/>
        <v>41894.865778330204</v>
      </c>
      <c r="L330" s="22">
        <f t="shared" si="108"/>
        <v>42833.746892817086</v>
      </c>
      <c r="M330" s="22">
        <f t="shared" si="108"/>
        <v>10936.935528116675</v>
      </c>
      <c r="N330" s="45"/>
    </row>
    <row r="331" spans="1:17">
      <c r="C331" s="74" t="s">
        <v>296</v>
      </c>
      <c r="H331" s="22">
        <f t="shared" ref="H331:M331" si="109">H330*H72</f>
        <v>0</v>
      </c>
      <c r="I331" s="22">
        <f t="shared" si="109"/>
        <v>41476.735449863292</v>
      </c>
      <c r="J331" s="22">
        <f t="shared" si="109"/>
        <v>42273.310823015185</v>
      </c>
      <c r="K331" s="22">
        <f t="shared" si="109"/>
        <v>43131.839040849452</v>
      </c>
      <c r="L331" s="22">
        <f t="shared" si="109"/>
        <v>44098.441233175552</v>
      </c>
      <c r="M331" s="22">
        <f t="shared" si="109"/>
        <v>10958.459704352412</v>
      </c>
      <c r="N331" s="45"/>
    </row>
    <row r="332" spans="1:17">
      <c r="C332" s="74" t="s">
        <v>285</v>
      </c>
      <c r="D332" s="80"/>
      <c r="F332" s="56"/>
      <c r="G332" s="22"/>
      <c r="H332" s="22">
        <f t="shared" ref="H332:M332" si="110">H331/(1+WACC)^H297</f>
        <v>0</v>
      </c>
      <c r="I332" s="22">
        <f t="shared" si="110"/>
        <v>38604.556449984448</v>
      </c>
      <c r="J332" s="22">
        <f t="shared" si="110"/>
        <v>36621.342711891957</v>
      </c>
      <c r="K332" s="22">
        <f t="shared" si="110"/>
        <v>34777.629532526094</v>
      </c>
      <c r="L332" s="22">
        <f t="shared" si="110"/>
        <v>33094.760299182977</v>
      </c>
      <c r="M332" s="22">
        <f t="shared" si="110"/>
        <v>8077.8171170705828</v>
      </c>
      <c r="N332" s="45"/>
    </row>
    <row r="333" spans="1:17">
      <c r="C333" s="74" t="s">
        <v>286</v>
      </c>
      <c r="D333" s="80"/>
      <c r="F333" s="56">
        <f>SUM(H332:M332)</f>
        <v>151176.10611065608</v>
      </c>
      <c r="G333" s="22"/>
      <c r="K333" s="22"/>
      <c r="L333" s="22"/>
      <c r="M333" s="22"/>
      <c r="N333" s="45"/>
    </row>
    <row r="334" spans="1:17">
      <c r="D334" s="80"/>
      <c r="F334" s="56"/>
      <c r="G334" s="22"/>
      <c r="K334" s="22"/>
      <c r="L334" s="22"/>
      <c r="M334" s="22"/>
      <c r="N334" s="45"/>
    </row>
    <row r="335" spans="1:17" ht="21">
      <c r="C335" s="3" t="s">
        <v>283</v>
      </c>
      <c r="D335" s="80"/>
      <c r="F335" s="56"/>
      <c r="G335" s="22"/>
      <c r="K335" s="22"/>
      <c r="L335" s="22"/>
      <c r="M335" s="22"/>
      <c r="N335" s="45"/>
    </row>
    <row r="336" spans="1:17">
      <c r="C336" s="74" t="s">
        <v>282</v>
      </c>
      <c r="D336" s="80"/>
      <c r="E336" s="22">
        <f>H303+I303</f>
        <v>39804.815070220364</v>
      </c>
      <c r="F336" s="56"/>
      <c r="G336" s="22"/>
      <c r="K336" s="22"/>
      <c r="L336" s="22"/>
      <c r="M336" s="22"/>
      <c r="N336" s="45"/>
    </row>
    <row r="337" spans="3:14" ht="30">
      <c r="C337" s="54" t="s">
        <v>287</v>
      </c>
      <c r="D337" s="80"/>
      <c r="E337" s="22">
        <f>F333-D286</f>
        <v>1590.7287195222452</v>
      </c>
      <c r="F337" s="56"/>
      <c r="G337" s="22"/>
      <c r="K337" s="22"/>
      <c r="L337" s="22"/>
      <c r="M337" s="22"/>
      <c r="N337" s="45"/>
    </row>
    <row r="338" spans="3:14">
      <c r="D338" s="80"/>
      <c r="F338" s="56"/>
      <c r="G338" s="22"/>
      <c r="K338" s="22"/>
      <c r="L338" s="22"/>
      <c r="M338" s="22"/>
      <c r="N338" s="45"/>
    </row>
    <row r="339" spans="3:14" ht="21">
      <c r="C339" s="3" t="s">
        <v>298</v>
      </c>
      <c r="D339" s="80"/>
      <c r="F339" s="56"/>
      <c r="G339" s="22"/>
      <c r="K339" s="22"/>
      <c r="L339" s="22"/>
      <c r="M339" s="22"/>
      <c r="N339" s="45"/>
    </row>
    <row r="340" spans="3:14">
      <c r="C340" s="74" t="s">
        <v>299</v>
      </c>
      <c r="D340" s="80"/>
      <c r="F340" s="56"/>
      <c r="G340" s="22"/>
      <c r="H340" s="22">
        <f>IF(H303=0,0,H303/H296)</f>
        <v>0</v>
      </c>
      <c r="I340" s="22">
        <f>IF(I303=0,0,I303/I296)</f>
        <v>39804.815070220364</v>
      </c>
      <c r="K340" s="22"/>
      <c r="L340" s="22"/>
      <c r="M340" s="22"/>
      <c r="N340" s="45"/>
    </row>
    <row r="341" spans="3:14">
      <c r="C341" s="74" t="s">
        <v>300</v>
      </c>
      <c r="E341" s="31">
        <f>IF(G1=4,(1+H49)*(1+I49),(1+G49)*(1+H49))</f>
        <v>0.96715357430328885</v>
      </c>
    </row>
    <row r="342" spans="3:14">
      <c r="E342" s="60"/>
    </row>
    <row r="343" spans="3:14">
      <c r="E343" s="60"/>
    </row>
    <row r="344" spans="3:14">
      <c r="E344" s="60"/>
    </row>
    <row r="345" spans="3:14">
      <c r="E345" s="60"/>
    </row>
    <row r="346" spans="3:14">
      <c r="E346" s="60"/>
    </row>
    <row r="347" spans="3:14">
      <c r="E347" s="60"/>
    </row>
    <row r="348" spans="3:14">
      <c r="E348" s="60"/>
    </row>
    <row r="349" spans="3:14">
      <c r="E349" s="60"/>
    </row>
    <row r="350" spans="3:14">
      <c r="E350" s="60"/>
    </row>
    <row r="351" spans="3:14">
      <c r="E351" s="60"/>
    </row>
    <row r="352" spans="3:14">
      <c r="E352" s="60"/>
    </row>
    <row r="353" spans="5:5">
      <c r="E353" s="60"/>
    </row>
    <row r="354" spans="5:5">
      <c r="E354" s="60"/>
    </row>
    <row r="355" spans="5:5">
      <c r="E355" s="60"/>
    </row>
    <row r="356" spans="5:5">
      <c r="E356" s="60"/>
    </row>
    <row r="357" spans="5:5">
      <c r="E357" s="60"/>
    </row>
    <row r="358" spans="5:5">
      <c r="E358" s="60"/>
    </row>
    <row r="359" spans="5:5">
      <c r="E359" s="60"/>
    </row>
    <row r="360" spans="5:5">
      <c r="E360" s="60"/>
    </row>
    <row r="361" spans="5:5">
      <c r="E361" s="60"/>
    </row>
    <row r="362" spans="5:5">
      <c r="E362" s="60"/>
    </row>
    <row r="363" spans="5:5">
      <c r="E363" s="60"/>
    </row>
    <row r="364" spans="5:5">
      <c r="E364" s="60"/>
    </row>
    <row r="365" spans="5:5">
      <c r="E365" s="60"/>
    </row>
    <row r="366" spans="5:5">
      <c r="E366" s="60"/>
    </row>
    <row r="367" spans="5:5">
      <c r="E367" s="60"/>
    </row>
    <row r="368" spans="5:5">
      <c r="E368" s="60"/>
    </row>
    <row r="369" spans="5:5">
      <c r="E369" s="60"/>
    </row>
    <row r="370" spans="5:5">
      <c r="E370" s="60"/>
    </row>
    <row r="371" spans="5:5">
      <c r="E371" s="60"/>
    </row>
    <row r="372" spans="5:5">
      <c r="E372" s="60"/>
    </row>
    <row r="373" spans="5:5">
      <c r="E373" s="60"/>
    </row>
    <row r="374" spans="5:5">
      <c r="E374" s="60"/>
    </row>
    <row r="375" spans="5:5">
      <c r="E375" s="60"/>
    </row>
    <row r="376" spans="5:5">
      <c r="E376" s="60"/>
    </row>
    <row r="377" spans="5:5">
      <c r="E377" s="60"/>
    </row>
    <row r="378" spans="5:5">
      <c r="E378" s="60"/>
    </row>
    <row r="379" spans="5:5">
      <c r="E379" s="60"/>
    </row>
    <row r="380" spans="5:5">
      <c r="E380" s="60"/>
    </row>
    <row r="381" spans="5:5">
      <c r="E381" s="60"/>
    </row>
    <row r="382" spans="5:5">
      <c r="E382" s="60"/>
    </row>
    <row r="383" spans="5:5">
      <c r="E383" s="60"/>
    </row>
    <row r="384" spans="5:5">
      <c r="E384" s="60"/>
    </row>
    <row r="385" spans="5:5">
      <c r="E385" s="60"/>
    </row>
    <row r="386" spans="5:5">
      <c r="E386" s="60"/>
    </row>
    <row r="387" spans="5:5">
      <c r="E387" s="60"/>
    </row>
    <row r="388" spans="5:5">
      <c r="E388" s="60"/>
    </row>
    <row r="389" spans="5:5">
      <c r="E389" s="60"/>
    </row>
    <row r="390" spans="5:5">
      <c r="E390" s="60"/>
    </row>
    <row r="391" spans="5:5">
      <c r="E391" s="60"/>
    </row>
    <row r="392" spans="5:5">
      <c r="E392" s="60"/>
    </row>
    <row r="393" spans="5:5">
      <c r="E393" s="60"/>
    </row>
    <row r="394" spans="5:5">
      <c r="E394" s="60"/>
    </row>
    <row r="395" spans="5:5">
      <c r="E395" s="60"/>
    </row>
    <row r="396" spans="5:5">
      <c r="E396" s="60"/>
    </row>
    <row r="397" spans="5:5">
      <c r="E397" s="60"/>
    </row>
    <row r="398" spans="5:5">
      <c r="E398" s="60"/>
    </row>
    <row r="399" spans="5:5">
      <c r="E399" s="60"/>
    </row>
    <row r="400" spans="5:5">
      <c r="E400" s="60"/>
    </row>
    <row r="401" spans="5:5">
      <c r="E401" s="60"/>
    </row>
    <row r="402" spans="5:5">
      <c r="E402" s="60"/>
    </row>
    <row r="403" spans="5:5">
      <c r="E403" s="60"/>
    </row>
    <row r="404" spans="5:5">
      <c r="E404" s="60"/>
    </row>
    <row r="405" spans="5:5">
      <c r="E405" s="60"/>
    </row>
    <row r="406" spans="5:5">
      <c r="E406" s="60"/>
    </row>
    <row r="407" spans="5:5">
      <c r="E407" s="60"/>
    </row>
    <row r="408" spans="5:5">
      <c r="E408" s="60"/>
    </row>
    <row r="409" spans="5:5">
      <c r="E409" s="60"/>
    </row>
    <row r="410" spans="5:5">
      <c r="E410" s="60"/>
    </row>
    <row r="411" spans="5:5">
      <c r="E411" s="60"/>
    </row>
    <row r="412" spans="5:5">
      <c r="E412" s="60"/>
    </row>
    <row r="413" spans="5:5">
      <c r="E413" s="60"/>
    </row>
    <row r="414" spans="5:5">
      <c r="E414" s="60"/>
    </row>
    <row r="415" spans="5:5">
      <c r="E415" s="60"/>
    </row>
    <row r="416" spans="5:5">
      <c r="E416" s="60"/>
    </row>
    <row r="417" spans="5:5">
      <c r="E417" s="60"/>
    </row>
    <row r="418" spans="5:5">
      <c r="E418" s="60"/>
    </row>
    <row r="419" spans="5:5">
      <c r="E419" s="60"/>
    </row>
    <row r="420" spans="5:5">
      <c r="E420" s="60"/>
    </row>
    <row r="421" spans="5:5">
      <c r="E421" s="60"/>
    </row>
    <row r="422" spans="5:5">
      <c r="E422" s="60"/>
    </row>
    <row r="423" spans="5:5">
      <c r="E423" s="60"/>
    </row>
    <row r="424" spans="5:5">
      <c r="E424" s="60"/>
    </row>
    <row r="425" spans="5:5">
      <c r="E425" s="60"/>
    </row>
    <row r="426" spans="5:5">
      <c r="E426" s="60"/>
    </row>
    <row r="427" spans="5:5">
      <c r="E427" s="60"/>
    </row>
    <row r="428" spans="5:5">
      <c r="E428" s="60"/>
    </row>
    <row r="429" spans="5:5">
      <c r="E429" s="60"/>
    </row>
    <row r="430" spans="5:5">
      <c r="E430" s="60"/>
    </row>
    <row r="431" spans="5:5">
      <c r="E431" s="60"/>
    </row>
    <row r="432" spans="5:5">
      <c r="E432" s="60"/>
    </row>
    <row r="433" spans="5:5">
      <c r="E433" s="60"/>
    </row>
    <row r="434" spans="5:5">
      <c r="E434" s="60"/>
    </row>
    <row r="435" spans="5:5">
      <c r="E435" s="60"/>
    </row>
    <row r="436" spans="5:5">
      <c r="E436" s="60"/>
    </row>
    <row r="437" spans="5:5">
      <c r="E437" s="60"/>
    </row>
    <row r="438" spans="5:5">
      <c r="E438" s="60"/>
    </row>
    <row r="439" spans="5:5">
      <c r="E439" s="60"/>
    </row>
    <row r="440" spans="5:5">
      <c r="E440" s="60"/>
    </row>
    <row r="441" spans="5:5">
      <c r="E441" s="60"/>
    </row>
    <row r="442" spans="5:5">
      <c r="E442" s="60"/>
    </row>
    <row r="443" spans="5:5">
      <c r="E443" s="60"/>
    </row>
    <row r="444" spans="5:5">
      <c r="E444" s="60"/>
    </row>
    <row r="445" spans="5:5">
      <c r="E445" s="60"/>
    </row>
    <row r="446" spans="5:5">
      <c r="E446" s="60"/>
    </row>
    <row r="447" spans="5:5">
      <c r="E447" s="60"/>
    </row>
    <row r="448" spans="5:5">
      <c r="E448" s="60"/>
    </row>
    <row r="449" spans="5:5">
      <c r="E449" s="60"/>
    </row>
    <row r="450" spans="5:5">
      <c r="E450" s="60"/>
    </row>
    <row r="451" spans="5:5">
      <c r="E451" s="60"/>
    </row>
    <row r="452" spans="5:5">
      <c r="E452" s="60"/>
    </row>
    <row r="453" spans="5:5">
      <c r="E453" s="60"/>
    </row>
    <row r="454" spans="5:5">
      <c r="E454" s="60"/>
    </row>
    <row r="455" spans="5:5">
      <c r="E455" s="60"/>
    </row>
    <row r="456" spans="5:5">
      <c r="E456" s="60"/>
    </row>
    <row r="457" spans="5:5">
      <c r="E457" s="60"/>
    </row>
    <row r="458" spans="5:5">
      <c r="E458" s="60"/>
    </row>
    <row r="459" spans="5:5">
      <c r="E459" s="60"/>
    </row>
    <row r="460" spans="5:5">
      <c r="E460" s="60"/>
    </row>
    <row r="461" spans="5:5">
      <c r="E461" s="60"/>
    </row>
    <row r="462" spans="5:5">
      <c r="E462" s="60"/>
    </row>
    <row r="463" spans="5:5">
      <c r="E463" s="60"/>
    </row>
    <row r="464" spans="5:5">
      <c r="E464" s="60"/>
    </row>
    <row r="465" spans="5:5">
      <c r="E465" s="60"/>
    </row>
    <row r="466" spans="5:5">
      <c r="E466" s="60"/>
    </row>
    <row r="467" spans="5:5">
      <c r="E467" s="60"/>
    </row>
    <row r="468" spans="5:5">
      <c r="E468" s="60"/>
    </row>
    <row r="469" spans="5:5">
      <c r="E469" s="60"/>
    </row>
    <row r="470" spans="5:5">
      <c r="E470" s="60"/>
    </row>
    <row r="471" spans="5:5">
      <c r="E471" s="60"/>
    </row>
    <row r="472" spans="5:5">
      <c r="E472" s="60"/>
    </row>
    <row r="473" spans="5:5">
      <c r="E473" s="60"/>
    </row>
    <row r="474" spans="5:5">
      <c r="E474" s="60"/>
    </row>
    <row r="475" spans="5:5">
      <c r="E475" s="60"/>
    </row>
    <row r="476" spans="5:5">
      <c r="E476" s="60"/>
    </row>
    <row r="477" spans="5:5">
      <c r="E477" s="60"/>
    </row>
    <row r="478" spans="5:5">
      <c r="E478" s="60"/>
    </row>
    <row r="479" spans="5:5">
      <c r="E479" s="60"/>
    </row>
    <row r="480" spans="5:5">
      <c r="E480" s="60"/>
    </row>
    <row r="481" spans="5:5">
      <c r="E481" s="60"/>
    </row>
    <row r="482" spans="5:5">
      <c r="E482" s="60"/>
    </row>
    <row r="483" spans="5:5">
      <c r="E483" s="60"/>
    </row>
    <row r="484" spans="5:5">
      <c r="E484" s="60"/>
    </row>
    <row r="485" spans="5:5">
      <c r="E485" s="60"/>
    </row>
    <row r="486" spans="5:5">
      <c r="E486" s="60"/>
    </row>
    <row r="487" spans="5:5">
      <c r="E487" s="60"/>
    </row>
    <row r="488" spans="5:5">
      <c r="E488" s="60"/>
    </row>
    <row r="489" spans="5:5">
      <c r="E489" s="60"/>
    </row>
    <row r="490" spans="5:5">
      <c r="E490" s="60"/>
    </row>
    <row r="491" spans="5:5">
      <c r="E491" s="60"/>
    </row>
    <row r="492" spans="5:5">
      <c r="E492" s="60"/>
    </row>
    <row r="493" spans="5:5">
      <c r="E493" s="60"/>
    </row>
    <row r="494" spans="5:5">
      <c r="E494" s="60"/>
    </row>
    <row r="495" spans="5:5">
      <c r="E495" s="60"/>
    </row>
    <row r="496" spans="5:5">
      <c r="E496" s="60"/>
    </row>
    <row r="497" spans="5:5">
      <c r="E497" s="60"/>
    </row>
    <row r="498" spans="5:5">
      <c r="E498" s="60"/>
    </row>
    <row r="499" spans="5:5">
      <c r="E499" s="60"/>
    </row>
    <row r="500" spans="5:5">
      <c r="E500" s="60"/>
    </row>
    <row r="501" spans="5:5">
      <c r="E501" s="60"/>
    </row>
    <row r="502" spans="5:5">
      <c r="E502" s="60"/>
    </row>
    <row r="503" spans="5:5">
      <c r="E503" s="60"/>
    </row>
    <row r="504" spans="5:5">
      <c r="E504" s="60"/>
    </row>
    <row r="505" spans="5:5">
      <c r="E505" s="60"/>
    </row>
    <row r="506" spans="5:5">
      <c r="E506" s="60"/>
    </row>
    <row r="507" spans="5:5">
      <c r="E507" s="60"/>
    </row>
    <row r="508" spans="5:5">
      <c r="E508" s="60"/>
    </row>
    <row r="509" spans="5:5">
      <c r="E509" s="60"/>
    </row>
    <row r="510" spans="5:5">
      <c r="E510" s="60"/>
    </row>
    <row r="511" spans="5:5">
      <c r="E511" s="60"/>
    </row>
    <row r="512" spans="5:5">
      <c r="E512" s="60"/>
    </row>
    <row r="513" spans="5:5">
      <c r="E513" s="60"/>
    </row>
    <row r="514" spans="5:5">
      <c r="E514" s="60"/>
    </row>
    <row r="515" spans="5:5">
      <c r="E515" s="60"/>
    </row>
    <row r="516" spans="5:5">
      <c r="E516" s="60"/>
    </row>
    <row r="517" spans="5:5">
      <c r="E517" s="60"/>
    </row>
    <row r="518" spans="5:5">
      <c r="E518" s="60"/>
    </row>
    <row r="519" spans="5:5">
      <c r="E519" s="60"/>
    </row>
    <row r="520" spans="5:5">
      <c r="E520" s="60"/>
    </row>
    <row r="521" spans="5:5">
      <c r="E521" s="60"/>
    </row>
    <row r="522" spans="5:5">
      <c r="E522" s="60"/>
    </row>
    <row r="523" spans="5:5">
      <c r="E523" s="60"/>
    </row>
    <row r="524" spans="5:5">
      <c r="E524" s="60"/>
    </row>
    <row r="525" spans="5:5">
      <c r="E525" s="60"/>
    </row>
    <row r="526" spans="5:5">
      <c r="E526" s="60"/>
    </row>
    <row r="527" spans="5:5">
      <c r="E527" s="60"/>
    </row>
    <row r="528" spans="5:5">
      <c r="E528" s="60"/>
    </row>
    <row r="529" spans="5:5">
      <c r="E529" s="60"/>
    </row>
    <row r="530" spans="5:5">
      <c r="E530" s="60"/>
    </row>
    <row r="531" spans="5:5">
      <c r="E531" s="60"/>
    </row>
    <row r="532" spans="5:5">
      <c r="E532" s="60"/>
    </row>
    <row r="533" spans="5:5">
      <c r="E533" s="60"/>
    </row>
    <row r="534" spans="5:5">
      <c r="E534" s="60"/>
    </row>
    <row r="535" spans="5:5">
      <c r="E535" s="60"/>
    </row>
    <row r="536" spans="5:5">
      <c r="E536" s="60"/>
    </row>
    <row r="537" spans="5:5">
      <c r="E537" s="60"/>
    </row>
    <row r="538" spans="5:5">
      <c r="E538" s="60"/>
    </row>
    <row r="539" spans="5:5">
      <c r="E539" s="60"/>
    </row>
    <row r="540" spans="5:5">
      <c r="E540" s="60"/>
    </row>
    <row r="541" spans="5:5">
      <c r="E541" s="60"/>
    </row>
    <row r="542" spans="5:5">
      <c r="E542" s="60"/>
    </row>
    <row r="543" spans="5:5">
      <c r="E543" s="60"/>
    </row>
    <row r="544" spans="5:5">
      <c r="E544" s="60"/>
    </row>
    <row r="545" spans="5:5">
      <c r="E545" s="60"/>
    </row>
    <row r="546" spans="5:5">
      <c r="E546" s="60"/>
    </row>
    <row r="547" spans="5:5">
      <c r="E547" s="60"/>
    </row>
    <row r="548" spans="5:5">
      <c r="E548" s="60"/>
    </row>
    <row r="549" spans="5:5">
      <c r="E549" s="60"/>
    </row>
    <row r="550" spans="5:5">
      <c r="E550" s="60"/>
    </row>
    <row r="551" spans="5:5">
      <c r="E551" s="60"/>
    </row>
    <row r="552" spans="5:5">
      <c r="E552" s="60"/>
    </row>
    <row r="553" spans="5:5">
      <c r="E553" s="60"/>
    </row>
    <row r="554" spans="5:5">
      <c r="E554" s="60"/>
    </row>
    <row r="555" spans="5:5">
      <c r="E555" s="60"/>
    </row>
    <row r="556" spans="5:5">
      <c r="E556" s="60"/>
    </row>
    <row r="557" spans="5:5">
      <c r="E557" s="60"/>
    </row>
    <row r="558" spans="5:5">
      <c r="E558" s="60"/>
    </row>
    <row r="559" spans="5:5">
      <c r="E559" s="60"/>
    </row>
    <row r="560" spans="5:5">
      <c r="E560" s="60"/>
    </row>
    <row r="561" spans="5:5">
      <c r="E561" s="60"/>
    </row>
    <row r="562" spans="5:5">
      <c r="E562" s="60"/>
    </row>
    <row r="563" spans="5:5">
      <c r="E563" s="60"/>
    </row>
    <row r="564" spans="5:5">
      <c r="E564" s="60"/>
    </row>
    <row r="565" spans="5:5">
      <c r="E565" s="60"/>
    </row>
    <row r="566" spans="5:5">
      <c r="E566" s="60"/>
    </row>
    <row r="567" spans="5:5">
      <c r="E567" s="60"/>
    </row>
    <row r="568" spans="5:5">
      <c r="E568" s="60"/>
    </row>
    <row r="569" spans="5:5">
      <c r="E569" s="60"/>
    </row>
    <row r="570" spans="5:5">
      <c r="E570" s="60"/>
    </row>
    <row r="571" spans="5:5">
      <c r="E571" s="60"/>
    </row>
    <row r="572" spans="5:5">
      <c r="E572" s="60"/>
    </row>
    <row r="573" spans="5:5">
      <c r="E573" s="60"/>
    </row>
    <row r="574" spans="5:5">
      <c r="E574" s="60"/>
    </row>
    <row r="575" spans="5:5">
      <c r="E575" s="60"/>
    </row>
    <row r="576" spans="5:5">
      <c r="E576" s="60"/>
    </row>
    <row r="577" spans="5:5">
      <c r="E577" s="60"/>
    </row>
    <row r="578" spans="5:5">
      <c r="E578" s="60"/>
    </row>
    <row r="579" spans="5:5">
      <c r="E579" s="60"/>
    </row>
    <row r="580" spans="5:5">
      <c r="E580" s="60"/>
    </row>
    <row r="581" spans="5:5">
      <c r="E581" s="60"/>
    </row>
    <row r="582" spans="5:5">
      <c r="E582" s="60"/>
    </row>
    <row r="583" spans="5:5">
      <c r="E583" s="60"/>
    </row>
    <row r="584" spans="5:5">
      <c r="E584" s="60"/>
    </row>
    <row r="585" spans="5:5">
      <c r="E585" s="60"/>
    </row>
    <row r="586" spans="5:5">
      <c r="E586" s="60"/>
    </row>
    <row r="587" spans="5:5">
      <c r="E587" s="60"/>
    </row>
    <row r="588" spans="5:5">
      <c r="E588" s="60"/>
    </row>
    <row r="589" spans="5:5">
      <c r="E589" s="60"/>
    </row>
    <row r="590" spans="5:5">
      <c r="E590" s="60"/>
    </row>
    <row r="591" spans="5:5">
      <c r="E591" s="60"/>
    </row>
    <row r="592" spans="5:5">
      <c r="E592" s="60"/>
    </row>
    <row r="593" spans="5:5">
      <c r="E593" s="60"/>
    </row>
    <row r="594" spans="5:5">
      <c r="E594" s="60"/>
    </row>
    <row r="595" spans="5:5">
      <c r="E595" s="60"/>
    </row>
    <row r="596" spans="5:5">
      <c r="E596" s="60"/>
    </row>
    <row r="597" spans="5:5">
      <c r="E597" s="60"/>
    </row>
    <row r="598" spans="5:5">
      <c r="E598" s="60"/>
    </row>
    <row r="599" spans="5:5">
      <c r="E599" s="60"/>
    </row>
    <row r="600" spans="5:5">
      <c r="E600" s="60"/>
    </row>
    <row r="601" spans="5:5">
      <c r="E601" s="60"/>
    </row>
    <row r="602" spans="5:5">
      <c r="E602" s="60"/>
    </row>
    <row r="603" spans="5:5">
      <c r="E603" s="60"/>
    </row>
    <row r="604" spans="5:5">
      <c r="E604" s="60"/>
    </row>
    <row r="605" spans="5:5">
      <c r="E605" s="60"/>
    </row>
    <row r="606" spans="5:5">
      <c r="E606" s="60"/>
    </row>
    <row r="607" spans="5:5">
      <c r="E607" s="60"/>
    </row>
    <row r="608" spans="5:5">
      <c r="E608" s="60"/>
    </row>
    <row r="609" spans="5:5">
      <c r="E609" s="60"/>
    </row>
    <row r="610" spans="5:5">
      <c r="E610" s="60"/>
    </row>
    <row r="611" spans="5:5">
      <c r="E611" s="60"/>
    </row>
    <row r="612" spans="5:5">
      <c r="E612" s="60"/>
    </row>
    <row r="613" spans="5:5">
      <c r="E613" s="60"/>
    </row>
    <row r="614" spans="5:5">
      <c r="E614" s="60"/>
    </row>
    <row r="615" spans="5:5">
      <c r="E615" s="60"/>
    </row>
    <row r="616" spans="5:5">
      <c r="E616" s="60"/>
    </row>
    <row r="617" spans="5:5">
      <c r="E617" s="60"/>
    </row>
    <row r="618" spans="5:5">
      <c r="E618" s="60"/>
    </row>
    <row r="619" spans="5:5">
      <c r="E619" s="60"/>
    </row>
    <row r="620" spans="5:5">
      <c r="E620" s="60"/>
    </row>
    <row r="621" spans="5:5">
      <c r="E621" s="60"/>
    </row>
    <row r="622" spans="5:5">
      <c r="E622" s="60"/>
    </row>
    <row r="623" spans="5:5">
      <c r="E623" s="60"/>
    </row>
    <row r="624" spans="5:5">
      <c r="E624" s="60"/>
    </row>
    <row r="625" spans="5:5">
      <c r="E625" s="60"/>
    </row>
    <row r="626" spans="5:5">
      <c r="E626" s="60"/>
    </row>
    <row r="627" spans="5:5">
      <c r="E627" s="60"/>
    </row>
    <row r="628" spans="5:5">
      <c r="E628" s="60"/>
    </row>
    <row r="629" spans="5:5">
      <c r="E629" s="60"/>
    </row>
    <row r="630" spans="5:5">
      <c r="E630" s="60"/>
    </row>
    <row r="631" spans="5:5">
      <c r="E631" s="60"/>
    </row>
    <row r="632" spans="5:5">
      <c r="E632" s="60"/>
    </row>
    <row r="633" spans="5:5">
      <c r="E633" s="60"/>
    </row>
    <row r="634" spans="5:5">
      <c r="E634" s="60"/>
    </row>
    <row r="635" spans="5:5">
      <c r="E635" s="60"/>
    </row>
    <row r="636" spans="5:5">
      <c r="E636" s="60"/>
    </row>
    <row r="637" spans="5:5">
      <c r="E637" s="60"/>
    </row>
    <row r="638" spans="5:5">
      <c r="E638" s="60"/>
    </row>
    <row r="639" spans="5:5">
      <c r="E639" s="60"/>
    </row>
    <row r="640" spans="5:5">
      <c r="E640" s="60"/>
    </row>
    <row r="641" spans="5:5">
      <c r="E641" s="60"/>
    </row>
    <row r="642" spans="5:5">
      <c r="E642" s="60"/>
    </row>
    <row r="643" spans="5:5">
      <c r="E643" s="60"/>
    </row>
    <row r="644" spans="5:5">
      <c r="E644" s="60"/>
    </row>
    <row r="645" spans="5:5">
      <c r="E645" s="60"/>
    </row>
    <row r="646" spans="5:5">
      <c r="E646" s="60"/>
    </row>
    <row r="647" spans="5:5">
      <c r="E647" s="60"/>
    </row>
    <row r="648" spans="5:5">
      <c r="E648" s="60"/>
    </row>
    <row r="649" spans="5:5">
      <c r="E649" s="60"/>
    </row>
    <row r="650" spans="5:5">
      <c r="E650" s="60"/>
    </row>
    <row r="651" spans="5:5">
      <c r="E651" s="60"/>
    </row>
    <row r="652" spans="5:5">
      <c r="E652" s="60"/>
    </row>
    <row r="653" spans="5:5">
      <c r="E653" s="60"/>
    </row>
    <row r="654" spans="5:5">
      <c r="E654" s="60"/>
    </row>
    <row r="655" spans="5:5">
      <c r="E655" s="60"/>
    </row>
    <row r="656" spans="5:5">
      <c r="E656" s="60"/>
    </row>
    <row r="657" spans="5:5">
      <c r="E657" s="60"/>
    </row>
    <row r="658" spans="5:5">
      <c r="E658" s="60"/>
    </row>
    <row r="659" spans="5:5">
      <c r="E659" s="60"/>
    </row>
    <row r="660" spans="5:5">
      <c r="E660" s="60"/>
    </row>
    <row r="661" spans="5:5">
      <c r="E661" s="60"/>
    </row>
    <row r="662" spans="5:5">
      <c r="E662" s="60"/>
    </row>
    <row r="663" spans="5:5">
      <c r="E663" s="60"/>
    </row>
    <row r="664" spans="5:5">
      <c r="E664" s="60"/>
    </row>
    <row r="665" spans="5:5">
      <c r="E665" s="60"/>
    </row>
    <row r="666" spans="5:5">
      <c r="E666" s="60"/>
    </row>
    <row r="667" spans="5:5">
      <c r="E667" s="60"/>
    </row>
    <row r="668" spans="5:5">
      <c r="E668" s="60"/>
    </row>
    <row r="669" spans="5:5">
      <c r="E669" s="60"/>
    </row>
    <row r="670" spans="5:5">
      <c r="E670" s="60"/>
    </row>
    <row r="671" spans="5:5">
      <c r="E671" s="60"/>
    </row>
    <row r="672" spans="5:5">
      <c r="E672" s="60"/>
    </row>
    <row r="673" spans="5:5">
      <c r="E673" s="60"/>
    </row>
    <row r="674" spans="5:5">
      <c r="E674" s="60"/>
    </row>
    <row r="675" spans="5:5">
      <c r="E675" s="60"/>
    </row>
    <row r="676" spans="5:5">
      <c r="E676" s="60"/>
    </row>
    <row r="677" spans="5:5">
      <c r="E677" s="60"/>
    </row>
    <row r="678" spans="5:5">
      <c r="E678" s="60"/>
    </row>
    <row r="679" spans="5:5">
      <c r="E679" s="60"/>
    </row>
    <row r="680" spans="5:5">
      <c r="E680" s="60"/>
    </row>
    <row r="681" spans="5:5">
      <c r="E681" s="60"/>
    </row>
    <row r="682" spans="5:5">
      <c r="E682" s="60"/>
    </row>
    <row r="683" spans="5:5">
      <c r="E683" s="60"/>
    </row>
    <row r="684" spans="5:5">
      <c r="E684" s="60"/>
    </row>
    <row r="685" spans="5:5">
      <c r="E685" s="60"/>
    </row>
    <row r="686" spans="5:5">
      <c r="E686" s="60"/>
    </row>
    <row r="687" spans="5:5">
      <c r="E687" s="60"/>
    </row>
    <row r="688" spans="5:5">
      <c r="E688" s="60"/>
    </row>
    <row r="689" spans="5:5">
      <c r="E689" s="60"/>
    </row>
    <row r="690" spans="5:5">
      <c r="E690" s="60"/>
    </row>
    <row r="691" spans="5:5">
      <c r="E691" s="60"/>
    </row>
    <row r="692" spans="5:5">
      <c r="E692" s="60"/>
    </row>
    <row r="693" spans="5:5">
      <c r="E693" s="60"/>
    </row>
    <row r="694" spans="5:5">
      <c r="E694" s="60"/>
    </row>
    <row r="695" spans="5:5">
      <c r="E695" s="60"/>
    </row>
    <row r="696" spans="5:5">
      <c r="E696" s="60"/>
    </row>
    <row r="697" spans="5:5">
      <c r="E697" s="60"/>
    </row>
    <row r="698" spans="5:5">
      <c r="E698" s="60"/>
    </row>
    <row r="699" spans="5:5">
      <c r="E699" s="60"/>
    </row>
    <row r="700" spans="5:5">
      <c r="E700" s="60"/>
    </row>
    <row r="701" spans="5:5">
      <c r="E701" s="60"/>
    </row>
    <row r="702" spans="5:5">
      <c r="E702" s="60"/>
    </row>
    <row r="703" spans="5:5">
      <c r="E703" s="60"/>
    </row>
    <row r="704" spans="5:5">
      <c r="E704" s="60"/>
    </row>
    <row r="705" spans="5:5">
      <c r="E705" s="60"/>
    </row>
    <row r="706" spans="5:5">
      <c r="E706" s="60"/>
    </row>
    <row r="707" spans="5:5">
      <c r="E707" s="60"/>
    </row>
    <row r="708" spans="5:5">
      <c r="E708" s="60"/>
    </row>
    <row r="709" spans="5:5">
      <c r="E709" s="60"/>
    </row>
    <row r="710" spans="5:5">
      <c r="E710" s="60"/>
    </row>
    <row r="711" spans="5:5">
      <c r="E711" s="60"/>
    </row>
    <row r="712" spans="5:5">
      <c r="E712" s="60"/>
    </row>
    <row r="713" spans="5:5">
      <c r="E713" s="60"/>
    </row>
    <row r="714" spans="5:5">
      <c r="E714" s="60"/>
    </row>
    <row r="715" spans="5:5">
      <c r="E715" s="60"/>
    </row>
    <row r="716" spans="5:5">
      <c r="E716" s="60"/>
    </row>
    <row r="717" spans="5:5">
      <c r="E717" s="60"/>
    </row>
    <row r="718" spans="5:5">
      <c r="E718" s="60"/>
    </row>
    <row r="719" spans="5:5">
      <c r="E719" s="60"/>
    </row>
    <row r="720" spans="5:5">
      <c r="E720" s="60"/>
    </row>
    <row r="721" spans="5:5">
      <c r="E721" s="60"/>
    </row>
    <row r="722" spans="5:5">
      <c r="E722" s="60"/>
    </row>
    <row r="723" spans="5:5">
      <c r="E723" s="60"/>
    </row>
    <row r="724" spans="5:5">
      <c r="E724" s="60"/>
    </row>
    <row r="725" spans="5:5">
      <c r="E725" s="60"/>
    </row>
    <row r="726" spans="5:5">
      <c r="E726" s="60"/>
    </row>
    <row r="727" spans="5:5">
      <c r="E727" s="60"/>
    </row>
    <row r="728" spans="5:5">
      <c r="E728" s="60"/>
    </row>
    <row r="729" spans="5:5">
      <c r="E729" s="60"/>
    </row>
    <row r="730" spans="5:5">
      <c r="E730" s="60"/>
    </row>
    <row r="731" spans="5:5">
      <c r="E731" s="60"/>
    </row>
    <row r="732" spans="5:5">
      <c r="E732" s="60"/>
    </row>
    <row r="733" spans="5:5">
      <c r="E733" s="60"/>
    </row>
    <row r="734" spans="5:5">
      <c r="E734" s="60"/>
    </row>
    <row r="735" spans="5:5">
      <c r="E735" s="60"/>
    </row>
    <row r="736" spans="5:5">
      <c r="E736" s="60"/>
    </row>
    <row r="737" spans="5:5">
      <c r="E737" s="60"/>
    </row>
    <row r="738" spans="5:5">
      <c r="E738" s="60"/>
    </row>
    <row r="739" spans="5:5">
      <c r="E739" s="60"/>
    </row>
    <row r="740" spans="5:5">
      <c r="E740" s="60"/>
    </row>
    <row r="741" spans="5:5">
      <c r="E741" s="60"/>
    </row>
    <row r="742" spans="5:5">
      <c r="E742" s="60"/>
    </row>
    <row r="743" spans="5:5">
      <c r="E743" s="60"/>
    </row>
    <row r="744" spans="5:5">
      <c r="E744" s="60"/>
    </row>
    <row r="745" spans="5:5">
      <c r="E745" s="60"/>
    </row>
    <row r="746" spans="5:5">
      <c r="E746" s="60"/>
    </row>
    <row r="747" spans="5:5">
      <c r="E747" s="60"/>
    </row>
    <row r="748" spans="5:5">
      <c r="E748" s="60"/>
    </row>
    <row r="749" spans="5:5">
      <c r="E749" s="60"/>
    </row>
    <row r="750" spans="5:5">
      <c r="E750" s="60"/>
    </row>
    <row r="751" spans="5:5">
      <c r="E751" s="60"/>
    </row>
    <row r="752" spans="5:5">
      <c r="E752" s="60"/>
    </row>
    <row r="753" spans="5:5">
      <c r="E753" s="60"/>
    </row>
    <row r="754" spans="5:5">
      <c r="E754" s="60"/>
    </row>
    <row r="755" spans="5:5">
      <c r="E755" s="60"/>
    </row>
    <row r="756" spans="5:5">
      <c r="E756" s="60"/>
    </row>
    <row r="757" spans="5:5">
      <c r="E757" s="60"/>
    </row>
    <row r="758" spans="5:5">
      <c r="E758" s="60"/>
    </row>
    <row r="759" spans="5:5">
      <c r="E759" s="60"/>
    </row>
    <row r="760" spans="5:5">
      <c r="E760" s="60"/>
    </row>
    <row r="761" spans="5:5">
      <c r="E761" s="60"/>
    </row>
    <row r="762" spans="5:5">
      <c r="E762" s="60"/>
    </row>
    <row r="763" spans="5:5">
      <c r="E763" s="60"/>
    </row>
    <row r="764" spans="5:5">
      <c r="E764" s="60"/>
    </row>
    <row r="765" spans="5:5">
      <c r="E765" s="60"/>
    </row>
    <row r="766" spans="5:5">
      <c r="E766" s="60"/>
    </row>
    <row r="767" spans="5:5">
      <c r="E767" s="60"/>
    </row>
    <row r="768" spans="5:5">
      <c r="E768" s="60"/>
    </row>
    <row r="769" spans="5:5">
      <c r="E769" s="60"/>
    </row>
    <row r="770" spans="5:5">
      <c r="E770" s="60"/>
    </row>
    <row r="771" spans="5:5">
      <c r="E771" s="60"/>
    </row>
    <row r="772" spans="5:5">
      <c r="E772" s="60"/>
    </row>
    <row r="773" spans="5:5">
      <c r="E773" s="60"/>
    </row>
    <row r="774" spans="5:5">
      <c r="E774" s="60"/>
    </row>
    <row r="775" spans="5:5">
      <c r="E775" s="60"/>
    </row>
    <row r="776" spans="5:5">
      <c r="E776" s="60"/>
    </row>
    <row r="777" spans="5:5">
      <c r="E777" s="60"/>
    </row>
    <row r="778" spans="5:5">
      <c r="E778" s="60"/>
    </row>
    <row r="779" spans="5:5">
      <c r="E779" s="60"/>
    </row>
    <row r="780" spans="5:5">
      <c r="E780" s="60"/>
    </row>
    <row r="781" spans="5:5">
      <c r="E781" s="60"/>
    </row>
    <row r="782" spans="5:5">
      <c r="E782" s="60"/>
    </row>
    <row r="783" spans="5:5">
      <c r="E783" s="60"/>
    </row>
    <row r="784" spans="5:5">
      <c r="E784" s="60"/>
    </row>
    <row r="785" spans="5:5">
      <c r="E785" s="60"/>
    </row>
    <row r="786" spans="5:5">
      <c r="E786" s="60"/>
    </row>
    <row r="787" spans="5:5">
      <c r="E787" s="60"/>
    </row>
    <row r="788" spans="5:5">
      <c r="E788" s="60"/>
    </row>
    <row r="789" spans="5:5">
      <c r="E789" s="60"/>
    </row>
    <row r="790" spans="5:5">
      <c r="E790" s="60"/>
    </row>
    <row r="791" spans="5:5">
      <c r="E791" s="60"/>
    </row>
    <row r="792" spans="5:5">
      <c r="E792" s="60"/>
    </row>
    <row r="793" spans="5:5">
      <c r="E793" s="60"/>
    </row>
    <row r="794" spans="5:5">
      <c r="E794" s="60"/>
    </row>
    <row r="795" spans="5:5">
      <c r="E795" s="60"/>
    </row>
    <row r="796" spans="5:5">
      <c r="E796" s="60"/>
    </row>
    <row r="797" spans="5:5">
      <c r="E797" s="60"/>
    </row>
    <row r="798" spans="5:5">
      <c r="E798" s="60"/>
    </row>
    <row r="799" spans="5:5">
      <c r="E799" s="60"/>
    </row>
    <row r="800" spans="5:5">
      <c r="E800" s="60"/>
    </row>
    <row r="801" spans="5:5">
      <c r="E801" s="60"/>
    </row>
    <row r="802" spans="5:5">
      <c r="E802" s="60"/>
    </row>
    <row r="803" spans="5:5">
      <c r="E803" s="60"/>
    </row>
    <row r="804" spans="5:5">
      <c r="E804" s="60"/>
    </row>
    <row r="805" spans="5:5">
      <c r="E805" s="60"/>
    </row>
    <row r="806" spans="5:5">
      <c r="E806" s="60"/>
    </row>
    <row r="807" spans="5:5">
      <c r="E807" s="60"/>
    </row>
    <row r="808" spans="5:5">
      <c r="E808" s="60"/>
    </row>
    <row r="809" spans="5:5">
      <c r="E809" s="60"/>
    </row>
    <row r="810" spans="5:5">
      <c r="E810" s="60"/>
    </row>
    <row r="811" spans="5:5">
      <c r="E811" s="60"/>
    </row>
    <row r="812" spans="5:5">
      <c r="E812" s="60"/>
    </row>
    <row r="813" spans="5:5">
      <c r="E813" s="60"/>
    </row>
    <row r="814" spans="5:5">
      <c r="E814" s="60"/>
    </row>
    <row r="815" spans="5:5">
      <c r="E815" s="60"/>
    </row>
    <row r="816" spans="5:5">
      <c r="E816" s="60"/>
    </row>
    <row r="817" spans="5:5">
      <c r="E817" s="60"/>
    </row>
    <row r="818" spans="5:5">
      <c r="E818" s="60"/>
    </row>
    <row r="819" spans="5:5">
      <c r="E819" s="60"/>
    </row>
    <row r="820" spans="5:5">
      <c r="E820" s="60"/>
    </row>
    <row r="821" spans="5:5">
      <c r="E821" s="60"/>
    </row>
    <row r="822" spans="5:5">
      <c r="E822" s="60"/>
    </row>
    <row r="823" spans="5:5">
      <c r="E823" s="60"/>
    </row>
    <row r="824" spans="5:5">
      <c r="E824" s="60"/>
    </row>
    <row r="825" spans="5:5">
      <c r="E825" s="60"/>
    </row>
    <row r="826" spans="5:5">
      <c r="E826" s="60"/>
    </row>
    <row r="827" spans="5:5">
      <c r="E827" s="60"/>
    </row>
    <row r="828" spans="5:5">
      <c r="E828" s="60"/>
    </row>
    <row r="829" spans="5:5">
      <c r="E829" s="60"/>
    </row>
    <row r="830" spans="5:5">
      <c r="E830" s="60"/>
    </row>
    <row r="831" spans="5:5">
      <c r="E831" s="60"/>
    </row>
    <row r="832" spans="5:5">
      <c r="E832" s="60"/>
    </row>
    <row r="833" spans="5:5">
      <c r="E833" s="60"/>
    </row>
    <row r="834" spans="5:5">
      <c r="E834" s="60"/>
    </row>
    <row r="835" spans="5:5">
      <c r="E835" s="60"/>
    </row>
    <row r="836" spans="5:5">
      <c r="E836" s="60"/>
    </row>
    <row r="837" spans="5:5">
      <c r="E837" s="60"/>
    </row>
    <row r="838" spans="5:5">
      <c r="E838" s="60"/>
    </row>
    <row r="839" spans="5:5">
      <c r="E839" s="60"/>
    </row>
    <row r="840" spans="5:5">
      <c r="E840" s="60"/>
    </row>
    <row r="841" spans="5:5">
      <c r="E841" s="60"/>
    </row>
    <row r="842" spans="5:5">
      <c r="E842" s="60"/>
    </row>
    <row r="843" spans="5:5">
      <c r="E843" s="60"/>
    </row>
    <row r="844" spans="5:5">
      <c r="E844" s="60"/>
    </row>
    <row r="845" spans="5:5">
      <c r="E845" s="60"/>
    </row>
    <row r="846" spans="5:5">
      <c r="E846" s="60"/>
    </row>
    <row r="847" spans="5:5">
      <c r="E847" s="60"/>
    </row>
    <row r="848" spans="5:5">
      <c r="E848" s="60"/>
    </row>
  </sheetData>
  <conditionalFormatting sqref="F299:M307">
    <cfRule type="expression" dxfId="5" priority="3">
      <formula>#REF!=0</formula>
    </cfRule>
  </conditionalFormatting>
  <conditionalFormatting sqref="H340:I340">
    <cfRule type="expression" dxfId="4" priority="2">
      <formula>#REF!=0</formula>
    </cfRule>
  </conditionalFormatting>
  <conditionalFormatting sqref="E341">
    <cfRule type="expression" dxfId="3" priority="1">
      <formula>#REF!=0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51</vt:i4>
      </vt:variant>
    </vt:vector>
  </HeadingPairs>
  <TitlesOfParts>
    <vt:vector size="64" baseType="lpstr">
      <vt:lpstr>Cover</vt:lpstr>
      <vt:lpstr>Inputs</vt:lpstr>
      <vt:lpstr>Results</vt:lpstr>
      <vt:lpstr>IntraYr</vt:lpstr>
      <vt:lpstr>Data for charts</vt:lpstr>
      <vt:lpstr>GasNet</vt:lpstr>
      <vt:lpstr>Powerco</vt:lpstr>
      <vt:lpstr>Vector_Dist</vt:lpstr>
      <vt:lpstr>Maui</vt:lpstr>
      <vt:lpstr>Vector_Trans</vt:lpstr>
      <vt:lpstr>CPI</vt:lpstr>
      <vt:lpstr>Adjustments</vt:lpstr>
      <vt:lpstr>Revenues minus costs</vt:lpstr>
      <vt:lpstr>AllowedRevMths</vt:lpstr>
      <vt:lpstr>BBlockMths</vt:lpstr>
      <vt:lpstr>CapexBlockSupp</vt:lpstr>
      <vt:lpstr>CommAssetsBlock</vt:lpstr>
      <vt:lpstr>CommAssetsBlockSupp</vt:lpstr>
      <vt:lpstr>ConstPriceRevGrwth</vt:lpstr>
      <vt:lpstr>Debt</vt:lpstr>
      <vt:lpstr>GasNet!DeferredTaxBlock</vt:lpstr>
      <vt:lpstr>Maui!DeferredTaxBlock</vt:lpstr>
      <vt:lpstr>Powerco!DeferredTaxBlock</vt:lpstr>
      <vt:lpstr>Vector_Dist!DeferredTaxBlock</vt:lpstr>
      <vt:lpstr>Vector_Trans!DeferredTaxBlock</vt:lpstr>
      <vt:lpstr>Inputs_Anchor</vt:lpstr>
      <vt:lpstr>InputsBlock</vt:lpstr>
      <vt:lpstr>Leverage</vt:lpstr>
      <vt:lpstr>NamesAnchor</vt:lpstr>
      <vt:lpstr>GasNet!OIVdeferredTaxBlock</vt:lpstr>
      <vt:lpstr>Maui!OIVdeferredTaxBlock</vt:lpstr>
      <vt:lpstr>Powerco!OIVdeferredTaxBlock</vt:lpstr>
      <vt:lpstr>Vector_Dist!OIVdeferredTaxBlock</vt:lpstr>
      <vt:lpstr>Vector_Trans!OIVdeferredTaxBlock</vt:lpstr>
      <vt:lpstr>GasNet!OIVtarget</vt:lpstr>
      <vt:lpstr>Maui!OIVtarget</vt:lpstr>
      <vt:lpstr>Powerco!OIVtarget</vt:lpstr>
      <vt:lpstr>Vector_Dist!OIVtarget</vt:lpstr>
      <vt:lpstr>Vector_Trans!OIVtarget</vt:lpstr>
      <vt:lpstr>GasNet!OIVtaxpayableBlock</vt:lpstr>
      <vt:lpstr>Maui!OIVtaxpayableBlock</vt:lpstr>
      <vt:lpstr>Powerco!OIVtaxpayableBlock</vt:lpstr>
      <vt:lpstr>Vector_Dist!OIVtaxpayableBlock</vt:lpstr>
      <vt:lpstr>Vector_Trans!OIVtaxpayableBlock</vt:lpstr>
      <vt:lpstr>OpexBlock</vt:lpstr>
      <vt:lpstr>OpexBlockSupp</vt:lpstr>
      <vt:lpstr>GasNet!Print_Area</vt:lpstr>
      <vt:lpstr>Maui!Print_Area</vt:lpstr>
      <vt:lpstr>Powerco!Print_Area</vt:lpstr>
      <vt:lpstr>Vector_Dist!Print_Area</vt:lpstr>
      <vt:lpstr>Vector_Trans!Print_Area</vt:lpstr>
      <vt:lpstr>ResultsAnchor</vt:lpstr>
      <vt:lpstr>GasNet!TaxBlockTarget</vt:lpstr>
      <vt:lpstr>Maui!TaxBlockTarget</vt:lpstr>
      <vt:lpstr>Powerco!TaxBlockTarget</vt:lpstr>
      <vt:lpstr>Vector_Dist!TaxBlockTarget</vt:lpstr>
      <vt:lpstr>Vector_Trans!TaxBlockTarget</vt:lpstr>
      <vt:lpstr>GasNet!TaxPayableBlock</vt:lpstr>
      <vt:lpstr>Maui!TaxPayableBlock</vt:lpstr>
      <vt:lpstr>Powerco!TaxPayableBlock</vt:lpstr>
      <vt:lpstr>Vector_Dist!TaxPayableBlock</vt:lpstr>
      <vt:lpstr>Vector_Trans!TaxPayableBlock</vt:lpstr>
      <vt:lpstr>WACC</vt:lpstr>
      <vt:lpstr>X_industry_wide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Ware</dc:creator>
  <cp:lastModifiedBy>John McLaren</cp:lastModifiedBy>
  <cp:lastPrinted>2013-02-27T01:32:18Z</cp:lastPrinted>
  <dcterms:created xsi:type="dcterms:W3CDTF">2012-02-27T22:04:54Z</dcterms:created>
  <dcterms:modified xsi:type="dcterms:W3CDTF">2013-02-27T09:05:04Z</dcterms:modified>
</cp:coreProperties>
</file>