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NRPortbl\AIRPORT_DOCS\EMMARA\"/>
    </mc:Choice>
  </mc:AlternateContent>
  <bookViews>
    <workbookView xWindow="0" yWindow="0" windowWidth="20490" windowHeight="6255"/>
  </bookViews>
  <sheets>
    <sheet name="Sheet1" sheetId="1" r:id="rId1"/>
    <sheet name="Int Expense Proxy"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xlnm.Print_Area" localSheetId="0">Sheet1!$B$2:$Z$79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7" i="2" l="1"/>
  <c r="M7" i="2" s="1"/>
  <c r="N7" i="2" s="1"/>
  <c r="O7" i="2" s="1"/>
  <c r="K7" i="2"/>
  <c r="E4" i="2" l="1"/>
  <c r="F4" i="2"/>
  <c r="G4" i="2"/>
  <c r="H4" i="2"/>
  <c r="I4" i="2"/>
  <c r="J4" i="2"/>
  <c r="D4" i="2"/>
  <c r="H7" i="2"/>
  <c r="J6" i="2"/>
  <c r="I6" i="2"/>
  <c r="H6" i="2"/>
  <c r="G6" i="2"/>
  <c r="F6" i="2"/>
  <c r="E6" i="2"/>
  <c r="D6" i="2"/>
  <c r="J7" i="2"/>
  <c r="G7" i="2"/>
  <c r="F7" i="2"/>
  <c r="J3" i="2"/>
  <c r="I3" i="2"/>
  <c r="I7" i="2" s="1"/>
  <c r="H3" i="2"/>
  <c r="F3" i="2"/>
  <c r="E3" i="2"/>
  <c r="E7" i="2" s="1"/>
  <c r="D3" i="2"/>
  <c r="E2" i="2"/>
  <c r="F2" i="2" s="1"/>
  <c r="G2" i="2" s="1"/>
  <c r="H2" i="2" s="1"/>
  <c r="I2" i="2" s="1"/>
  <c r="J2" i="2" s="1"/>
  <c r="D7" i="2" l="1"/>
  <c r="D104" i="1" l="1"/>
  <c r="E104" i="1"/>
  <c r="F104" i="1"/>
  <c r="G104" i="1"/>
  <c r="H104" i="1"/>
  <c r="I104" i="1"/>
  <c r="J104" i="1"/>
  <c r="J30" i="1"/>
  <c r="J111" i="1" s="1"/>
  <c r="I16" i="1" l="1"/>
  <c r="H16" i="1"/>
  <c r="G16" i="1"/>
  <c r="F16" i="1"/>
  <c r="E16" i="1"/>
  <c r="D16" i="1"/>
  <c r="K104" i="1" l="1"/>
  <c r="L104" i="1" l="1"/>
  <c r="M104" i="1" l="1"/>
  <c r="N104" i="1" l="1"/>
  <c r="O104" i="1" l="1"/>
  <c r="O7" i="1" l="1"/>
  <c r="L30" i="1" l="1"/>
  <c r="L111" i="1" s="1"/>
  <c r="M30" i="1"/>
  <c r="M111" i="1" s="1"/>
  <c r="N30" i="1"/>
  <c r="N111" i="1" s="1"/>
  <c r="O30" i="1"/>
  <c r="O111" i="1" s="1"/>
  <c r="K30" i="1"/>
  <c r="K111" i="1" s="1"/>
  <c r="L29" i="1"/>
  <c r="M29" i="1"/>
  <c r="N29" i="1"/>
  <c r="O29" i="1"/>
  <c r="K29" i="1"/>
  <c r="O99" i="1" l="1"/>
  <c r="O96" i="1"/>
  <c r="L99" i="1"/>
  <c r="L96" i="1"/>
  <c r="K96" i="1"/>
  <c r="K99" i="1"/>
  <c r="N99" i="1"/>
  <c r="N96" i="1"/>
  <c r="M99" i="1"/>
  <c r="M96" i="1"/>
  <c r="K20" i="1"/>
  <c r="K110" i="1" s="1"/>
  <c r="L20" i="1" l="1"/>
  <c r="L110" i="1" s="1"/>
  <c r="K13" i="1"/>
  <c r="K27" i="1" l="1"/>
  <c r="K14" i="1"/>
  <c r="K28" i="1" l="1"/>
  <c r="K93" i="1" s="1"/>
  <c r="K90" i="1" l="1"/>
  <c r="L27" i="1"/>
  <c r="M20" i="1"/>
  <c r="M110" i="1" s="1"/>
  <c r="L13" i="1" l="1"/>
  <c r="L14" i="1" l="1"/>
  <c r="K7" i="1" l="1"/>
  <c r="N20" i="1"/>
  <c r="N110" i="1" s="1"/>
  <c r="M27" i="1" l="1"/>
  <c r="L28" i="1"/>
  <c r="M13" i="1"/>
  <c r="L93" i="1" l="1"/>
  <c r="L90" i="1"/>
  <c r="O20" i="1"/>
  <c r="O110" i="1" s="1"/>
  <c r="M14" i="1" l="1"/>
  <c r="N27" i="1" l="1"/>
  <c r="M28" i="1"/>
  <c r="L7" i="1"/>
  <c r="N13" i="1"/>
  <c r="M93" i="1" l="1"/>
  <c r="M90" i="1"/>
  <c r="N14" i="1"/>
  <c r="O13" i="1" l="1"/>
  <c r="O27" i="1" l="1"/>
  <c r="N28" i="1"/>
  <c r="M7" i="1"/>
  <c r="O14" i="1"/>
  <c r="N90" i="1" l="1"/>
  <c r="N93" i="1"/>
  <c r="N7" i="1"/>
  <c r="O28" i="1"/>
  <c r="O93" i="1" s="1"/>
  <c r="O90" i="1" l="1"/>
  <c r="D88" i="1"/>
  <c r="D109" i="1" s="1"/>
  <c r="D20" i="1"/>
  <c r="D28" i="1"/>
  <c r="D27" i="1"/>
  <c r="D30" i="1"/>
  <c r="D111" i="1" s="1"/>
  <c r="D29" i="1"/>
  <c r="D15" i="1"/>
  <c r="D14" i="1"/>
  <c r="D13" i="1"/>
  <c r="E30" i="1"/>
  <c r="E111" i="1" s="1"/>
  <c r="E29" i="1"/>
  <c r="E15" i="1"/>
  <c r="E14" i="1"/>
  <c r="E13" i="1"/>
  <c r="E7" i="1"/>
  <c r="E20" i="1"/>
  <c r="E28" i="1"/>
  <c r="E27" i="1"/>
  <c r="F20" i="1"/>
  <c r="F28" i="1"/>
  <c r="F27" i="1"/>
  <c r="F30" i="1"/>
  <c r="F111" i="1" s="1"/>
  <c r="F29" i="1"/>
  <c r="F15" i="1"/>
  <c r="F14" i="1"/>
  <c r="F13" i="1"/>
  <c r="F7" i="1"/>
  <c r="G28" i="1"/>
  <c r="G27" i="1"/>
  <c r="G20" i="1"/>
  <c r="G30" i="1"/>
  <c r="G111" i="1" s="1"/>
  <c r="G29" i="1"/>
  <c r="G15" i="1"/>
  <c r="G14" i="1"/>
  <c r="G13" i="1"/>
  <c r="G7" i="1"/>
  <c r="H30" i="1"/>
  <c r="H111" i="1" s="1"/>
  <c r="H29" i="1"/>
  <c r="F110" i="1" l="1"/>
  <c r="G110" i="1"/>
  <c r="D110" i="1"/>
  <c r="E110" i="1"/>
  <c r="G90" i="1"/>
  <c r="G93" i="1"/>
  <c r="F99" i="1"/>
  <c r="F96" i="1"/>
  <c r="E96" i="1"/>
  <c r="E99" i="1"/>
  <c r="F93" i="1"/>
  <c r="F90" i="1"/>
  <c r="E93" i="1"/>
  <c r="E90" i="1"/>
  <c r="H99" i="1"/>
  <c r="H96" i="1"/>
  <c r="G99" i="1"/>
  <c r="G96" i="1"/>
  <c r="D99" i="1"/>
  <c r="D96" i="1"/>
  <c r="D90" i="1"/>
  <c r="D93" i="1"/>
  <c r="H28" i="1"/>
  <c r="H27" i="1"/>
  <c r="H20" i="1"/>
  <c r="H15" i="1"/>
  <c r="H14" i="1"/>
  <c r="H13" i="1"/>
  <c r="H7" i="1"/>
  <c r="I30" i="1"/>
  <c r="I111" i="1" s="1"/>
  <c r="I29" i="1"/>
  <c r="I28" i="1"/>
  <c r="I27" i="1"/>
  <c r="E21" i="1"/>
  <c r="F21" i="1"/>
  <c r="G21" i="1"/>
  <c r="K21" i="1"/>
  <c r="L21" i="1"/>
  <c r="M21" i="1"/>
  <c r="N21" i="1"/>
  <c r="O21" i="1"/>
  <c r="D21" i="1"/>
  <c r="I20" i="1"/>
  <c r="I14" i="1"/>
  <c r="I15" i="1"/>
  <c r="I13" i="1"/>
  <c r="I7" i="1"/>
  <c r="J15" i="1"/>
  <c r="J29" i="1"/>
  <c r="J28" i="1"/>
  <c r="J27" i="1"/>
  <c r="I110" i="1" l="1"/>
  <c r="H9" i="1"/>
  <c r="H110" i="1"/>
  <c r="H90" i="1"/>
  <c r="H93" i="1"/>
  <c r="I99" i="1"/>
  <c r="I96" i="1"/>
  <c r="F9" i="1"/>
  <c r="E9" i="1"/>
  <c r="D9" i="1"/>
  <c r="J96" i="1"/>
  <c r="J99" i="1"/>
  <c r="J90" i="1"/>
  <c r="J93" i="1"/>
  <c r="I90" i="1"/>
  <c r="I93" i="1"/>
  <c r="I9" i="1"/>
  <c r="I21" i="1"/>
  <c r="H21" i="1"/>
  <c r="J20" i="1"/>
  <c r="J14" i="1"/>
  <c r="J13" i="1"/>
  <c r="J7" i="1"/>
  <c r="E88" i="1"/>
  <c r="E109" i="1" s="1"/>
  <c r="G9" i="1" l="1"/>
  <c r="J110" i="1"/>
  <c r="J9" i="1"/>
  <c r="E112" i="1"/>
  <c r="E17" i="1"/>
  <c r="F17" i="1"/>
  <c r="F112" i="1"/>
  <c r="I17" i="1"/>
  <c r="I112" i="1"/>
  <c r="H17" i="1"/>
  <c r="H112" i="1"/>
  <c r="D112" i="1"/>
  <c r="I95" i="1"/>
  <c r="I97" i="1" s="1"/>
  <c r="I89" i="1"/>
  <c r="I91" i="1" s="1"/>
  <c r="H31" i="1"/>
  <c r="H89" i="1"/>
  <c r="H91" i="1" s="1"/>
  <c r="H95" i="1"/>
  <c r="H97" i="1" s="1"/>
  <c r="D89" i="1"/>
  <c r="D91" i="1" s="1"/>
  <c r="D31" i="1"/>
  <c r="D95" i="1"/>
  <c r="D97" i="1" s="1"/>
  <c r="F95" i="1"/>
  <c r="F97" i="1" s="1"/>
  <c r="F89" i="1"/>
  <c r="F91" i="1" s="1"/>
  <c r="E89" i="1"/>
  <c r="E91" i="1" s="1"/>
  <c r="E95" i="1"/>
  <c r="E97" i="1" s="1"/>
  <c r="E31" i="1"/>
  <c r="F31" i="1"/>
  <c r="I31" i="1"/>
  <c r="J21" i="1"/>
  <c r="F88" i="1"/>
  <c r="F109" i="1" s="1"/>
  <c r="G31" i="1" l="1"/>
  <c r="G95" i="1"/>
  <c r="G97" i="1" s="1"/>
  <c r="G89" i="1"/>
  <c r="G91" i="1" s="1"/>
  <c r="G17" i="1"/>
  <c r="G23" i="1" s="1"/>
  <c r="G32" i="1" s="1"/>
  <c r="G112" i="1"/>
  <c r="I23" i="1"/>
  <c r="I92" i="1" s="1"/>
  <c r="I94" i="1" s="1"/>
  <c r="I101" i="1"/>
  <c r="H23" i="1"/>
  <c r="H98" i="1" s="1"/>
  <c r="H100" i="1" s="1"/>
  <c r="H101" i="1"/>
  <c r="F23" i="1"/>
  <c r="F32" i="1" s="1"/>
  <c r="F105" i="1" s="1"/>
  <c r="F106" i="1" s="1"/>
  <c r="F101" i="1"/>
  <c r="E23" i="1"/>
  <c r="E32" i="1" s="1"/>
  <c r="E105" i="1" s="1"/>
  <c r="E106" i="1" s="1"/>
  <c r="E101" i="1"/>
  <c r="K9" i="1"/>
  <c r="I32" i="1"/>
  <c r="I105" i="1" s="1"/>
  <c r="I106" i="1" s="1"/>
  <c r="G88" i="1"/>
  <c r="G109" i="1" s="1"/>
  <c r="D7" i="1"/>
  <c r="D17" i="1" s="1"/>
  <c r="D101" i="1" s="1"/>
  <c r="G105" i="1" l="1"/>
  <c r="G106" i="1" s="1"/>
  <c r="H102" i="1"/>
  <c r="H103" i="1"/>
  <c r="D102" i="1"/>
  <c r="D103" i="1"/>
  <c r="E102" i="1"/>
  <c r="E103" i="1"/>
  <c r="F102" i="1"/>
  <c r="F103" i="1"/>
  <c r="I102" i="1"/>
  <c r="I103" i="1"/>
  <c r="H92" i="1"/>
  <c r="H94" i="1" s="1"/>
  <c r="F98" i="1"/>
  <c r="F100" i="1" s="1"/>
  <c r="E98" i="1"/>
  <c r="E100" i="1" s="1"/>
  <c r="I98" i="1"/>
  <c r="I100" i="1" s="1"/>
  <c r="G101" i="1"/>
  <c r="E92" i="1"/>
  <c r="E94" i="1" s="1"/>
  <c r="F92" i="1"/>
  <c r="F94" i="1" s="1"/>
  <c r="G92" i="1"/>
  <c r="G94" i="1" s="1"/>
  <c r="H32" i="1"/>
  <c r="H105" i="1" s="1"/>
  <c r="H106" i="1" s="1"/>
  <c r="G98" i="1"/>
  <c r="G100" i="1" s="1"/>
  <c r="J17" i="1"/>
  <c r="J112" i="1"/>
  <c r="L9" i="1"/>
  <c r="J89" i="1"/>
  <c r="J91" i="1" s="1"/>
  <c r="J95" i="1"/>
  <c r="J97" i="1" s="1"/>
  <c r="J31" i="1"/>
  <c r="H88" i="1"/>
  <c r="H109" i="1" s="1"/>
  <c r="D23" i="1"/>
  <c r="G102" i="1" l="1"/>
  <c r="G103" i="1"/>
  <c r="J23" i="1"/>
  <c r="J92" i="1" s="1"/>
  <c r="J94" i="1" s="1"/>
  <c r="J101" i="1"/>
  <c r="M9" i="1"/>
  <c r="K112" i="1"/>
  <c r="K17" i="1"/>
  <c r="K95" i="1"/>
  <c r="K97" i="1" s="1"/>
  <c r="K89" i="1"/>
  <c r="K91" i="1" s="1"/>
  <c r="K31" i="1"/>
  <c r="D32" i="1"/>
  <c r="D105" i="1" s="1"/>
  <c r="D106" i="1" s="1"/>
  <c r="D98" i="1"/>
  <c r="D100" i="1" s="1"/>
  <c r="D92" i="1"/>
  <c r="D94" i="1" s="1"/>
  <c r="I88" i="1"/>
  <c r="I109" i="1" s="1"/>
  <c r="J102" i="1" l="1"/>
  <c r="J103" i="1"/>
  <c r="J98" i="1"/>
  <c r="J100" i="1" s="1"/>
  <c r="J32" i="1"/>
  <c r="J105" i="1" s="1"/>
  <c r="J106" i="1" s="1"/>
  <c r="K23" i="1"/>
  <c r="K92" i="1" s="1"/>
  <c r="K94" i="1" s="1"/>
  <c r="K101" i="1"/>
  <c r="N9" i="1"/>
  <c r="L112" i="1"/>
  <c r="L17" i="1"/>
  <c r="L95" i="1"/>
  <c r="L97" i="1" s="1"/>
  <c r="L89" i="1"/>
  <c r="L91" i="1" s="1"/>
  <c r="L31" i="1"/>
  <c r="J88" i="1"/>
  <c r="J109" i="1" s="1"/>
  <c r="K102" i="1" l="1"/>
  <c r="K103" i="1"/>
  <c r="K98" i="1"/>
  <c r="K100" i="1" s="1"/>
  <c r="K32" i="1"/>
  <c r="K105" i="1" s="1"/>
  <c r="K106" i="1" s="1"/>
  <c r="L23" i="1"/>
  <c r="L98" i="1" s="1"/>
  <c r="L100" i="1" s="1"/>
  <c r="L101" i="1"/>
  <c r="O9" i="1"/>
  <c r="M17" i="1"/>
  <c r="M112" i="1"/>
  <c r="M89" i="1"/>
  <c r="M91" i="1" s="1"/>
  <c r="M95" i="1"/>
  <c r="M97" i="1" s="1"/>
  <c r="M31" i="1"/>
  <c r="K88" i="1"/>
  <c r="K109" i="1" s="1"/>
  <c r="L102" i="1" l="1"/>
  <c r="L103" i="1"/>
  <c r="L32" i="1"/>
  <c r="L105" i="1" s="1"/>
  <c r="L106" i="1" s="1"/>
  <c r="M23" i="1"/>
  <c r="M98" i="1" s="1"/>
  <c r="M100" i="1" s="1"/>
  <c r="M101" i="1"/>
  <c r="L92" i="1"/>
  <c r="L94" i="1" s="1"/>
  <c r="N112" i="1"/>
  <c r="N17" i="1"/>
  <c r="O112" i="1"/>
  <c r="O17" i="1"/>
  <c r="O89" i="1"/>
  <c r="O91" i="1" s="1"/>
  <c r="O95" i="1"/>
  <c r="O97" i="1" s="1"/>
  <c r="N95" i="1"/>
  <c r="N97" i="1" s="1"/>
  <c r="N89" i="1"/>
  <c r="N91" i="1" s="1"/>
  <c r="O31" i="1"/>
  <c r="N31" i="1"/>
  <c r="L88" i="1"/>
  <c r="L109" i="1" s="1"/>
  <c r="M102" i="1" l="1"/>
  <c r="M103" i="1"/>
  <c r="M92" i="1"/>
  <c r="M94" i="1" s="1"/>
  <c r="M32" i="1"/>
  <c r="M105" i="1" s="1"/>
  <c r="M106" i="1" s="1"/>
  <c r="O23" i="1"/>
  <c r="O92" i="1" s="1"/>
  <c r="O94" i="1" s="1"/>
  <c r="O101" i="1"/>
  <c r="N23" i="1"/>
  <c r="N92" i="1" s="1"/>
  <c r="N94" i="1" s="1"/>
  <c r="N101" i="1"/>
  <c r="M88" i="1"/>
  <c r="M109" i="1" s="1"/>
  <c r="N102" i="1" l="1"/>
  <c r="N103" i="1"/>
  <c r="O102" i="1"/>
  <c r="O103" i="1"/>
  <c r="N32" i="1"/>
  <c r="N105" i="1" s="1"/>
  <c r="N106" i="1" s="1"/>
  <c r="O32" i="1"/>
  <c r="O105" i="1" s="1"/>
  <c r="O106" i="1" s="1"/>
  <c r="N98" i="1"/>
  <c r="N100" i="1" s="1"/>
  <c r="O98" i="1"/>
  <c r="O100" i="1" s="1"/>
  <c r="N88" i="1"/>
  <c r="N109" i="1" s="1"/>
  <c r="O88" i="1" l="1"/>
  <c r="O109" i="1" s="1"/>
</calcChain>
</file>

<file path=xl/sharedStrings.xml><?xml version="1.0" encoding="utf-8"?>
<sst xmlns="http://schemas.openxmlformats.org/spreadsheetml/2006/main" count="95" uniqueCount="69">
  <si>
    <t>PSE2</t>
  </si>
  <si>
    <t>PSE1</t>
  </si>
  <si>
    <t>PSE3</t>
  </si>
  <si>
    <t>Adjustments for:</t>
  </si>
  <si>
    <t>Cash flows from operating activities</t>
  </si>
  <si>
    <t>Cash flows from investing activities</t>
  </si>
  <si>
    <t>Other measures for operating leverage</t>
  </si>
  <si>
    <t>Opening RAB</t>
  </si>
  <si>
    <t>Closing RAB</t>
  </si>
  <si>
    <t>Schedule 4</t>
  </si>
  <si>
    <t>Opex</t>
  </si>
  <si>
    <t>Revenue</t>
  </si>
  <si>
    <t>Add back: Depreciation</t>
  </si>
  <si>
    <t>Remove: Revaluations</t>
  </si>
  <si>
    <t>Total capital expenditure</t>
  </si>
  <si>
    <t>Net cash flows from operating activities</t>
  </si>
  <si>
    <t>Net cash flows from investing activities</t>
  </si>
  <si>
    <t>Net cash flows from operating and investing</t>
  </si>
  <si>
    <t>Schedule 2</t>
  </si>
  <si>
    <t xml:space="preserve">Cash Flows </t>
  </si>
  <si>
    <t xml:space="preserve">Regulatory Profit / (Loss) </t>
  </si>
  <si>
    <t>TOTEX / Average RAB</t>
  </si>
  <si>
    <t>Operating leverage proxies</t>
  </si>
  <si>
    <t>Remove / add back : (Gains) / losses on sale of assets</t>
  </si>
  <si>
    <t>TOTEX / Revenue</t>
  </si>
  <si>
    <t>TOTEX</t>
  </si>
  <si>
    <t>Average RAB</t>
  </si>
  <si>
    <t>Data for charts</t>
  </si>
  <si>
    <t>Notes:</t>
  </si>
  <si>
    <t>1. FY11-17 historical aero interest expense estimated by taking that year's % share of aero and infrastructure capex of total capex</t>
  </si>
  <si>
    <t>Net Cash Flow</t>
  </si>
  <si>
    <t>3. Regulatory net operating income excluding gains / (losses) on sale of assets</t>
  </si>
  <si>
    <r>
      <t>Revenue</t>
    </r>
    <r>
      <rPr>
        <vertAlign val="superscript"/>
        <sz val="8"/>
        <color theme="1"/>
        <rFont val="Arial"/>
        <family val="2"/>
      </rPr>
      <t>3</t>
    </r>
  </si>
  <si>
    <t>Other</t>
  </si>
  <si>
    <t>Tax expense</t>
  </si>
  <si>
    <t>Calc</t>
  </si>
  <si>
    <t>check</t>
  </si>
  <si>
    <r>
      <t>TOTEX = Opex + Capex + Proxy Regulated Interest Expense</t>
    </r>
    <r>
      <rPr>
        <vertAlign val="superscript"/>
        <sz val="8"/>
        <color theme="1"/>
        <rFont val="Arial"/>
        <family val="2"/>
      </rPr>
      <t>4</t>
    </r>
  </si>
  <si>
    <t>4. TOTEX excludes tax expense</t>
  </si>
  <si>
    <t>Net Cash Flow / Average RAB</t>
  </si>
  <si>
    <t>Net Cash Flow / Revenue</t>
  </si>
  <si>
    <t>TOTEX Stack</t>
  </si>
  <si>
    <t>Capex</t>
  </si>
  <si>
    <t>Proxy Regulated Gross Interest</t>
  </si>
  <si>
    <r>
      <t>Proxy Regulated Gross Interest Expense Before Tax</t>
    </r>
    <r>
      <rPr>
        <vertAlign val="superscript"/>
        <sz val="8"/>
        <color theme="1"/>
        <rFont val="Arial"/>
        <family val="2"/>
      </rPr>
      <t>1,2</t>
    </r>
  </si>
  <si>
    <t>Tax impact</t>
  </si>
  <si>
    <t>FY11</t>
  </si>
  <si>
    <t>FY12</t>
  </si>
  <si>
    <t>FY13</t>
  </si>
  <si>
    <t>FY14</t>
  </si>
  <si>
    <t>FY15</t>
  </si>
  <si>
    <t>FY16</t>
  </si>
  <si>
    <t>FY17</t>
  </si>
  <si>
    <t>FY18</t>
  </si>
  <si>
    <t>FY19</t>
  </si>
  <si>
    <t>FY20</t>
  </si>
  <si>
    <t>FY21</t>
  </si>
  <si>
    <t>FY22</t>
  </si>
  <si>
    <t>Operating Cash Flow / Revenue</t>
  </si>
  <si>
    <t>Operating Cash Flow / RAB</t>
  </si>
  <si>
    <t>Operating Cash Flow</t>
  </si>
  <si>
    <t xml:space="preserve">2. Calculating TOTEX has required an assumption to be made about the interest cost associated with funding new regulated capex over PSE3.  For simplicity of this calculation, forecast regulated interest expense assumes new regulated capex is fully-funded by debt.  This is an assumption made for simplicity and only for the purpose of calculating these proxies.  Auckland Airport is continuing to explore its capital management levers for PSE3 as discussed further in our price setting disclosure published in August 2017. </t>
  </si>
  <si>
    <t>Proxy Regulated Gross Interest Expense Calculation</t>
  </si>
  <si>
    <t>Total AIA Capex</t>
  </si>
  <si>
    <t>Annual report</t>
  </si>
  <si>
    <t>Regulated Capex / Total Capex</t>
  </si>
  <si>
    <t>Cost of Debt - PSE3</t>
  </si>
  <si>
    <t>Gross Interest Expense</t>
  </si>
  <si>
    <r>
      <t>Proxy Regulated Gross Interest Expense</t>
    </r>
    <r>
      <rPr>
        <b/>
        <vertAlign val="superscript"/>
        <sz val="8"/>
        <color theme="1"/>
        <rFont val="Arial"/>
        <family val="2"/>
      </rPr>
      <t>1,2</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</si>
</sst>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_);\(#,##0\);&quot;-&quot;_);@_)"/>
    <numFmt numFmtId="165" formatCode="###0_);\(#,##0\);&quot;-&quot;_);@_)"/>
    <numFmt numFmtId="166" formatCode="0.0%"/>
    <numFmt numFmtId="167" formatCode="0.0%_);\(0.0%\);&quot;-%&quot;_);@_)"/>
    <numFmt numFmtId="168" formatCode="0.00%_);\(0.00%\);&quot;-%&quot;_);@_)"/>
  </numFmts>
  <fonts count="10" x14ac:knownFonts="1">
    <font>
      <sz val="11"/>
      <color theme="1"/>
      <name val="Calibri"/>
      <family val="2"/>
      <scheme val="minor"/>
    </font>
    <font>
      <sz val="10"/>
      <color theme="1"/>
      <name val="Arial"/>
      <family val="2"/>
    </font>
    <font>
      <b/>
      <sz val="10"/>
      <color theme="1"/>
      <name val="Arial"/>
      <family val="2"/>
    </font>
    <font>
      <b/>
      <sz val="10"/>
      <color theme="0"/>
      <name val="Arial"/>
      <family val="2"/>
    </font>
    <font>
      <sz val="10"/>
      <color theme="0"/>
      <name val="Arial"/>
      <family val="2"/>
    </font>
    <font>
      <vertAlign val="superscript"/>
      <sz val="8"/>
      <color theme="1"/>
      <name val="Arial"/>
      <family val="2"/>
    </font>
    <font>
      <i/>
      <sz val="10"/>
      <color theme="1"/>
      <name val="Arial"/>
      <family val="2"/>
    </font>
    <font>
      <b/>
      <i/>
      <sz val="10"/>
      <color theme="1"/>
      <name val="Arial"/>
      <family val="2"/>
    </font>
    <font>
      <sz val="11"/>
      <color theme="1"/>
      <name val="Calibri"/>
      <family val="2"/>
      <scheme val="minor"/>
    </font>
    <font>
      <b/>
      <vertAlign val="superscript"/>
      <sz val="8"/>
      <color theme="1"/>
      <name val="Arial"/>
      <family val="2"/>
    </font>
  </fonts>
  <fills count="5">
    <fill>
      <patternFill patternType="none"/>
    </fill>
    <fill>
      <patternFill patternType="gray125"/>
    </fill>
    <fill>
      <patternFill patternType="solid">
        <fgColor rgb="FF002060"/>
        <bgColor indexed="64"/>
      </patternFill>
    </fill>
    <fill>
      <patternFill patternType="solid">
        <fgColor theme="5" tint="0.79998168889431442"/>
        <bgColor indexed="64"/>
      </patternFill>
    </fill>
    <fill>
      <patternFill patternType="solid">
        <fgColor theme="0" tint="-0.14999847407452621"/>
        <bgColor indexed="64"/>
      </patternFill>
    </fill>
  </fills>
  <borders count="11">
    <border>
      <left/>
      <right/>
      <top/>
      <bottom/>
      <diagonal/>
    </border>
    <border>
      <left/>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8" fillId="0" borderId="0" applyFont="0" applyFill="0" applyBorder="0" applyAlignment="0" applyProtection="0"/>
  </cellStyleXfs>
  <cellXfs count="58">
    <xf numFmtId="0" fontId="0" fillId="0" borderId="0" xfId="0"/>
    <xf numFmtId="164" fontId="1" fillId="0" borderId="0" xfId="0" applyNumberFormat="1" applyFont="1"/>
    <xf numFmtId="0" fontId="1" fillId="0" borderId="0" xfId="0" applyFont="1"/>
    <xf numFmtId="164" fontId="2" fillId="0" borderId="0" xfId="0" applyNumberFormat="1" applyFont="1" applyAlignment="1">
      <alignment horizontal="right"/>
    </xf>
    <xf numFmtId="165" fontId="2" fillId="0" borderId="0" xfId="0" applyNumberFormat="1" applyFont="1"/>
    <xf numFmtId="0" fontId="2" fillId="0" borderId="0" xfId="0" applyFont="1"/>
    <xf numFmtId="164" fontId="2" fillId="0" borderId="0" xfId="0" applyNumberFormat="1" applyFont="1"/>
    <xf numFmtId="166" fontId="1" fillId="0" borderId="0" xfId="0" applyNumberFormat="1" applyFont="1"/>
    <xf numFmtId="0" fontId="1" fillId="0" borderId="0" xfId="0" applyFont="1" applyAlignment="1">
      <alignment horizontal="left" indent="1"/>
    </xf>
    <xf numFmtId="164" fontId="1" fillId="0" borderId="0" xfId="0" applyNumberFormat="1" applyFont="1" applyAlignment="1">
      <alignment horizontal="left" indent="1"/>
    </xf>
    <xf numFmtId="164" fontId="3" fillId="2" borderId="0" xfId="0" applyNumberFormat="1" applyFont="1" applyFill="1"/>
    <xf numFmtId="164" fontId="4" fillId="2" borderId="0" xfId="0" applyNumberFormat="1" applyFont="1" applyFill="1"/>
    <xf numFmtId="165" fontId="3" fillId="2" borderId="0" xfId="0" applyNumberFormat="1" applyFont="1" applyFill="1"/>
    <xf numFmtId="164" fontId="1" fillId="0" borderId="0" xfId="0" applyNumberFormat="1" applyFont="1" applyAlignment="1">
      <alignment horizontal="left"/>
    </xf>
    <xf numFmtId="0" fontId="1" fillId="0" borderId="0" xfId="0" applyFont="1" applyAlignment="1">
      <alignment horizontal="left"/>
    </xf>
    <xf numFmtId="164" fontId="2" fillId="0" borderId="1" xfId="0" applyNumberFormat="1" applyFont="1" applyBorder="1"/>
    <xf numFmtId="164" fontId="2" fillId="0" borderId="0" xfId="0" applyNumberFormat="1" applyFont="1" applyBorder="1"/>
    <xf numFmtId="164" fontId="1" fillId="0" borderId="0" xfId="0" applyNumberFormat="1" applyFont="1" applyBorder="1"/>
    <xf numFmtId="164" fontId="2" fillId="0" borderId="2" xfId="0" applyNumberFormat="1" applyFont="1" applyBorder="1"/>
    <xf numFmtId="164" fontId="1" fillId="0" borderId="0" xfId="0" applyNumberFormat="1" applyFont="1" applyBorder="1" applyAlignment="1">
      <alignment horizontal="left" indent="1"/>
    </xf>
    <xf numFmtId="167" fontId="1" fillId="0" borderId="0" xfId="0" applyNumberFormat="1" applyFont="1" applyAlignment="1">
      <alignment horizontal="right"/>
    </xf>
    <xf numFmtId="164" fontId="6" fillId="0" borderId="0" xfId="0" applyNumberFormat="1" applyFont="1"/>
    <xf numFmtId="164" fontId="1" fillId="0" borderId="0" xfId="0" applyNumberFormat="1" applyFont="1" applyFill="1"/>
    <xf numFmtId="164" fontId="2" fillId="0" borderId="0" xfId="0" applyNumberFormat="1" applyFont="1" applyFill="1"/>
    <xf numFmtId="0" fontId="1" fillId="0" borderId="0" xfId="0" applyFont="1" applyFill="1"/>
    <xf numFmtId="164" fontId="2" fillId="3" borderId="0" xfId="0" applyNumberFormat="1" applyFont="1" applyFill="1" applyAlignment="1">
      <alignment horizontal="right"/>
    </xf>
    <xf numFmtId="165" fontId="2" fillId="3" borderId="0" xfId="0" applyNumberFormat="1" applyFont="1" applyFill="1"/>
    <xf numFmtId="164" fontId="1" fillId="3" borderId="0" xfId="0" applyNumberFormat="1" applyFont="1" applyFill="1"/>
    <xf numFmtId="164" fontId="2" fillId="3" borderId="0" xfId="0" applyNumberFormat="1" applyFont="1" applyFill="1"/>
    <xf numFmtId="0" fontId="1" fillId="3" borderId="0" xfId="0" applyFont="1" applyFill="1"/>
    <xf numFmtId="164" fontId="2" fillId="3" borderId="2" xfId="0" applyNumberFormat="1" applyFont="1" applyFill="1" applyBorder="1"/>
    <xf numFmtId="164" fontId="2" fillId="3" borderId="1" xfId="0" applyNumberFormat="1" applyFont="1" applyFill="1" applyBorder="1"/>
    <xf numFmtId="167" fontId="1" fillId="3" borderId="0" xfId="0" applyNumberFormat="1" applyFont="1" applyFill="1" applyAlignment="1">
      <alignment horizontal="right"/>
    </xf>
    <xf numFmtId="164" fontId="7" fillId="0" borderId="0" xfId="0" applyNumberFormat="1" applyFont="1"/>
    <xf numFmtId="164" fontId="1" fillId="0" borderId="0" xfId="0" quotePrefix="1" applyNumberFormat="1" applyFont="1"/>
    <xf numFmtId="0" fontId="1" fillId="0" borderId="0" xfId="0" applyNumberFormat="1" applyFont="1"/>
    <xf numFmtId="166" fontId="1" fillId="0" borderId="0" xfId="0" applyNumberFormat="1" applyFont="1" applyAlignment="1">
      <alignment horizontal="right"/>
    </xf>
    <xf numFmtId="166" fontId="1" fillId="3" borderId="0" xfId="0" applyNumberFormat="1" applyFont="1" applyFill="1"/>
    <xf numFmtId="164" fontId="1" fillId="0" borderId="0" xfId="0" applyNumberFormat="1" applyFont="1" applyFill="1" applyAlignment="1">
      <alignment horizontal="left" indent="1"/>
    </xf>
    <xf numFmtId="9" fontId="1" fillId="0" borderId="0" xfId="1" applyFont="1" applyFill="1"/>
    <xf numFmtId="164" fontId="2" fillId="4" borderId="3" xfId="0" applyNumberFormat="1" applyFont="1" applyFill="1" applyBorder="1" applyAlignment="1">
      <alignment horizontal="left" indent="1"/>
    </xf>
    <xf numFmtId="164" fontId="1" fillId="4" borderId="2" xfId="0" applyNumberFormat="1" applyFont="1" applyFill="1" applyBorder="1"/>
    <xf numFmtId="165" fontId="2" fillId="4" borderId="2" xfId="0" applyNumberFormat="1" applyFont="1" applyFill="1" applyBorder="1"/>
    <xf numFmtId="164" fontId="1" fillId="4" borderId="4" xfId="0" applyNumberFormat="1" applyFont="1" applyFill="1" applyBorder="1"/>
    <xf numFmtId="0" fontId="1" fillId="4" borderId="5" xfId="0" applyFont="1" applyFill="1" applyBorder="1" applyAlignment="1">
      <alignment horizontal="left" indent="1"/>
    </xf>
    <xf numFmtId="164" fontId="1" fillId="4" borderId="0" xfId="0" applyNumberFormat="1" applyFont="1" applyFill="1" applyBorder="1"/>
    <xf numFmtId="164" fontId="1" fillId="4" borderId="6" xfId="0" applyNumberFormat="1" applyFont="1" applyFill="1" applyBorder="1"/>
    <xf numFmtId="164" fontId="1" fillId="4" borderId="5" xfId="0" applyNumberFormat="1" applyFont="1" applyFill="1" applyBorder="1" applyAlignment="1">
      <alignment horizontal="left" indent="1"/>
    </xf>
    <xf numFmtId="167" fontId="1" fillId="4" borderId="0" xfId="0" applyNumberFormat="1" applyFont="1" applyFill="1" applyBorder="1" applyAlignment="1">
      <alignment horizontal="right"/>
    </xf>
    <xf numFmtId="167" fontId="1" fillId="4" borderId="6" xfId="0" applyNumberFormat="1" applyFont="1" applyFill="1" applyBorder="1" applyAlignment="1">
      <alignment horizontal="right"/>
    </xf>
    <xf numFmtId="168" fontId="1" fillId="4" borderId="0" xfId="0" applyNumberFormat="1" applyFont="1" applyFill="1" applyBorder="1" applyAlignment="1">
      <alignment horizontal="right"/>
    </xf>
    <xf numFmtId="168" fontId="1" fillId="4" borderId="6" xfId="0" applyNumberFormat="1" applyFont="1" applyFill="1" applyBorder="1" applyAlignment="1">
      <alignment horizontal="right"/>
    </xf>
    <xf numFmtId="0" fontId="2" fillId="4" borderId="7" xfId="0" applyNumberFormat="1" applyFont="1" applyFill="1" applyBorder="1" applyAlignment="1">
      <alignment horizontal="left" indent="1"/>
    </xf>
    <xf numFmtId="164" fontId="1" fillId="4" borderId="8" xfId="0" applyNumberFormat="1" applyFont="1" applyFill="1" applyBorder="1"/>
    <xf numFmtId="164" fontId="1" fillId="4" borderId="9" xfId="0" applyNumberFormat="1" applyFont="1" applyFill="1" applyBorder="1"/>
    <xf numFmtId="164" fontId="1" fillId="4" borderId="10" xfId="0" applyNumberFormat="1" applyFont="1" applyFill="1" applyBorder="1"/>
    <xf numFmtId="9" fontId="0" fillId="0" borderId="0" xfId="0" applyNumberFormat="1"/>
    <xf numFmtId="49" fontId="6" fillId="0" borderId="0" xfId="0" applyNumberFormat="1" applyFont="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externalLink" Target="externalLinks/externalLink6.xml" Id="rId8" /><Relationship Type="http://schemas.openxmlformats.org/officeDocument/2006/relationships/styles" Target="styles.xml" Id="rId13" /><Relationship Type="http://schemas.openxmlformats.org/officeDocument/2006/relationships/externalLink" Target="externalLinks/externalLink1.xml" Id="rId3" /><Relationship Type="http://schemas.openxmlformats.org/officeDocument/2006/relationships/externalLink" Target="externalLinks/externalLink5.xml" Id="rId7" /><Relationship Type="http://schemas.openxmlformats.org/officeDocument/2006/relationships/theme" Target="theme/theme1.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externalLink" Target="externalLinks/externalLink4.xml" Id="rId6" /><Relationship Type="http://schemas.openxmlformats.org/officeDocument/2006/relationships/externalLink" Target="externalLinks/externalLink9.xml" Id="rId11" /><Relationship Type="http://schemas.openxmlformats.org/officeDocument/2006/relationships/externalLink" Target="externalLinks/externalLink3.xml" Id="rId5" /><Relationship Type="http://schemas.openxmlformats.org/officeDocument/2006/relationships/calcChain" Target="calcChain.xml" Id="rId15" /><Relationship Type="http://schemas.openxmlformats.org/officeDocument/2006/relationships/externalLink" Target="externalLinks/externalLink8.xml" Id="rId10" /><Relationship Type="http://schemas.openxmlformats.org/officeDocument/2006/relationships/externalLink" Target="externalLinks/externalLink2.xml" Id="rId4" /><Relationship Type="http://schemas.openxmlformats.org/officeDocument/2006/relationships/externalLink" Target="externalLinks/externalLink7.xml" Id="rId9" /><Relationship Type="http://schemas.openxmlformats.org/officeDocument/2006/relationships/sharedStrings" Target="sharedStrings.xml" Id="rId14" /><Relationship Type="http://schemas.openxmlformats.org/officeDocument/2006/relationships/customXml" Target="/customXML/item.xml" Id="Com.Interwoven.Worksite.OLELink.WorksiteLinks"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TOTEX / Average RAB</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Sheet1!$B$89:$C$89</c:f>
              <c:strCache>
                <c:ptCount val="2"/>
                <c:pt idx="0">
                  <c:v>TOTEX</c:v>
                </c:pt>
              </c:strCache>
            </c:strRef>
          </c:tx>
          <c:spPr>
            <a:ln w="28575" cap="rnd">
              <a:solidFill>
                <a:schemeClr val="accent2"/>
              </a:solidFill>
              <a:round/>
            </a:ln>
            <a:effectLst/>
          </c:spPr>
          <c:marker>
            <c:symbol val="none"/>
          </c:marker>
          <c:cat>
            <c:strRef>
              <c:f>Sheet1!$D$88:$O$88</c:f>
              <c:strCache>
                <c:ptCount val="12"/>
                <c:pt idx="0">
                  <c:v>FY11 </c:v>
                </c:pt>
                <c:pt idx="1">
                  <c:v>FY12 </c:v>
                </c:pt>
                <c:pt idx="2">
                  <c:v>FY13 </c:v>
                </c:pt>
                <c:pt idx="3">
                  <c:v>FY14 </c:v>
                </c:pt>
                <c:pt idx="4">
                  <c:v>FY15 </c:v>
                </c:pt>
                <c:pt idx="5">
                  <c:v>FY16 </c:v>
                </c:pt>
                <c:pt idx="6">
                  <c:v>FY17 </c:v>
                </c:pt>
                <c:pt idx="7">
                  <c:v>FY18 </c:v>
                </c:pt>
                <c:pt idx="8">
                  <c:v>FY19 </c:v>
                </c:pt>
                <c:pt idx="9">
                  <c:v>FY20 </c:v>
                </c:pt>
                <c:pt idx="10">
                  <c:v>FY21 </c:v>
                </c:pt>
                <c:pt idx="11">
                  <c:v>FY22 </c:v>
                </c:pt>
              </c:strCache>
            </c:strRef>
          </c:cat>
          <c:val>
            <c:numRef>
              <c:f>Sheet1!$D$89:$O$89</c:f>
              <c:numCache>
                <c:formatCode>#,##0_);\(#,##0\);"-"_);@_)</c:formatCode>
                <c:ptCount val="12"/>
                <c:pt idx="0">
                  <c:v>98199.807754150635</c:v>
                </c:pt>
                <c:pt idx="1">
                  <c:v>135393.72775574721</c:v>
                </c:pt>
                <c:pt idx="2">
                  <c:v>173870.16212941447</c:v>
                </c:pt>
                <c:pt idx="3">
                  <c:v>169416.47254064583</c:v>
                </c:pt>
                <c:pt idx="4">
                  <c:v>211462.21931294093</c:v>
                </c:pt>
                <c:pt idx="5">
                  <c:v>246748.80240175384</c:v>
                </c:pt>
                <c:pt idx="6">
                  <c:v>390661.29712736659</c:v>
                </c:pt>
                <c:pt idx="7">
                  <c:v>484372.0922976482</c:v>
                </c:pt>
                <c:pt idx="8">
                  <c:v>665103.52537020866</c:v>
                </c:pt>
                <c:pt idx="9">
                  <c:v>694167.58943740814</c:v>
                </c:pt>
                <c:pt idx="10">
                  <c:v>802524.42169090593</c:v>
                </c:pt>
                <c:pt idx="11">
                  <c:v>885775.18821273046</c:v>
                </c:pt>
              </c:numCache>
            </c:numRef>
          </c:val>
          <c:smooth val="0"/>
        </c:ser>
        <c:ser>
          <c:idx val="0"/>
          <c:order val="1"/>
          <c:tx>
            <c:strRef>
              <c:f>Sheet1!$B$90:$C$90</c:f>
              <c:strCache>
                <c:ptCount val="2"/>
                <c:pt idx="0">
                  <c:v>Average RAB</c:v>
                </c:pt>
              </c:strCache>
            </c:strRef>
          </c:tx>
          <c:spPr>
            <a:ln w="28575" cap="rnd">
              <a:solidFill>
                <a:schemeClr val="accent1"/>
              </a:solidFill>
              <a:round/>
            </a:ln>
            <a:effectLst/>
          </c:spPr>
          <c:marker>
            <c:symbol val="none"/>
          </c:marker>
          <c:cat>
            <c:strRef>
              <c:f>Sheet1!$D$88:$O$88</c:f>
              <c:strCache>
                <c:ptCount val="12"/>
                <c:pt idx="0">
                  <c:v>FY11 </c:v>
                </c:pt>
                <c:pt idx="1">
                  <c:v>FY12 </c:v>
                </c:pt>
                <c:pt idx="2">
                  <c:v>FY13 </c:v>
                </c:pt>
                <c:pt idx="3">
                  <c:v>FY14 </c:v>
                </c:pt>
                <c:pt idx="4">
                  <c:v>FY15 </c:v>
                </c:pt>
                <c:pt idx="5">
                  <c:v>FY16 </c:v>
                </c:pt>
                <c:pt idx="6">
                  <c:v>FY17 </c:v>
                </c:pt>
                <c:pt idx="7">
                  <c:v>FY18 </c:v>
                </c:pt>
                <c:pt idx="8">
                  <c:v>FY19 </c:v>
                </c:pt>
                <c:pt idx="9">
                  <c:v>FY20 </c:v>
                </c:pt>
                <c:pt idx="10">
                  <c:v>FY21 </c:v>
                </c:pt>
                <c:pt idx="11">
                  <c:v>FY22 </c:v>
                </c:pt>
              </c:strCache>
            </c:strRef>
          </c:cat>
          <c:val>
            <c:numRef>
              <c:f>Sheet1!$D$90:$O$90</c:f>
              <c:numCache>
                <c:formatCode>#,##0_);\(#,##0\);"-"_);@_)</c:formatCode>
                <c:ptCount val="12"/>
                <c:pt idx="0">
                  <c:v>1109608.4145349241</c:v>
                </c:pt>
                <c:pt idx="1">
                  <c:v>1128156.8244449976</c:v>
                </c:pt>
                <c:pt idx="2">
                  <c:v>1121973.0372990598</c:v>
                </c:pt>
                <c:pt idx="3">
                  <c:v>1135727.6262236154</c:v>
                </c:pt>
                <c:pt idx="4">
                  <c:v>1155270.6382631701</c:v>
                </c:pt>
                <c:pt idx="5">
                  <c:v>1178631.0067980853</c:v>
                </c:pt>
                <c:pt idx="6">
                  <c:v>1147241.0150194014</c:v>
                </c:pt>
                <c:pt idx="7">
                  <c:v>1316393.4038795829</c:v>
                </c:pt>
                <c:pt idx="8">
                  <c:v>1566005.4453346464</c:v>
                </c:pt>
                <c:pt idx="9">
                  <c:v>1874789.5489500577</c:v>
                </c:pt>
                <c:pt idx="10">
                  <c:v>2080708.1885112454</c:v>
                </c:pt>
                <c:pt idx="11">
                  <c:v>2239490.0778364111</c:v>
                </c:pt>
              </c:numCache>
            </c:numRef>
          </c:val>
          <c:smooth val="0"/>
        </c:ser>
        <c:dLbls>
          <c:showLegendKey val="0"/>
          <c:showVal val="0"/>
          <c:showCatName val="0"/>
          <c:showSerName val="0"/>
          <c:showPercent val="0"/>
          <c:showBubbleSize val="0"/>
        </c:dLbls>
        <c:marker val="1"/>
        <c:smooth val="0"/>
        <c:axId val="162850992"/>
        <c:axId val="162849032"/>
      </c:lineChart>
      <c:lineChart>
        <c:grouping val="standard"/>
        <c:varyColors val="0"/>
        <c:ser>
          <c:idx val="2"/>
          <c:order val="2"/>
          <c:tx>
            <c:strRef>
              <c:f>Sheet1!$B$91:$C$91</c:f>
              <c:strCache>
                <c:ptCount val="2"/>
                <c:pt idx="0">
                  <c:v>TOTEX / Average RAB</c:v>
                </c:pt>
              </c:strCache>
            </c:strRef>
          </c:tx>
          <c:spPr>
            <a:ln w="44450" cap="rnd">
              <a:solidFill>
                <a:schemeClr val="tx1"/>
              </a:solidFill>
              <a:round/>
            </a:ln>
            <a:effectLst/>
          </c:spPr>
          <c:marker>
            <c:symbol val="none"/>
          </c:marker>
          <c:cat>
            <c:strRef>
              <c:f>Sheet1!$D$88:$O$88</c:f>
              <c:strCache>
                <c:ptCount val="12"/>
                <c:pt idx="0">
                  <c:v>FY11 </c:v>
                </c:pt>
                <c:pt idx="1">
                  <c:v>FY12 </c:v>
                </c:pt>
                <c:pt idx="2">
                  <c:v>FY13 </c:v>
                </c:pt>
                <c:pt idx="3">
                  <c:v>FY14 </c:v>
                </c:pt>
                <c:pt idx="4">
                  <c:v>FY15 </c:v>
                </c:pt>
                <c:pt idx="5">
                  <c:v>FY16 </c:v>
                </c:pt>
                <c:pt idx="6">
                  <c:v>FY17 </c:v>
                </c:pt>
                <c:pt idx="7">
                  <c:v>FY18 </c:v>
                </c:pt>
                <c:pt idx="8">
                  <c:v>FY19 </c:v>
                </c:pt>
                <c:pt idx="9">
                  <c:v>FY20 </c:v>
                </c:pt>
                <c:pt idx="10">
                  <c:v>FY21 </c:v>
                </c:pt>
                <c:pt idx="11">
                  <c:v>FY22 </c:v>
                </c:pt>
              </c:strCache>
            </c:strRef>
          </c:cat>
          <c:val>
            <c:numRef>
              <c:f>Sheet1!$D$91:$O$91</c:f>
              <c:numCache>
                <c:formatCode>0.0%_);\(0.0%\);"-%"_);@_)</c:formatCode>
                <c:ptCount val="12"/>
                <c:pt idx="0">
                  <c:v>8.8499516106598411E-2</c:v>
                </c:pt>
                <c:pt idx="1">
                  <c:v>0.12001321520379477</c:v>
                </c:pt>
                <c:pt idx="2">
                  <c:v>0.1549682179065322</c:v>
                </c:pt>
                <c:pt idx="3">
                  <c:v>0.14916998462383896</c:v>
                </c:pt>
                <c:pt idx="4">
                  <c:v>0.18304128254384833</c:v>
                </c:pt>
                <c:pt idx="5">
                  <c:v>0.20935203721823101</c:v>
                </c:pt>
                <c:pt idx="6">
                  <c:v>0.3405224290388188</c:v>
                </c:pt>
                <c:pt idx="7">
                  <c:v>0.36795390410658435</c:v>
                </c:pt>
                <c:pt idx="8">
                  <c:v>0.42471341804822388</c:v>
                </c:pt>
                <c:pt idx="9">
                  <c:v>0.37026427303595982</c:v>
                </c:pt>
                <c:pt idx="10">
                  <c:v>0.38569772836099386</c:v>
                </c:pt>
                <c:pt idx="11">
                  <c:v>0.39552539079274907</c:v>
                </c:pt>
              </c:numCache>
            </c:numRef>
          </c:val>
          <c:smooth val="0"/>
        </c:ser>
        <c:dLbls>
          <c:showLegendKey val="0"/>
          <c:showVal val="0"/>
          <c:showCatName val="0"/>
          <c:showSerName val="0"/>
          <c:showPercent val="0"/>
          <c:showBubbleSize val="0"/>
        </c:dLbls>
        <c:marker val="1"/>
        <c:smooth val="0"/>
        <c:axId val="162851384"/>
        <c:axId val="162852560"/>
      </c:lineChart>
      <c:catAx>
        <c:axId val="162850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849032"/>
        <c:crosses val="autoZero"/>
        <c:auto val="1"/>
        <c:lblAlgn val="ctr"/>
        <c:lblOffset val="100"/>
        <c:noMultiLvlLbl val="0"/>
      </c:catAx>
      <c:valAx>
        <c:axId val="162849032"/>
        <c:scaling>
          <c:orientation val="minMax"/>
        </c:scaling>
        <c:delete val="0"/>
        <c:axPos val="l"/>
        <c:majorGridlines>
          <c:spPr>
            <a:ln w="9525" cap="flat" cmpd="sng" algn="ctr">
              <a:solidFill>
                <a:schemeClr val="tx1">
                  <a:lumMod val="15000"/>
                  <a:lumOff val="85000"/>
                </a:schemeClr>
              </a:solidFill>
              <a:round/>
            </a:ln>
            <a:effectLst/>
          </c:spPr>
        </c:majorGridlines>
        <c:numFmt formatCode="#,##0_);\(#,##0\);&quot;-&quot;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850992"/>
        <c:crosses val="autoZero"/>
        <c:crossBetween val="between"/>
      </c:valAx>
      <c:valAx>
        <c:axId val="162852560"/>
        <c:scaling>
          <c:orientation val="minMax"/>
        </c:scaling>
        <c:delete val="0"/>
        <c:axPos val="r"/>
        <c:numFmt formatCode="0.0%_);\(0.0%\);&quot;-%&quot;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851384"/>
        <c:crosses val="max"/>
        <c:crossBetween val="between"/>
      </c:valAx>
      <c:catAx>
        <c:axId val="162851384"/>
        <c:scaling>
          <c:orientation val="minMax"/>
        </c:scaling>
        <c:delete val="1"/>
        <c:axPos val="b"/>
        <c:numFmt formatCode="General" sourceLinked="1"/>
        <c:majorTickMark val="out"/>
        <c:minorTickMark val="none"/>
        <c:tickLblPos val="nextTo"/>
        <c:crossAx val="162852560"/>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Net cash flow / RAB</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Sheet1!$B$92:$C$92</c:f>
              <c:strCache>
                <c:ptCount val="2"/>
                <c:pt idx="0">
                  <c:v>Net Cash Flow</c:v>
                </c:pt>
              </c:strCache>
            </c:strRef>
          </c:tx>
          <c:spPr>
            <a:ln w="28575" cap="rnd">
              <a:solidFill>
                <a:schemeClr val="accent2"/>
              </a:solidFill>
              <a:round/>
            </a:ln>
            <a:effectLst/>
          </c:spPr>
          <c:marker>
            <c:symbol val="none"/>
          </c:marker>
          <c:cat>
            <c:strRef>
              <c:f>Sheet1!$D$88:$O$88</c:f>
              <c:strCache>
                <c:ptCount val="12"/>
                <c:pt idx="0">
                  <c:v>FY11 </c:v>
                </c:pt>
                <c:pt idx="1">
                  <c:v>FY12 </c:v>
                </c:pt>
                <c:pt idx="2">
                  <c:v>FY13 </c:v>
                </c:pt>
                <c:pt idx="3">
                  <c:v>FY14 </c:v>
                </c:pt>
                <c:pt idx="4">
                  <c:v>FY15 </c:v>
                </c:pt>
                <c:pt idx="5">
                  <c:v>FY16 </c:v>
                </c:pt>
                <c:pt idx="6">
                  <c:v>FY17 </c:v>
                </c:pt>
                <c:pt idx="7">
                  <c:v>FY18 </c:v>
                </c:pt>
                <c:pt idx="8">
                  <c:v>FY19 </c:v>
                </c:pt>
                <c:pt idx="9">
                  <c:v>FY20 </c:v>
                </c:pt>
                <c:pt idx="10">
                  <c:v>FY21 </c:v>
                </c:pt>
                <c:pt idx="11">
                  <c:v>FY22 </c:v>
                </c:pt>
              </c:strCache>
            </c:strRef>
          </c:cat>
          <c:val>
            <c:numRef>
              <c:f>Sheet1!$D$92:$O$92</c:f>
              <c:numCache>
                <c:formatCode>#,##0_);\(#,##0\);"-"_);@_)</c:formatCode>
                <c:ptCount val="12"/>
                <c:pt idx="0">
                  <c:v>89667.685039873904</c:v>
                </c:pt>
                <c:pt idx="1">
                  <c:v>65319.50125318057</c:v>
                </c:pt>
                <c:pt idx="2">
                  <c:v>36770.353696722974</c:v>
                </c:pt>
                <c:pt idx="3">
                  <c:v>52217.951414543655</c:v>
                </c:pt>
                <c:pt idx="4">
                  <c:v>29165.406476666758</c:v>
                </c:pt>
                <c:pt idx="5">
                  <c:v>15942.694583469376</c:v>
                </c:pt>
                <c:pt idx="6">
                  <c:v>-97514.496261970635</c:v>
                </c:pt>
                <c:pt idx="7">
                  <c:v>-176372.39710970916</c:v>
                </c:pt>
                <c:pt idx="8">
                  <c:v>-333274.90239186009</c:v>
                </c:pt>
                <c:pt idx="9">
                  <c:v>-338749.35532527143</c:v>
                </c:pt>
                <c:pt idx="10">
                  <c:v>-423795.22224120883</c:v>
                </c:pt>
                <c:pt idx="11">
                  <c:v>-481422.51271945337</c:v>
                </c:pt>
              </c:numCache>
            </c:numRef>
          </c:val>
          <c:smooth val="0"/>
        </c:ser>
        <c:ser>
          <c:idx val="0"/>
          <c:order val="1"/>
          <c:tx>
            <c:strRef>
              <c:f>Sheet1!$B$93:$C$93</c:f>
              <c:strCache>
                <c:ptCount val="2"/>
                <c:pt idx="0">
                  <c:v>Average RAB</c:v>
                </c:pt>
              </c:strCache>
            </c:strRef>
          </c:tx>
          <c:spPr>
            <a:ln w="28575" cap="rnd">
              <a:solidFill>
                <a:schemeClr val="accent1"/>
              </a:solidFill>
              <a:round/>
            </a:ln>
            <a:effectLst/>
          </c:spPr>
          <c:marker>
            <c:symbol val="none"/>
          </c:marker>
          <c:cat>
            <c:strRef>
              <c:f>Sheet1!$D$88:$O$88</c:f>
              <c:strCache>
                <c:ptCount val="12"/>
                <c:pt idx="0">
                  <c:v>FY11 </c:v>
                </c:pt>
                <c:pt idx="1">
                  <c:v>FY12 </c:v>
                </c:pt>
                <c:pt idx="2">
                  <c:v>FY13 </c:v>
                </c:pt>
                <c:pt idx="3">
                  <c:v>FY14 </c:v>
                </c:pt>
                <c:pt idx="4">
                  <c:v>FY15 </c:v>
                </c:pt>
                <c:pt idx="5">
                  <c:v>FY16 </c:v>
                </c:pt>
                <c:pt idx="6">
                  <c:v>FY17 </c:v>
                </c:pt>
                <c:pt idx="7">
                  <c:v>FY18 </c:v>
                </c:pt>
                <c:pt idx="8">
                  <c:v>FY19 </c:v>
                </c:pt>
                <c:pt idx="9">
                  <c:v>FY20 </c:v>
                </c:pt>
                <c:pt idx="10">
                  <c:v>FY21 </c:v>
                </c:pt>
                <c:pt idx="11">
                  <c:v>FY22 </c:v>
                </c:pt>
              </c:strCache>
            </c:strRef>
          </c:cat>
          <c:val>
            <c:numRef>
              <c:f>Sheet1!$D$93:$O$93</c:f>
              <c:numCache>
                <c:formatCode>#,##0_);\(#,##0\);"-"_);@_)</c:formatCode>
                <c:ptCount val="12"/>
                <c:pt idx="0">
                  <c:v>1109608.4145349241</c:v>
                </c:pt>
                <c:pt idx="1">
                  <c:v>1128156.8244449976</c:v>
                </c:pt>
                <c:pt idx="2">
                  <c:v>1121973.0372990598</c:v>
                </c:pt>
                <c:pt idx="3">
                  <c:v>1135727.6262236154</c:v>
                </c:pt>
                <c:pt idx="4">
                  <c:v>1155270.6382631701</c:v>
                </c:pt>
                <c:pt idx="5">
                  <c:v>1178631.0067980853</c:v>
                </c:pt>
                <c:pt idx="6">
                  <c:v>1147241.0150194014</c:v>
                </c:pt>
                <c:pt idx="7">
                  <c:v>1316393.4038795829</c:v>
                </c:pt>
                <c:pt idx="8">
                  <c:v>1566005.4453346464</c:v>
                </c:pt>
                <c:pt idx="9">
                  <c:v>1874789.5489500577</c:v>
                </c:pt>
                <c:pt idx="10">
                  <c:v>2080708.1885112454</c:v>
                </c:pt>
                <c:pt idx="11">
                  <c:v>2239490.0778364111</c:v>
                </c:pt>
              </c:numCache>
            </c:numRef>
          </c:val>
          <c:smooth val="0"/>
        </c:ser>
        <c:dLbls>
          <c:showLegendKey val="0"/>
          <c:showVal val="0"/>
          <c:showCatName val="0"/>
          <c:showSerName val="0"/>
          <c:showPercent val="0"/>
          <c:showBubbleSize val="0"/>
        </c:dLbls>
        <c:marker val="1"/>
        <c:smooth val="0"/>
        <c:axId val="162852952"/>
        <c:axId val="162853344"/>
      </c:lineChart>
      <c:lineChart>
        <c:grouping val="standard"/>
        <c:varyColors val="0"/>
        <c:ser>
          <c:idx val="2"/>
          <c:order val="2"/>
          <c:tx>
            <c:strRef>
              <c:f>Sheet1!$B$94:$C$94</c:f>
              <c:strCache>
                <c:ptCount val="2"/>
                <c:pt idx="0">
                  <c:v>Net Cash Flow / Average RAB</c:v>
                </c:pt>
              </c:strCache>
            </c:strRef>
          </c:tx>
          <c:spPr>
            <a:ln w="44450" cap="rnd">
              <a:solidFill>
                <a:schemeClr val="tx1"/>
              </a:solidFill>
              <a:round/>
            </a:ln>
            <a:effectLst/>
          </c:spPr>
          <c:marker>
            <c:symbol val="none"/>
          </c:marker>
          <c:cat>
            <c:strRef>
              <c:f>Sheet1!$D$88:$O$88</c:f>
              <c:strCache>
                <c:ptCount val="12"/>
                <c:pt idx="0">
                  <c:v>FY11 </c:v>
                </c:pt>
                <c:pt idx="1">
                  <c:v>FY12 </c:v>
                </c:pt>
                <c:pt idx="2">
                  <c:v>FY13 </c:v>
                </c:pt>
                <c:pt idx="3">
                  <c:v>FY14 </c:v>
                </c:pt>
                <c:pt idx="4">
                  <c:v>FY15 </c:v>
                </c:pt>
                <c:pt idx="5">
                  <c:v>FY16 </c:v>
                </c:pt>
                <c:pt idx="6">
                  <c:v>FY17 </c:v>
                </c:pt>
                <c:pt idx="7">
                  <c:v>FY18 </c:v>
                </c:pt>
                <c:pt idx="8">
                  <c:v>FY19 </c:v>
                </c:pt>
                <c:pt idx="9">
                  <c:v>FY20 </c:v>
                </c:pt>
                <c:pt idx="10">
                  <c:v>FY21 </c:v>
                </c:pt>
                <c:pt idx="11">
                  <c:v>FY22 </c:v>
                </c:pt>
              </c:strCache>
            </c:strRef>
          </c:cat>
          <c:val>
            <c:numRef>
              <c:f>Sheet1!$D$94:$O$94</c:f>
              <c:numCache>
                <c:formatCode>0.0%_);\(0.0%\);"-%"_);@_)</c:formatCode>
                <c:ptCount val="12"/>
                <c:pt idx="0">
                  <c:v>8.0810206434363416E-2</c:v>
                </c:pt>
                <c:pt idx="1">
                  <c:v>5.7899309597595018E-2</c:v>
                </c:pt>
                <c:pt idx="2">
                  <c:v>3.2772938808975943E-2</c:v>
                </c:pt>
                <c:pt idx="3">
                  <c:v>4.5977530359257432E-2</c:v>
                </c:pt>
                <c:pt idx="4">
                  <c:v>2.5245518678215461E-2</c:v>
                </c:pt>
                <c:pt idx="5">
                  <c:v>1.3526451019458515E-2</c:v>
                </c:pt>
                <c:pt idx="6">
                  <c:v>-8.4999137047346171E-2</c:v>
                </c:pt>
                <c:pt idx="7">
                  <c:v>-0.13398152603159263</c:v>
                </c:pt>
                <c:pt idx="8">
                  <c:v>-0.21281848245466423</c:v>
                </c:pt>
                <c:pt idx="9">
                  <c:v>-0.18068660320566751</c:v>
                </c:pt>
                <c:pt idx="10">
                  <c:v>-0.20367835556240874</c:v>
                </c:pt>
                <c:pt idx="11">
                  <c:v>-0.21496970113150018</c:v>
                </c:pt>
              </c:numCache>
            </c:numRef>
          </c:val>
          <c:smooth val="0"/>
        </c:ser>
        <c:dLbls>
          <c:showLegendKey val="0"/>
          <c:showVal val="0"/>
          <c:showCatName val="0"/>
          <c:showSerName val="0"/>
          <c:showPercent val="0"/>
          <c:showBubbleSize val="0"/>
        </c:dLbls>
        <c:marker val="1"/>
        <c:smooth val="0"/>
        <c:axId val="162854128"/>
        <c:axId val="162853736"/>
      </c:lineChart>
      <c:catAx>
        <c:axId val="162852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853344"/>
        <c:crosses val="autoZero"/>
        <c:auto val="1"/>
        <c:lblAlgn val="ctr"/>
        <c:lblOffset val="100"/>
        <c:noMultiLvlLbl val="0"/>
      </c:catAx>
      <c:valAx>
        <c:axId val="162853344"/>
        <c:scaling>
          <c:orientation val="minMax"/>
        </c:scaling>
        <c:delete val="0"/>
        <c:axPos val="l"/>
        <c:majorGridlines>
          <c:spPr>
            <a:ln w="9525" cap="flat" cmpd="sng" algn="ctr">
              <a:solidFill>
                <a:schemeClr val="tx1">
                  <a:lumMod val="15000"/>
                  <a:lumOff val="85000"/>
                </a:schemeClr>
              </a:solidFill>
              <a:round/>
            </a:ln>
            <a:effectLst/>
          </c:spPr>
        </c:majorGridlines>
        <c:numFmt formatCode="#,##0_);\(#,##0\);&quot;-&quot;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852952"/>
        <c:crosses val="autoZero"/>
        <c:crossBetween val="between"/>
      </c:valAx>
      <c:valAx>
        <c:axId val="162853736"/>
        <c:scaling>
          <c:orientation val="minMax"/>
        </c:scaling>
        <c:delete val="0"/>
        <c:axPos val="r"/>
        <c:numFmt formatCode="0.0%_);\(0.0%\);&quot;-%&quot;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854128"/>
        <c:crosses val="max"/>
        <c:crossBetween val="between"/>
      </c:valAx>
      <c:catAx>
        <c:axId val="162854128"/>
        <c:scaling>
          <c:orientation val="minMax"/>
        </c:scaling>
        <c:delete val="1"/>
        <c:axPos val="b"/>
        <c:numFmt formatCode="General" sourceLinked="1"/>
        <c:majorTickMark val="out"/>
        <c:minorTickMark val="none"/>
        <c:tickLblPos val="nextTo"/>
        <c:crossAx val="162853736"/>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TOTEX / Revenue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Sheet1!$B$95:$C$95</c:f>
              <c:strCache>
                <c:ptCount val="2"/>
                <c:pt idx="0">
                  <c:v>TOTEX</c:v>
                </c:pt>
              </c:strCache>
            </c:strRef>
          </c:tx>
          <c:spPr>
            <a:ln w="28575" cap="rnd">
              <a:solidFill>
                <a:schemeClr val="accent2"/>
              </a:solidFill>
              <a:round/>
            </a:ln>
            <a:effectLst/>
          </c:spPr>
          <c:marker>
            <c:symbol val="none"/>
          </c:marker>
          <c:cat>
            <c:strRef>
              <c:f>Sheet1!$D$88:$O$88</c:f>
              <c:strCache>
                <c:ptCount val="12"/>
                <c:pt idx="0">
                  <c:v>FY11 </c:v>
                </c:pt>
                <c:pt idx="1">
                  <c:v>FY12 </c:v>
                </c:pt>
                <c:pt idx="2">
                  <c:v>FY13 </c:v>
                </c:pt>
                <c:pt idx="3">
                  <c:v>FY14 </c:v>
                </c:pt>
                <c:pt idx="4">
                  <c:v>FY15 </c:v>
                </c:pt>
                <c:pt idx="5">
                  <c:v>FY16 </c:v>
                </c:pt>
                <c:pt idx="6">
                  <c:v>FY17 </c:v>
                </c:pt>
                <c:pt idx="7">
                  <c:v>FY18 </c:v>
                </c:pt>
                <c:pt idx="8">
                  <c:v>FY19 </c:v>
                </c:pt>
                <c:pt idx="9">
                  <c:v>FY20 </c:v>
                </c:pt>
                <c:pt idx="10">
                  <c:v>FY21 </c:v>
                </c:pt>
                <c:pt idx="11">
                  <c:v>FY22 </c:v>
                </c:pt>
              </c:strCache>
            </c:strRef>
          </c:cat>
          <c:val>
            <c:numRef>
              <c:f>Sheet1!$D$95:$O$95</c:f>
              <c:numCache>
                <c:formatCode>#,##0_);\(#,##0\);"-"_);@_)</c:formatCode>
                <c:ptCount val="12"/>
                <c:pt idx="0">
                  <c:v>98199.807754150635</c:v>
                </c:pt>
                <c:pt idx="1">
                  <c:v>135393.72775574721</c:v>
                </c:pt>
                <c:pt idx="2">
                  <c:v>173870.16212941447</c:v>
                </c:pt>
                <c:pt idx="3">
                  <c:v>169416.47254064583</c:v>
                </c:pt>
                <c:pt idx="4">
                  <c:v>211462.21931294093</c:v>
                </c:pt>
                <c:pt idx="5">
                  <c:v>246748.80240175384</c:v>
                </c:pt>
                <c:pt idx="6">
                  <c:v>390661.29712736659</c:v>
                </c:pt>
                <c:pt idx="7">
                  <c:v>484372.0922976482</c:v>
                </c:pt>
                <c:pt idx="8">
                  <c:v>665103.52537020866</c:v>
                </c:pt>
                <c:pt idx="9">
                  <c:v>694167.58943740814</c:v>
                </c:pt>
                <c:pt idx="10">
                  <c:v>802524.42169090593</c:v>
                </c:pt>
                <c:pt idx="11">
                  <c:v>885775.18821273046</c:v>
                </c:pt>
              </c:numCache>
            </c:numRef>
          </c:val>
          <c:smooth val="0"/>
        </c:ser>
        <c:ser>
          <c:idx val="0"/>
          <c:order val="1"/>
          <c:tx>
            <c:strRef>
              <c:f>Sheet1!$B$96:$C$96</c:f>
              <c:strCache>
                <c:ptCount val="2"/>
                <c:pt idx="0">
                  <c:v>Revenue</c:v>
                </c:pt>
              </c:strCache>
            </c:strRef>
          </c:tx>
          <c:spPr>
            <a:ln w="28575" cap="rnd">
              <a:solidFill>
                <a:schemeClr val="accent1"/>
              </a:solidFill>
              <a:round/>
            </a:ln>
            <a:effectLst/>
          </c:spPr>
          <c:marker>
            <c:symbol val="none"/>
          </c:marker>
          <c:cat>
            <c:strRef>
              <c:f>Sheet1!$D$88:$O$88</c:f>
              <c:strCache>
                <c:ptCount val="12"/>
                <c:pt idx="0">
                  <c:v>FY11 </c:v>
                </c:pt>
                <c:pt idx="1">
                  <c:v>FY12 </c:v>
                </c:pt>
                <c:pt idx="2">
                  <c:v>FY13 </c:v>
                </c:pt>
                <c:pt idx="3">
                  <c:v>FY14 </c:v>
                </c:pt>
                <c:pt idx="4">
                  <c:v>FY15 </c:v>
                </c:pt>
                <c:pt idx="5">
                  <c:v>FY16 </c:v>
                </c:pt>
                <c:pt idx="6">
                  <c:v>FY17 </c:v>
                </c:pt>
                <c:pt idx="7">
                  <c:v>FY18 </c:v>
                </c:pt>
                <c:pt idx="8">
                  <c:v>FY19 </c:v>
                </c:pt>
                <c:pt idx="9">
                  <c:v>FY20 </c:v>
                </c:pt>
                <c:pt idx="10">
                  <c:v>FY21 </c:v>
                </c:pt>
                <c:pt idx="11">
                  <c:v>FY22 </c:v>
                </c:pt>
              </c:strCache>
            </c:strRef>
          </c:cat>
          <c:val>
            <c:numRef>
              <c:f>Sheet1!$D$96:$O$96</c:f>
              <c:numCache>
                <c:formatCode>#,##0_);\(#,##0\);"-"_);@_)</c:formatCode>
                <c:ptCount val="12"/>
                <c:pt idx="0">
                  <c:v>209591.42983840714</c:v>
                </c:pt>
                <c:pt idx="1">
                  <c:v>220985.74300159694</c:v>
                </c:pt>
                <c:pt idx="2">
                  <c:v>230429.26132742688</c:v>
                </c:pt>
                <c:pt idx="3">
                  <c:v>247989.84064809643</c:v>
                </c:pt>
                <c:pt idx="4">
                  <c:v>265855.45047656709</c:v>
                </c:pt>
                <c:pt idx="5">
                  <c:v>290471.1143635913</c:v>
                </c:pt>
                <c:pt idx="6">
                  <c:v>326213.14915818162</c:v>
                </c:pt>
                <c:pt idx="7">
                  <c:v>334356.49423340772</c:v>
                </c:pt>
                <c:pt idx="8">
                  <c:v>350536.80667661648</c:v>
                </c:pt>
                <c:pt idx="9">
                  <c:v>365276.66582561919</c:v>
                </c:pt>
                <c:pt idx="10">
                  <c:v>382692.16787240724</c:v>
                </c:pt>
                <c:pt idx="11">
                  <c:v>401785.61827419186</c:v>
                </c:pt>
              </c:numCache>
            </c:numRef>
          </c:val>
          <c:smooth val="0"/>
        </c:ser>
        <c:dLbls>
          <c:showLegendKey val="0"/>
          <c:showVal val="0"/>
          <c:showCatName val="0"/>
          <c:showSerName val="0"/>
          <c:showPercent val="0"/>
          <c:showBubbleSize val="0"/>
        </c:dLbls>
        <c:marker val="1"/>
        <c:smooth val="0"/>
        <c:axId val="162854520"/>
        <c:axId val="162856088"/>
      </c:lineChart>
      <c:lineChart>
        <c:grouping val="standard"/>
        <c:varyColors val="0"/>
        <c:ser>
          <c:idx val="2"/>
          <c:order val="2"/>
          <c:tx>
            <c:strRef>
              <c:f>Sheet1!$B$97:$C$97</c:f>
              <c:strCache>
                <c:ptCount val="2"/>
                <c:pt idx="0">
                  <c:v>TOTEX / Revenue</c:v>
                </c:pt>
              </c:strCache>
            </c:strRef>
          </c:tx>
          <c:spPr>
            <a:ln w="44450" cap="rnd">
              <a:solidFill>
                <a:schemeClr val="tx1"/>
              </a:solidFill>
              <a:round/>
            </a:ln>
            <a:effectLst/>
          </c:spPr>
          <c:marker>
            <c:symbol val="none"/>
          </c:marker>
          <c:cat>
            <c:strRef>
              <c:f>Sheet1!$D$88:$O$88</c:f>
              <c:strCache>
                <c:ptCount val="12"/>
                <c:pt idx="0">
                  <c:v>FY11 </c:v>
                </c:pt>
                <c:pt idx="1">
                  <c:v>FY12 </c:v>
                </c:pt>
                <c:pt idx="2">
                  <c:v>FY13 </c:v>
                </c:pt>
                <c:pt idx="3">
                  <c:v>FY14 </c:v>
                </c:pt>
                <c:pt idx="4">
                  <c:v>FY15 </c:v>
                </c:pt>
                <c:pt idx="5">
                  <c:v>FY16 </c:v>
                </c:pt>
                <c:pt idx="6">
                  <c:v>FY17 </c:v>
                </c:pt>
                <c:pt idx="7">
                  <c:v>FY18 </c:v>
                </c:pt>
                <c:pt idx="8">
                  <c:v>FY19 </c:v>
                </c:pt>
                <c:pt idx="9">
                  <c:v>FY20 </c:v>
                </c:pt>
                <c:pt idx="10">
                  <c:v>FY21 </c:v>
                </c:pt>
                <c:pt idx="11">
                  <c:v>FY22 </c:v>
                </c:pt>
              </c:strCache>
            </c:strRef>
          </c:cat>
          <c:val>
            <c:numRef>
              <c:f>Sheet1!$D$97:$O$97</c:f>
              <c:numCache>
                <c:formatCode>0.0%_);\(0.0%\);"-%"_);@_)</c:formatCode>
                <c:ptCount val="12"/>
                <c:pt idx="0">
                  <c:v>0.46852969050242982</c:v>
                </c:pt>
                <c:pt idx="1">
                  <c:v>0.61268082690189107</c:v>
                </c:pt>
                <c:pt idx="2">
                  <c:v>0.75454897146224353</c:v>
                </c:pt>
                <c:pt idx="3">
                  <c:v>0.68315892335707373</c:v>
                </c:pt>
                <c:pt idx="4">
                  <c:v>0.79540298659996644</c:v>
                </c:pt>
                <c:pt idx="5">
                  <c:v>0.84947793498286051</c:v>
                </c:pt>
                <c:pt idx="6">
                  <c:v>1.1975645314589507</c:v>
                </c:pt>
                <c:pt idx="7">
                  <c:v>1.4486696105849151</c:v>
                </c:pt>
                <c:pt idx="8">
                  <c:v>1.8973857030191752</c:v>
                </c:pt>
                <c:pt idx="9">
                  <c:v>1.9003885393785307</c:v>
                </c:pt>
                <c:pt idx="10">
                  <c:v>2.0970495062717727</c:v>
                </c:pt>
                <c:pt idx="11">
                  <c:v>2.2045965508109551</c:v>
                </c:pt>
              </c:numCache>
            </c:numRef>
          </c:val>
          <c:smooth val="0"/>
        </c:ser>
        <c:dLbls>
          <c:showLegendKey val="0"/>
          <c:showVal val="0"/>
          <c:showCatName val="0"/>
          <c:showSerName val="0"/>
          <c:showPercent val="0"/>
          <c:showBubbleSize val="0"/>
        </c:dLbls>
        <c:marker val="1"/>
        <c:smooth val="0"/>
        <c:axId val="162850208"/>
        <c:axId val="162855696"/>
      </c:lineChart>
      <c:catAx>
        <c:axId val="162854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856088"/>
        <c:crosses val="autoZero"/>
        <c:auto val="1"/>
        <c:lblAlgn val="ctr"/>
        <c:lblOffset val="100"/>
        <c:noMultiLvlLbl val="0"/>
      </c:catAx>
      <c:valAx>
        <c:axId val="162856088"/>
        <c:scaling>
          <c:orientation val="minMax"/>
        </c:scaling>
        <c:delete val="0"/>
        <c:axPos val="l"/>
        <c:majorGridlines>
          <c:spPr>
            <a:ln w="9525" cap="flat" cmpd="sng" algn="ctr">
              <a:solidFill>
                <a:schemeClr val="tx1">
                  <a:lumMod val="15000"/>
                  <a:lumOff val="85000"/>
                </a:schemeClr>
              </a:solidFill>
              <a:round/>
            </a:ln>
            <a:effectLst/>
          </c:spPr>
        </c:majorGridlines>
        <c:numFmt formatCode="#,##0_);\(#,##0\);&quot;-&quot;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854520"/>
        <c:crosses val="autoZero"/>
        <c:crossBetween val="between"/>
      </c:valAx>
      <c:valAx>
        <c:axId val="162855696"/>
        <c:scaling>
          <c:orientation val="minMax"/>
        </c:scaling>
        <c:delete val="0"/>
        <c:axPos val="r"/>
        <c:numFmt formatCode="0.0%_);\(0.0%\);&quot;-%&quot;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850208"/>
        <c:crosses val="max"/>
        <c:crossBetween val="between"/>
      </c:valAx>
      <c:catAx>
        <c:axId val="162850208"/>
        <c:scaling>
          <c:orientation val="minMax"/>
        </c:scaling>
        <c:delete val="1"/>
        <c:axPos val="b"/>
        <c:numFmt formatCode="General" sourceLinked="1"/>
        <c:majorTickMark val="out"/>
        <c:minorTickMark val="none"/>
        <c:tickLblPos val="nextTo"/>
        <c:crossAx val="16285569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Net cash flow / Revenue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Sheet1!$B$98:$C$98</c:f>
              <c:strCache>
                <c:ptCount val="2"/>
                <c:pt idx="0">
                  <c:v>Net Cash Flow</c:v>
                </c:pt>
              </c:strCache>
            </c:strRef>
          </c:tx>
          <c:spPr>
            <a:ln w="28575" cap="rnd">
              <a:solidFill>
                <a:schemeClr val="accent2"/>
              </a:solidFill>
              <a:round/>
            </a:ln>
            <a:effectLst/>
          </c:spPr>
          <c:marker>
            <c:symbol val="none"/>
          </c:marker>
          <c:cat>
            <c:strRef>
              <c:f>Sheet1!$D$88:$O$88</c:f>
              <c:strCache>
                <c:ptCount val="12"/>
                <c:pt idx="0">
                  <c:v>FY11 </c:v>
                </c:pt>
                <c:pt idx="1">
                  <c:v>FY12 </c:v>
                </c:pt>
                <c:pt idx="2">
                  <c:v>FY13 </c:v>
                </c:pt>
                <c:pt idx="3">
                  <c:v>FY14 </c:v>
                </c:pt>
                <c:pt idx="4">
                  <c:v>FY15 </c:v>
                </c:pt>
                <c:pt idx="5">
                  <c:v>FY16 </c:v>
                </c:pt>
                <c:pt idx="6">
                  <c:v>FY17 </c:v>
                </c:pt>
                <c:pt idx="7">
                  <c:v>FY18 </c:v>
                </c:pt>
                <c:pt idx="8">
                  <c:v>FY19 </c:v>
                </c:pt>
                <c:pt idx="9">
                  <c:v>FY20 </c:v>
                </c:pt>
                <c:pt idx="10">
                  <c:v>FY21 </c:v>
                </c:pt>
                <c:pt idx="11">
                  <c:v>FY22 </c:v>
                </c:pt>
              </c:strCache>
            </c:strRef>
          </c:cat>
          <c:val>
            <c:numRef>
              <c:f>Sheet1!$D$98:$O$98</c:f>
              <c:numCache>
                <c:formatCode>#,##0_);\(#,##0\);"-"_);@_)</c:formatCode>
                <c:ptCount val="12"/>
                <c:pt idx="0">
                  <c:v>89667.685039873904</c:v>
                </c:pt>
                <c:pt idx="1">
                  <c:v>65319.50125318057</c:v>
                </c:pt>
                <c:pt idx="2">
                  <c:v>36770.353696722974</c:v>
                </c:pt>
                <c:pt idx="3">
                  <c:v>52217.951414543655</c:v>
                </c:pt>
                <c:pt idx="4">
                  <c:v>29165.406476666758</c:v>
                </c:pt>
                <c:pt idx="5">
                  <c:v>15942.694583469376</c:v>
                </c:pt>
                <c:pt idx="6">
                  <c:v>-97514.496261970635</c:v>
                </c:pt>
                <c:pt idx="7">
                  <c:v>-176372.39710970916</c:v>
                </c:pt>
                <c:pt idx="8">
                  <c:v>-333274.90239186009</c:v>
                </c:pt>
                <c:pt idx="9">
                  <c:v>-338749.35532527143</c:v>
                </c:pt>
                <c:pt idx="10">
                  <c:v>-423795.22224120883</c:v>
                </c:pt>
                <c:pt idx="11">
                  <c:v>-481422.51271945337</c:v>
                </c:pt>
              </c:numCache>
            </c:numRef>
          </c:val>
          <c:smooth val="0"/>
        </c:ser>
        <c:ser>
          <c:idx val="0"/>
          <c:order val="1"/>
          <c:tx>
            <c:strRef>
              <c:f>Sheet1!$B$99:$C$99</c:f>
              <c:strCache>
                <c:ptCount val="2"/>
                <c:pt idx="0">
                  <c:v>Revenue</c:v>
                </c:pt>
              </c:strCache>
            </c:strRef>
          </c:tx>
          <c:spPr>
            <a:ln w="28575" cap="rnd">
              <a:solidFill>
                <a:schemeClr val="accent1"/>
              </a:solidFill>
              <a:round/>
            </a:ln>
            <a:effectLst/>
          </c:spPr>
          <c:marker>
            <c:symbol val="none"/>
          </c:marker>
          <c:cat>
            <c:strRef>
              <c:f>Sheet1!$D$88:$O$88</c:f>
              <c:strCache>
                <c:ptCount val="12"/>
                <c:pt idx="0">
                  <c:v>FY11 </c:v>
                </c:pt>
                <c:pt idx="1">
                  <c:v>FY12 </c:v>
                </c:pt>
                <c:pt idx="2">
                  <c:v>FY13 </c:v>
                </c:pt>
                <c:pt idx="3">
                  <c:v>FY14 </c:v>
                </c:pt>
                <c:pt idx="4">
                  <c:v>FY15 </c:v>
                </c:pt>
                <c:pt idx="5">
                  <c:v>FY16 </c:v>
                </c:pt>
                <c:pt idx="6">
                  <c:v>FY17 </c:v>
                </c:pt>
                <c:pt idx="7">
                  <c:v>FY18 </c:v>
                </c:pt>
                <c:pt idx="8">
                  <c:v>FY19 </c:v>
                </c:pt>
                <c:pt idx="9">
                  <c:v>FY20 </c:v>
                </c:pt>
                <c:pt idx="10">
                  <c:v>FY21 </c:v>
                </c:pt>
                <c:pt idx="11">
                  <c:v>FY22 </c:v>
                </c:pt>
              </c:strCache>
            </c:strRef>
          </c:cat>
          <c:val>
            <c:numRef>
              <c:f>Sheet1!$D$99:$O$99</c:f>
              <c:numCache>
                <c:formatCode>#,##0_);\(#,##0\);"-"_);@_)</c:formatCode>
                <c:ptCount val="12"/>
                <c:pt idx="0">
                  <c:v>209591.42983840714</c:v>
                </c:pt>
                <c:pt idx="1">
                  <c:v>220985.74300159694</c:v>
                </c:pt>
                <c:pt idx="2">
                  <c:v>230429.26132742688</c:v>
                </c:pt>
                <c:pt idx="3">
                  <c:v>247989.84064809643</c:v>
                </c:pt>
                <c:pt idx="4">
                  <c:v>265855.45047656709</c:v>
                </c:pt>
                <c:pt idx="5">
                  <c:v>290471.1143635913</c:v>
                </c:pt>
                <c:pt idx="6">
                  <c:v>326213.14915818162</c:v>
                </c:pt>
                <c:pt idx="7">
                  <c:v>334356.49423340772</c:v>
                </c:pt>
                <c:pt idx="8">
                  <c:v>350536.80667661648</c:v>
                </c:pt>
                <c:pt idx="9">
                  <c:v>365276.66582561919</c:v>
                </c:pt>
                <c:pt idx="10">
                  <c:v>382692.16787240724</c:v>
                </c:pt>
                <c:pt idx="11">
                  <c:v>401785.61827419186</c:v>
                </c:pt>
              </c:numCache>
            </c:numRef>
          </c:val>
          <c:smooth val="0"/>
        </c:ser>
        <c:dLbls>
          <c:showLegendKey val="0"/>
          <c:showVal val="0"/>
          <c:showCatName val="0"/>
          <c:showSerName val="0"/>
          <c:showPercent val="0"/>
          <c:showBubbleSize val="0"/>
        </c:dLbls>
        <c:marker val="1"/>
        <c:smooth val="0"/>
        <c:axId val="162849424"/>
        <c:axId val="162850600"/>
      </c:lineChart>
      <c:lineChart>
        <c:grouping val="standard"/>
        <c:varyColors val="0"/>
        <c:ser>
          <c:idx val="2"/>
          <c:order val="2"/>
          <c:tx>
            <c:strRef>
              <c:f>Sheet1!$B$100:$C$100</c:f>
              <c:strCache>
                <c:ptCount val="2"/>
                <c:pt idx="0">
                  <c:v>Net Cash Flow / Revenue</c:v>
                </c:pt>
              </c:strCache>
            </c:strRef>
          </c:tx>
          <c:spPr>
            <a:ln w="44450" cap="rnd">
              <a:solidFill>
                <a:schemeClr val="tx1"/>
              </a:solidFill>
              <a:round/>
            </a:ln>
            <a:effectLst/>
          </c:spPr>
          <c:marker>
            <c:symbol val="none"/>
          </c:marker>
          <c:cat>
            <c:strRef>
              <c:f>Sheet1!$D$88:$O$88</c:f>
              <c:strCache>
                <c:ptCount val="12"/>
                <c:pt idx="0">
                  <c:v>FY11 </c:v>
                </c:pt>
                <c:pt idx="1">
                  <c:v>FY12 </c:v>
                </c:pt>
                <c:pt idx="2">
                  <c:v>FY13 </c:v>
                </c:pt>
                <c:pt idx="3">
                  <c:v>FY14 </c:v>
                </c:pt>
                <c:pt idx="4">
                  <c:v>FY15 </c:v>
                </c:pt>
                <c:pt idx="5">
                  <c:v>FY16 </c:v>
                </c:pt>
                <c:pt idx="6">
                  <c:v>FY17 </c:v>
                </c:pt>
                <c:pt idx="7">
                  <c:v>FY18 </c:v>
                </c:pt>
                <c:pt idx="8">
                  <c:v>FY19 </c:v>
                </c:pt>
                <c:pt idx="9">
                  <c:v>FY20 </c:v>
                </c:pt>
                <c:pt idx="10">
                  <c:v>FY21 </c:v>
                </c:pt>
                <c:pt idx="11">
                  <c:v>FY22 </c:v>
                </c:pt>
              </c:strCache>
            </c:strRef>
          </c:cat>
          <c:val>
            <c:numRef>
              <c:f>Sheet1!$D$100:$O$100</c:f>
              <c:numCache>
                <c:formatCode>0.0%</c:formatCode>
                <c:ptCount val="12"/>
                <c:pt idx="0">
                  <c:v>0.42782133367288339</c:v>
                </c:pt>
                <c:pt idx="1">
                  <c:v>0.29558242249459749</c:v>
                </c:pt>
                <c:pt idx="2">
                  <c:v>0.15957328285870079</c:v>
                </c:pt>
                <c:pt idx="3">
                  <c:v>0.21056488152126437</c:v>
                </c:pt>
                <c:pt idx="4">
                  <c:v>0.10970400051751973</c:v>
                </c:pt>
                <c:pt idx="5">
                  <c:v>5.4885645405392813E-2</c:v>
                </c:pt>
                <c:pt idx="6">
                  <c:v>-0.29892877253297229</c:v>
                </c:pt>
                <c:pt idx="7">
                  <c:v>-0.52749804520496923</c:v>
                </c:pt>
                <c:pt idx="8">
                  <c:v>-0.95075580094309142</c:v>
                </c:pt>
                <c:pt idx="9">
                  <c:v>-0.92737748402190101</c:v>
                </c:pt>
                <c:pt idx="10">
                  <c:v>-1.1074050054311686</c:v>
                </c:pt>
                <c:pt idx="11">
                  <c:v>-1.1982074290944746</c:v>
                </c:pt>
              </c:numCache>
            </c:numRef>
          </c:val>
          <c:smooth val="0"/>
        </c:ser>
        <c:dLbls>
          <c:showLegendKey val="0"/>
          <c:showVal val="0"/>
          <c:showCatName val="0"/>
          <c:showSerName val="0"/>
          <c:showPercent val="0"/>
          <c:showBubbleSize val="0"/>
        </c:dLbls>
        <c:marker val="1"/>
        <c:smooth val="0"/>
        <c:axId val="300379016"/>
        <c:axId val="300381368"/>
      </c:lineChart>
      <c:catAx>
        <c:axId val="162849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850600"/>
        <c:crosses val="autoZero"/>
        <c:auto val="1"/>
        <c:lblAlgn val="ctr"/>
        <c:lblOffset val="100"/>
        <c:noMultiLvlLbl val="0"/>
      </c:catAx>
      <c:valAx>
        <c:axId val="162850600"/>
        <c:scaling>
          <c:orientation val="minMax"/>
        </c:scaling>
        <c:delete val="0"/>
        <c:axPos val="l"/>
        <c:majorGridlines>
          <c:spPr>
            <a:ln w="9525" cap="flat" cmpd="sng" algn="ctr">
              <a:solidFill>
                <a:schemeClr val="tx1">
                  <a:lumMod val="15000"/>
                  <a:lumOff val="85000"/>
                </a:schemeClr>
              </a:solidFill>
              <a:round/>
            </a:ln>
            <a:effectLst/>
          </c:spPr>
        </c:majorGridlines>
        <c:numFmt formatCode="#,##0_);\(#,##0\);&quot;-&quot;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849424"/>
        <c:crosses val="autoZero"/>
        <c:crossBetween val="between"/>
      </c:valAx>
      <c:valAx>
        <c:axId val="300381368"/>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0379016"/>
        <c:crosses val="max"/>
        <c:crossBetween val="between"/>
      </c:valAx>
      <c:catAx>
        <c:axId val="300379016"/>
        <c:scaling>
          <c:orientation val="minMax"/>
        </c:scaling>
        <c:delete val="1"/>
        <c:axPos val="b"/>
        <c:numFmt formatCode="General" sourceLinked="1"/>
        <c:majorTickMark val="out"/>
        <c:minorTickMark val="none"/>
        <c:tickLblPos val="nextTo"/>
        <c:crossAx val="30038136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Breakdown of total expenditure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Sheet1!$B$110:$C$110</c:f>
              <c:strCache>
                <c:ptCount val="2"/>
                <c:pt idx="0">
                  <c:v>Capex</c:v>
                </c:pt>
              </c:strCache>
            </c:strRef>
          </c:tx>
          <c:spPr>
            <a:solidFill>
              <a:schemeClr val="accent1"/>
            </a:solidFill>
            <a:ln>
              <a:noFill/>
            </a:ln>
            <a:effectLst/>
          </c:spPr>
          <c:invertIfNegative val="0"/>
          <c:cat>
            <c:strRef>
              <c:f>Sheet1!$D$109:$O$109</c:f>
              <c:strCache>
                <c:ptCount val="12"/>
                <c:pt idx="0">
                  <c:v>FY11 </c:v>
                </c:pt>
                <c:pt idx="1">
                  <c:v>FY12 </c:v>
                </c:pt>
                <c:pt idx="2">
                  <c:v>FY13 </c:v>
                </c:pt>
                <c:pt idx="3">
                  <c:v>FY14 </c:v>
                </c:pt>
                <c:pt idx="4">
                  <c:v>FY15 </c:v>
                </c:pt>
                <c:pt idx="5">
                  <c:v>FY16 </c:v>
                </c:pt>
                <c:pt idx="6">
                  <c:v>FY17 </c:v>
                </c:pt>
                <c:pt idx="7">
                  <c:v>FY18 </c:v>
                </c:pt>
                <c:pt idx="8">
                  <c:v>FY19 </c:v>
                </c:pt>
                <c:pt idx="9">
                  <c:v>FY20 </c:v>
                </c:pt>
                <c:pt idx="10">
                  <c:v>FY21 </c:v>
                </c:pt>
                <c:pt idx="11">
                  <c:v>FY22 </c:v>
                </c:pt>
              </c:strCache>
            </c:strRef>
          </c:cat>
          <c:val>
            <c:numRef>
              <c:f>Sheet1!$D$110:$O$110</c:f>
              <c:numCache>
                <c:formatCode>#,##0_);\(#,##0\);"-"_);@_)</c:formatCode>
                <c:ptCount val="12"/>
                <c:pt idx="0">
                  <c:v>12370.179296354052</c:v>
                </c:pt>
                <c:pt idx="1">
                  <c:v>30252.046552781434</c:v>
                </c:pt>
                <c:pt idx="2">
                  <c:v>50702.941138878334</c:v>
                </c:pt>
                <c:pt idx="3">
                  <c:v>52947.042014246981</c:v>
                </c:pt>
                <c:pt idx="4">
                  <c:v>74910.171463696504</c:v>
                </c:pt>
                <c:pt idx="5">
                  <c:v>110204.75357334968</c:v>
                </c:pt>
                <c:pt idx="6">
                  <c:v>233111.95827538925</c:v>
                </c:pt>
                <c:pt idx="7">
                  <c:v>305455.19839237211</c:v>
                </c:pt>
                <c:pt idx="8">
                  <c:v>456796.65416980168</c:v>
                </c:pt>
                <c:pt idx="9">
                  <c:v>460241.93664313143</c:v>
                </c:pt>
                <c:pt idx="10">
                  <c:v>539451.70957207843</c:v>
                </c:pt>
                <c:pt idx="11">
                  <c:v>590651.61114843329</c:v>
                </c:pt>
              </c:numCache>
            </c:numRef>
          </c:val>
        </c:ser>
        <c:ser>
          <c:idx val="1"/>
          <c:order val="1"/>
          <c:tx>
            <c:strRef>
              <c:f>Sheet1!$B$111:$C$111</c:f>
              <c:strCache>
                <c:ptCount val="2"/>
                <c:pt idx="0">
                  <c:v>Opex</c:v>
                </c:pt>
              </c:strCache>
            </c:strRef>
          </c:tx>
          <c:spPr>
            <a:solidFill>
              <a:schemeClr val="accent2"/>
            </a:solidFill>
            <a:ln>
              <a:noFill/>
            </a:ln>
            <a:effectLst/>
          </c:spPr>
          <c:invertIfNegative val="0"/>
          <c:cat>
            <c:strRef>
              <c:f>Sheet1!$D$109:$O$109</c:f>
              <c:strCache>
                <c:ptCount val="12"/>
                <c:pt idx="0">
                  <c:v>FY11 </c:v>
                </c:pt>
                <c:pt idx="1">
                  <c:v>FY12 </c:v>
                </c:pt>
                <c:pt idx="2">
                  <c:v>FY13 </c:v>
                </c:pt>
                <c:pt idx="3">
                  <c:v>FY14 </c:v>
                </c:pt>
                <c:pt idx="4">
                  <c:v>FY15 </c:v>
                </c:pt>
                <c:pt idx="5">
                  <c:v>FY16 </c:v>
                </c:pt>
                <c:pt idx="6">
                  <c:v>FY17 </c:v>
                </c:pt>
                <c:pt idx="7">
                  <c:v>FY18 </c:v>
                </c:pt>
                <c:pt idx="8">
                  <c:v>FY19 </c:v>
                </c:pt>
                <c:pt idx="9">
                  <c:v>FY20 </c:v>
                </c:pt>
                <c:pt idx="10">
                  <c:v>FY21 </c:v>
                </c:pt>
                <c:pt idx="11">
                  <c:v>FY22 </c:v>
                </c:pt>
              </c:strCache>
            </c:strRef>
          </c:cat>
          <c:val>
            <c:numRef>
              <c:f>Sheet1!$D$111:$O$111</c:f>
              <c:numCache>
                <c:formatCode>#,##0_);\(#,##0\);"-"_);@_)</c:formatCode>
                <c:ptCount val="12"/>
                <c:pt idx="0">
                  <c:v>74094.826552573446</c:v>
                </c:pt>
                <c:pt idx="1">
                  <c:v>79667.710594892589</c:v>
                </c:pt>
                <c:pt idx="2">
                  <c:v>85364.517998746334</c:v>
                </c:pt>
                <c:pt idx="3">
                  <c:v>86064.75506651387</c:v>
                </c:pt>
                <c:pt idx="4">
                  <c:v>90621.353286476602</c:v>
                </c:pt>
                <c:pt idx="5">
                  <c:v>97981.447968650638</c:v>
                </c:pt>
                <c:pt idx="6">
                  <c:v>106161.43451905191</c:v>
                </c:pt>
                <c:pt idx="7">
                  <c:v>113722.41460501539</c:v>
                </c:pt>
                <c:pt idx="8">
                  <c:v>122465.18313167134</c:v>
                </c:pt>
                <c:pt idx="9">
                  <c:v>127281.02918927144</c:v>
                </c:pt>
                <c:pt idx="10">
                  <c:v>132044.87124116445</c:v>
                </c:pt>
                <c:pt idx="11">
                  <c:v>137398.28336272476</c:v>
                </c:pt>
              </c:numCache>
            </c:numRef>
          </c:val>
        </c:ser>
        <c:ser>
          <c:idx val="2"/>
          <c:order val="2"/>
          <c:tx>
            <c:strRef>
              <c:f>Sheet1!$B$112:$C$112</c:f>
              <c:strCache>
                <c:ptCount val="2"/>
                <c:pt idx="0">
                  <c:v>Proxy Regulated Gross Interest</c:v>
                </c:pt>
              </c:strCache>
            </c:strRef>
          </c:tx>
          <c:spPr>
            <a:solidFill>
              <a:schemeClr val="accent3"/>
            </a:solidFill>
            <a:ln>
              <a:noFill/>
            </a:ln>
            <a:effectLst/>
          </c:spPr>
          <c:invertIfNegative val="0"/>
          <c:cat>
            <c:strRef>
              <c:f>Sheet1!$D$109:$O$109</c:f>
              <c:strCache>
                <c:ptCount val="12"/>
                <c:pt idx="0">
                  <c:v>FY11 </c:v>
                </c:pt>
                <c:pt idx="1">
                  <c:v>FY12 </c:v>
                </c:pt>
                <c:pt idx="2">
                  <c:v>FY13 </c:v>
                </c:pt>
                <c:pt idx="3">
                  <c:v>FY14 </c:v>
                </c:pt>
                <c:pt idx="4">
                  <c:v>FY15 </c:v>
                </c:pt>
                <c:pt idx="5">
                  <c:v>FY16 </c:v>
                </c:pt>
                <c:pt idx="6">
                  <c:v>FY17 </c:v>
                </c:pt>
                <c:pt idx="7">
                  <c:v>FY18 </c:v>
                </c:pt>
                <c:pt idx="8">
                  <c:v>FY19 </c:v>
                </c:pt>
                <c:pt idx="9">
                  <c:v>FY20 </c:v>
                </c:pt>
                <c:pt idx="10">
                  <c:v>FY21 </c:v>
                </c:pt>
                <c:pt idx="11">
                  <c:v>FY22 </c:v>
                </c:pt>
              </c:strCache>
            </c:strRef>
          </c:cat>
          <c:val>
            <c:numRef>
              <c:f>Sheet1!$D$112:$O$112</c:f>
              <c:numCache>
                <c:formatCode>#,##0_);\(#,##0\);"-"_);@_)</c:formatCode>
                <c:ptCount val="12"/>
                <c:pt idx="0">
                  <c:v>11734.801905223138</c:v>
                </c:pt>
                <c:pt idx="1">
                  <c:v>25473.970608073178</c:v>
                </c:pt>
                <c:pt idx="2">
                  <c:v>37802.702991789818</c:v>
                </c:pt>
                <c:pt idx="3">
                  <c:v>30404.675459884988</c:v>
                </c:pt>
                <c:pt idx="4">
                  <c:v>45930.694562767843</c:v>
                </c:pt>
                <c:pt idx="5">
                  <c:v>38562.600859753526</c:v>
                </c:pt>
                <c:pt idx="6">
                  <c:v>51387.904332925427</c:v>
                </c:pt>
                <c:pt idx="7">
                  <c:v>65194.479300260646</c:v>
                </c:pt>
                <c:pt idx="8">
                  <c:v>85841.688068735675</c:v>
                </c:pt>
                <c:pt idx="9">
                  <c:v>106644.62360500521</c:v>
                </c:pt>
                <c:pt idx="10">
                  <c:v>131027.84087766315</c:v>
                </c:pt>
                <c:pt idx="11">
                  <c:v>157725.29370157234</c:v>
                </c:pt>
              </c:numCache>
            </c:numRef>
          </c:val>
        </c:ser>
        <c:dLbls>
          <c:showLegendKey val="0"/>
          <c:showVal val="0"/>
          <c:showCatName val="0"/>
          <c:showSerName val="0"/>
          <c:showPercent val="0"/>
          <c:showBubbleSize val="0"/>
        </c:dLbls>
        <c:gapWidth val="150"/>
        <c:overlap val="100"/>
        <c:axId val="300380584"/>
        <c:axId val="300376272"/>
      </c:barChart>
      <c:catAx>
        <c:axId val="300380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0376272"/>
        <c:crosses val="autoZero"/>
        <c:auto val="1"/>
        <c:lblAlgn val="ctr"/>
        <c:lblOffset val="100"/>
        <c:noMultiLvlLbl val="0"/>
      </c:catAx>
      <c:valAx>
        <c:axId val="300376272"/>
        <c:scaling>
          <c:orientation val="minMax"/>
        </c:scaling>
        <c:delete val="0"/>
        <c:axPos val="l"/>
        <c:majorGridlines>
          <c:spPr>
            <a:ln w="9525" cap="flat" cmpd="sng" algn="ctr">
              <a:solidFill>
                <a:schemeClr val="tx1">
                  <a:lumMod val="15000"/>
                  <a:lumOff val="85000"/>
                </a:schemeClr>
              </a:solidFill>
              <a:round/>
            </a:ln>
            <a:effectLst/>
          </c:spPr>
        </c:majorGridlines>
        <c:numFmt formatCode="#,##0_);\(#,##0\);&quot;-&quot;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03805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Operating cash flow / Revenue</a:t>
            </a:r>
          </a:p>
        </c:rich>
      </c:tx>
      <c:layout/>
      <c:overlay val="0"/>
      <c:spPr>
        <a:noFill/>
        <a:ln>
          <a:noFill/>
        </a:ln>
        <a:effectLst/>
      </c:spPr>
    </c:title>
    <c:autoTitleDeleted val="0"/>
    <c:plotArea>
      <c:layout/>
      <c:lineChart>
        <c:grouping val="standard"/>
        <c:varyColors val="0"/>
        <c:ser>
          <c:idx val="1"/>
          <c:order val="0"/>
          <c:tx>
            <c:strRef>
              <c:f>Sheet1!$B$101</c:f>
              <c:strCache>
                <c:ptCount val="1"/>
                <c:pt idx="0">
                  <c:v>Operating Cash Flow</c:v>
                </c:pt>
              </c:strCache>
            </c:strRef>
          </c:tx>
          <c:spPr>
            <a:ln w="28575" cap="rnd">
              <a:solidFill>
                <a:schemeClr val="accent2"/>
              </a:solidFill>
              <a:round/>
            </a:ln>
            <a:effectLst/>
          </c:spPr>
          <c:marker>
            <c:symbol val="none"/>
          </c:marker>
          <c:cat>
            <c:strRef>
              <c:f>Sheet1!$D$88:$O$88</c:f>
              <c:strCache>
                <c:ptCount val="12"/>
                <c:pt idx="0">
                  <c:v>FY11 </c:v>
                </c:pt>
                <c:pt idx="1">
                  <c:v>FY12 </c:v>
                </c:pt>
                <c:pt idx="2">
                  <c:v>FY13 </c:v>
                </c:pt>
                <c:pt idx="3">
                  <c:v>FY14 </c:v>
                </c:pt>
                <c:pt idx="4">
                  <c:v>FY15 </c:v>
                </c:pt>
                <c:pt idx="5">
                  <c:v>FY16 </c:v>
                </c:pt>
                <c:pt idx="6">
                  <c:v>FY17 </c:v>
                </c:pt>
                <c:pt idx="7">
                  <c:v>FY18 </c:v>
                </c:pt>
                <c:pt idx="8">
                  <c:v>FY19 </c:v>
                </c:pt>
                <c:pt idx="9">
                  <c:v>FY20 </c:v>
                </c:pt>
                <c:pt idx="10">
                  <c:v>FY21 </c:v>
                </c:pt>
                <c:pt idx="11">
                  <c:v>FY22 </c:v>
                </c:pt>
              </c:strCache>
            </c:strRef>
          </c:cat>
          <c:val>
            <c:numRef>
              <c:f>Sheet1!$D$101:$O$101</c:f>
              <c:numCache>
                <c:formatCode>#,##0_);\(#,##0\);"-"_);@_)</c:formatCode>
                <c:ptCount val="12"/>
                <c:pt idx="0">
                  <c:v>102037.86433622795</c:v>
                </c:pt>
                <c:pt idx="1">
                  <c:v>95571.547805962007</c:v>
                </c:pt>
                <c:pt idx="2">
                  <c:v>87473.294835601308</c:v>
                </c:pt>
                <c:pt idx="3">
                  <c:v>105164.99342879064</c:v>
                </c:pt>
                <c:pt idx="4">
                  <c:v>104075.57794036326</c:v>
                </c:pt>
                <c:pt idx="5">
                  <c:v>126147.44815681905</c:v>
                </c:pt>
                <c:pt idx="6">
                  <c:v>135597.46201341861</c:v>
                </c:pt>
                <c:pt idx="7">
                  <c:v>129082.80128266296</c:v>
                </c:pt>
                <c:pt idx="8">
                  <c:v>123521.75177794159</c:v>
                </c:pt>
                <c:pt idx="9">
                  <c:v>121492.58131785998</c:v>
                </c:pt>
                <c:pt idx="10">
                  <c:v>115656.48733086961</c:v>
                </c:pt>
                <c:pt idx="11">
                  <c:v>109229.09842897992</c:v>
                </c:pt>
              </c:numCache>
            </c:numRef>
          </c:val>
          <c:smooth val="0"/>
        </c:ser>
        <c:ser>
          <c:idx val="0"/>
          <c:order val="1"/>
          <c:tx>
            <c:strRef>
              <c:f>Sheet1!$B$99:$C$99</c:f>
              <c:strCache>
                <c:ptCount val="2"/>
                <c:pt idx="0">
                  <c:v>Revenue</c:v>
                </c:pt>
              </c:strCache>
            </c:strRef>
          </c:tx>
          <c:spPr>
            <a:ln w="28575" cap="rnd">
              <a:solidFill>
                <a:schemeClr val="accent1"/>
              </a:solidFill>
              <a:round/>
            </a:ln>
            <a:effectLst/>
          </c:spPr>
          <c:marker>
            <c:symbol val="none"/>
          </c:marker>
          <c:cat>
            <c:strRef>
              <c:f>Sheet1!$D$88:$O$88</c:f>
              <c:strCache>
                <c:ptCount val="12"/>
                <c:pt idx="0">
                  <c:v>FY11 </c:v>
                </c:pt>
                <c:pt idx="1">
                  <c:v>FY12 </c:v>
                </c:pt>
                <c:pt idx="2">
                  <c:v>FY13 </c:v>
                </c:pt>
                <c:pt idx="3">
                  <c:v>FY14 </c:v>
                </c:pt>
                <c:pt idx="4">
                  <c:v>FY15 </c:v>
                </c:pt>
                <c:pt idx="5">
                  <c:v>FY16 </c:v>
                </c:pt>
                <c:pt idx="6">
                  <c:v>FY17 </c:v>
                </c:pt>
                <c:pt idx="7">
                  <c:v>FY18 </c:v>
                </c:pt>
                <c:pt idx="8">
                  <c:v>FY19 </c:v>
                </c:pt>
                <c:pt idx="9">
                  <c:v>FY20 </c:v>
                </c:pt>
                <c:pt idx="10">
                  <c:v>FY21 </c:v>
                </c:pt>
                <c:pt idx="11">
                  <c:v>FY22 </c:v>
                </c:pt>
              </c:strCache>
            </c:strRef>
          </c:cat>
          <c:val>
            <c:numRef>
              <c:f>Sheet1!$D$99:$O$99</c:f>
              <c:numCache>
                <c:formatCode>#,##0_);\(#,##0\);"-"_);@_)</c:formatCode>
                <c:ptCount val="12"/>
                <c:pt idx="0">
                  <c:v>209591.42983840714</c:v>
                </c:pt>
                <c:pt idx="1">
                  <c:v>220985.74300159694</c:v>
                </c:pt>
                <c:pt idx="2">
                  <c:v>230429.26132742688</c:v>
                </c:pt>
                <c:pt idx="3">
                  <c:v>247989.84064809643</c:v>
                </c:pt>
                <c:pt idx="4">
                  <c:v>265855.45047656709</c:v>
                </c:pt>
                <c:pt idx="5">
                  <c:v>290471.1143635913</c:v>
                </c:pt>
                <c:pt idx="6">
                  <c:v>326213.14915818162</c:v>
                </c:pt>
                <c:pt idx="7">
                  <c:v>334356.49423340772</c:v>
                </c:pt>
                <c:pt idx="8">
                  <c:v>350536.80667661648</c:v>
                </c:pt>
                <c:pt idx="9">
                  <c:v>365276.66582561919</c:v>
                </c:pt>
                <c:pt idx="10">
                  <c:v>382692.16787240724</c:v>
                </c:pt>
                <c:pt idx="11">
                  <c:v>401785.61827419186</c:v>
                </c:pt>
              </c:numCache>
            </c:numRef>
          </c:val>
          <c:smooth val="0"/>
        </c:ser>
        <c:dLbls>
          <c:showLegendKey val="0"/>
          <c:showVal val="0"/>
          <c:showCatName val="0"/>
          <c:showSerName val="0"/>
          <c:showPercent val="0"/>
          <c:showBubbleSize val="0"/>
        </c:dLbls>
        <c:marker val="1"/>
        <c:smooth val="0"/>
        <c:axId val="300383328"/>
        <c:axId val="300375880"/>
      </c:lineChart>
      <c:lineChart>
        <c:grouping val="standard"/>
        <c:varyColors val="0"/>
        <c:ser>
          <c:idx val="2"/>
          <c:order val="2"/>
          <c:tx>
            <c:strRef>
              <c:f>Sheet1!$B$102</c:f>
              <c:strCache>
                <c:ptCount val="1"/>
                <c:pt idx="0">
                  <c:v>Operating Cash Flow / Revenue</c:v>
                </c:pt>
              </c:strCache>
            </c:strRef>
          </c:tx>
          <c:spPr>
            <a:ln w="44450" cap="rnd">
              <a:solidFill>
                <a:schemeClr val="tx1"/>
              </a:solidFill>
              <a:round/>
            </a:ln>
            <a:effectLst/>
          </c:spPr>
          <c:marker>
            <c:symbol val="none"/>
          </c:marker>
          <c:cat>
            <c:strRef>
              <c:f>Sheet1!$D$88:$O$88</c:f>
              <c:strCache>
                <c:ptCount val="12"/>
                <c:pt idx="0">
                  <c:v>FY11 </c:v>
                </c:pt>
                <c:pt idx="1">
                  <c:v>FY12 </c:v>
                </c:pt>
                <c:pt idx="2">
                  <c:v>FY13 </c:v>
                </c:pt>
                <c:pt idx="3">
                  <c:v>FY14 </c:v>
                </c:pt>
                <c:pt idx="4">
                  <c:v>FY15 </c:v>
                </c:pt>
                <c:pt idx="5">
                  <c:v>FY16 </c:v>
                </c:pt>
                <c:pt idx="6">
                  <c:v>FY17 </c:v>
                </c:pt>
                <c:pt idx="7">
                  <c:v>FY18 </c:v>
                </c:pt>
                <c:pt idx="8">
                  <c:v>FY19 </c:v>
                </c:pt>
                <c:pt idx="9">
                  <c:v>FY20 </c:v>
                </c:pt>
                <c:pt idx="10">
                  <c:v>FY21 </c:v>
                </c:pt>
                <c:pt idx="11">
                  <c:v>FY22 </c:v>
                </c:pt>
              </c:strCache>
            </c:strRef>
          </c:cat>
          <c:val>
            <c:numRef>
              <c:f>Sheet1!$D$102:$O$102</c:f>
              <c:numCache>
                <c:formatCode>0%</c:formatCode>
                <c:ptCount val="12"/>
                <c:pt idx="0">
                  <c:v>0.48684177790522309</c:v>
                </c:pt>
                <c:pt idx="1">
                  <c:v>0.43247834230315646</c:v>
                </c:pt>
                <c:pt idx="2">
                  <c:v>0.37961018636130039</c:v>
                </c:pt>
                <c:pt idx="3">
                  <c:v>0.42406976493050091</c:v>
                </c:pt>
                <c:pt idx="4">
                  <c:v>0.39147430588238641</c:v>
                </c:pt>
                <c:pt idx="5">
                  <c:v>0.43428568941597601</c:v>
                </c:pt>
                <c:pt idx="6">
                  <c:v>0.41567135587065818</c:v>
                </c:pt>
                <c:pt idx="7">
                  <c:v>0.38606338895440379</c:v>
                </c:pt>
                <c:pt idx="8">
                  <c:v>0.35237883561795297</c:v>
                </c:pt>
                <c:pt idx="9">
                  <c:v>0.33260427693418498</c:v>
                </c:pt>
                <c:pt idx="10">
                  <c:v>0.30221806726243339</c:v>
                </c:pt>
                <c:pt idx="11">
                  <c:v>0.27185915438724928</c:v>
                </c:pt>
              </c:numCache>
            </c:numRef>
          </c:val>
          <c:smooth val="0"/>
        </c:ser>
        <c:dLbls>
          <c:showLegendKey val="0"/>
          <c:showVal val="0"/>
          <c:showCatName val="0"/>
          <c:showSerName val="0"/>
          <c:showPercent val="0"/>
          <c:showBubbleSize val="0"/>
        </c:dLbls>
        <c:marker val="1"/>
        <c:smooth val="0"/>
        <c:axId val="300382152"/>
        <c:axId val="300380976"/>
      </c:lineChart>
      <c:catAx>
        <c:axId val="300383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0375880"/>
        <c:crosses val="autoZero"/>
        <c:auto val="1"/>
        <c:lblAlgn val="ctr"/>
        <c:lblOffset val="100"/>
        <c:noMultiLvlLbl val="0"/>
      </c:catAx>
      <c:valAx>
        <c:axId val="300375880"/>
        <c:scaling>
          <c:orientation val="minMax"/>
        </c:scaling>
        <c:delete val="0"/>
        <c:axPos val="l"/>
        <c:majorGridlines>
          <c:spPr>
            <a:ln w="9525" cap="flat" cmpd="sng" algn="ctr">
              <a:solidFill>
                <a:schemeClr val="tx1">
                  <a:lumMod val="15000"/>
                  <a:lumOff val="85000"/>
                </a:schemeClr>
              </a:solidFill>
              <a:round/>
            </a:ln>
            <a:effectLst/>
          </c:spPr>
        </c:majorGridlines>
        <c:numFmt formatCode="#,##0_);\(#,##0\);&quot;-&quot;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0383328"/>
        <c:crosses val="autoZero"/>
        <c:crossBetween val="between"/>
      </c:valAx>
      <c:valAx>
        <c:axId val="300380976"/>
        <c:scaling>
          <c:orientation val="minMax"/>
          <c:max val="0.5"/>
          <c:min val="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0382152"/>
        <c:crosses val="max"/>
        <c:crossBetween val="between"/>
      </c:valAx>
      <c:catAx>
        <c:axId val="300382152"/>
        <c:scaling>
          <c:orientation val="minMax"/>
        </c:scaling>
        <c:delete val="1"/>
        <c:axPos val="b"/>
        <c:numFmt formatCode="General" sourceLinked="1"/>
        <c:majorTickMark val="out"/>
        <c:minorTickMark val="none"/>
        <c:tickLblPos val="nextTo"/>
        <c:crossAx val="300380976"/>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79374</xdr:colOff>
      <xdr:row>38</xdr:row>
      <xdr:rowOff>150811</xdr:rowOff>
    </xdr:from>
    <xdr:to>
      <xdr:col>5</xdr:col>
      <xdr:colOff>365474</xdr:colOff>
      <xdr:row>57</xdr:row>
      <xdr:rowOff>114307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98641</xdr:colOff>
      <xdr:row>38</xdr:row>
      <xdr:rowOff>136091</xdr:rowOff>
    </xdr:from>
    <xdr:to>
      <xdr:col>25</xdr:col>
      <xdr:colOff>364548</xdr:colOff>
      <xdr:row>57</xdr:row>
      <xdr:rowOff>110187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79374</xdr:colOff>
      <xdr:row>58</xdr:row>
      <xdr:rowOff>59531</xdr:rowOff>
    </xdr:from>
    <xdr:to>
      <xdr:col>5</xdr:col>
      <xdr:colOff>365474</xdr:colOff>
      <xdr:row>78</xdr:row>
      <xdr:rowOff>11124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89116</xdr:colOff>
      <xdr:row>58</xdr:row>
      <xdr:rowOff>62129</xdr:rowOff>
    </xdr:from>
    <xdr:to>
      <xdr:col>25</xdr:col>
      <xdr:colOff>355023</xdr:colOff>
      <xdr:row>78</xdr:row>
      <xdr:rowOff>30381</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605054</xdr:colOff>
      <xdr:row>58</xdr:row>
      <xdr:rowOff>56607</xdr:rowOff>
    </xdr:from>
    <xdr:to>
      <xdr:col>14</xdr:col>
      <xdr:colOff>470339</xdr:colOff>
      <xdr:row>78</xdr:row>
      <xdr:rowOff>18625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617826</xdr:colOff>
      <xdr:row>38</xdr:row>
      <xdr:rowOff>144390</xdr:rowOff>
    </xdr:from>
    <xdr:to>
      <xdr:col>14</xdr:col>
      <xdr:colOff>483250</xdr:colOff>
      <xdr:row>57</xdr:row>
      <xdr:rowOff>129961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KLNT1\Finance\Commerce%20Commission%20Disclosures\Annual%20Disclosures\Excel%20Disclosures%20FY11%20to%20FY16\Annual%20Disclosures%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KLNT1\Finance\Commerce%20Commission%20Disclosures\Annual%20Disclosures\FY2012\Disclosure%20Schedules\Specified%20Airport%20Services%20Information%20Disclosure%20Requirements%20-%20Annual%20v2%200%20-%20Links%20Brok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KLNT1\Finance\Commerce%20Commission%20Disclosures\Annual%20Disclosures\FY2013\Final\Final%20For%20Website\Auckland%20Airport%20-%20Specified%20Airport%20Services%20Information%20Disclosure%20-%20FY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KLNT1\Finance\Commerce%20Commission%20Disclosures\Annual%20Disclosures\FY2014\Disclosure%20Schedules\FINAL%20Version%20sent%20to%20ComCom\Auckland%20Airport%20-%20Specified%20Airport%20Services%20Information%20Disclosure%20-%20FY1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KLNT1\Finance\Commerce%20Commission%20Disclosures\Annual%20Disclosures\FY2015\Disclosure%20Schedules\Final%20version%20sent%20to%20ComCom\Airport-ID-Determination-Annual-templates-FY15%20Template%20-%20Final%20sen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KLNT1\Finance\Commerce%20Commission%20Disclosures\Annual%20Disclosures\FY2016\Disclosure%20Schedules\Airport-ID-Determination-Annual-templates-FY16(final%20version%20for%20ComCom,%20no%20link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KLNT1\Finance\Commerce%20Commission%20Disclosures\Annual%20Disclosures\FY2017\Final%20documents%20for%20Comcom\FY17-Auckland%20Airport-ID-Determination-Annual-Templates-final%20(no%20link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KLNT1\Finance\Commerce%20Commission%20Disclosures\Price%20Setting%20Disclosures\FY2018%20-%202022\Model\AIAL_AeroPricingMode_PSD_Final_ComCom.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emmara/AppData/Local/Temp/NetRight/Links/AIRPORT_DOCS/2531526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CoverSheet"/>
      <sheetName val="TOC"/>
      <sheetName val="Guidelines"/>
      <sheetName val="S1.ROI Disclosure"/>
      <sheetName val="S2.Regulatory Profit Statement"/>
      <sheetName val="Commerce Comission Calculation"/>
      <sheetName val="S3.Tax Allowance"/>
      <sheetName val="S4.RAB Roll-Forward"/>
      <sheetName val="S5.Related Party Transactions"/>
      <sheetName val="S6.Actual to Forecast"/>
      <sheetName val="S7.Segmented Information"/>
      <sheetName val="S8.Consolidation Statement"/>
      <sheetName val="S9.Asset Allocation"/>
      <sheetName val="S9.Asset Allocation (2010)"/>
      <sheetName val="S9.Asset Allocation (2009)"/>
      <sheetName val="S10.Cost Allocation"/>
      <sheetName val="S11.Reliability"/>
      <sheetName val="S12.Airfield Cap &amp; Utilisation"/>
      <sheetName val="S13.Terminal Cap &amp; Utilisation"/>
      <sheetName val="S14.Passenger Surveys"/>
      <sheetName val="S15.Forum"/>
      <sheetName val="S16.Statistics"/>
      <sheetName val="S17.Pricing Stats"/>
      <sheetName val="S23.Initial RAB Value"/>
      <sheetName val="Appendix S23"/>
    </sheetNames>
    <sheetDataSet>
      <sheetData sheetId="0"/>
      <sheetData sheetId="1"/>
      <sheetData sheetId="2"/>
      <sheetData sheetId="3"/>
      <sheetData sheetId="4">
        <row r="14">
          <cell r="J14">
            <v>209591.42983840714</v>
          </cell>
        </row>
        <row r="16">
          <cell r="H16">
            <v>-102.76716404274805</v>
          </cell>
        </row>
        <row r="24">
          <cell r="J24">
            <v>74094.826552573446</v>
          </cell>
        </row>
        <row r="28">
          <cell r="J28">
            <v>43755.632109065416</v>
          </cell>
        </row>
        <row r="32">
          <cell r="J32">
            <v>75428.642648319888</v>
          </cell>
        </row>
        <row r="36">
          <cell r="J36">
            <v>81.723063646248164</v>
          </cell>
        </row>
        <row r="40">
          <cell r="J40">
            <v>25009.681577845113</v>
          </cell>
        </row>
        <row r="42">
          <cell r="J42">
            <v>141975.44201955409</v>
          </cell>
        </row>
      </sheetData>
      <sheetData sheetId="5"/>
      <sheetData sheetId="6"/>
      <sheetData sheetId="7">
        <row r="8">
          <cell r="N8">
            <v>1082330.7060645809</v>
          </cell>
        </row>
        <row r="30">
          <cell r="N30">
            <v>1136886.1230052675</v>
          </cell>
        </row>
        <row r="107">
          <cell r="N107">
            <v>12370.179296354052</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CoverSheet"/>
      <sheetName val="TOC"/>
      <sheetName val="Guidelines"/>
      <sheetName val="S1.ROI Disclosure"/>
      <sheetName val="S2.Regulatory Profit Statement"/>
      <sheetName val="Allowance for LTCS"/>
      <sheetName val="S3.Tax Allowance"/>
      <sheetName val="S4.RAB Roll-Forward"/>
      <sheetName val="S5.Related Party Transactions"/>
      <sheetName val="S6.Actual to Forecast"/>
      <sheetName val="S7.Segmented Information"/>
      <sheetName val="S8.Consolidation Statement"/>
      <sheetName val="S9.Asset Allocation"/>
      <sheetName val="S10.Cost Allocation"/>
      <sheetName val="S11.Reliability"/>
      <sheetName val="S12.Airfield Cap &amp; Utilisation"/>
      <sheetName val="S13.Terminal Cap &amp; Utilisation"/>
      <sheetName val="S14.Passenger Surveys"/>
      <sheetName val="S15.Forum"/>
      <sheetName val="S16.Statistics"/>
      <sheetName val="S17.Pricing Stats"/>
    </sheetNames>
    <sheetDataSet>
      <sheetData sheetId="0"/>
      <sheetData sheetId="1"/>
      <sheetData sheetId="2"/>
      <sheetData sheetId="3"/>
      <sheetData sheetId="4">
        <row r="14">
          <cell r="J14">
            <v>220985.74300159694</v>
          </cell>
        </row>
        <row r="16">
          <cell r="H16">
            <v>80.999400419436725</v>
          </cell>
        </row>
        <row r="24">
          <cell r="J24">
            <v>79667.710594892589</v>
          </cell>
        </row>
        <row r="28">
          <cell r="J28">
            <v>46187.417026773866</v>
          </cell>
        </row>
        <row r="32">
          <cell r="J32">
            <v>10790.58511381322</v>
          </cell>
        </row>
        <row r="36">
          <cell r="J36">
            <v>88.59437921641657</v>
          </cell>
        </row>
        <row r="40">
          <cell r="J40">
            <v>27405.225762929669</v>
          </cell>
        </row>
        <row r="42">
          <cell r="J42">
            <v>78508.379752017063</v>
          </cell>
        </row>
      </sheetData>
      <sheetData sheetId="5"/>
      <sheetData sheetId="6"/>
      <sheetData sheetId="7">
        <row r="8">
          <cell r="N8">
            <v>1136886.1229923188</v>
          </cell>
        </row>
        <row r="30">
          <cell r="N30">
            <v>1119427.5258976761</v>
          </cell>
        </row>
        <row r="107">
          <cell r="N107">
            <v>30252.046552781434</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CoverSheet"/>
      <sheetName val="TOC"/>
      <sheetName val="Guidelines"/>
      <sheetName val="S1.ROI Disclosure"/>
      <sheetName val="S2.Regulatory Profit Statement"/>
      <sheetName val="Allowance for LTCS"/>
      <sheetName val="S3.Tax Allowance"/>
      <sheetName val="S4.RAB Roll-Forward"/>
      <sheetName val="S5.Related Party Transactions"/>
      <sheetName val="S6.Actual to Forecast"/>
      <sheetName val="S7.Segmented Information"/>
      <sheetName val="S8.Consolidation Statement"/>
      <sheetName val="S9.Asset Allocation"/>
      <sheetName val="S10.Cost Allocation"/>
      <sheetName val="S11.Reliability"/>
      <sheetName val="S12.Airfield Cap &amp; Utilisation"/>
      <sheetName val="S13.Terminal Cap &amp; Utilisation"/>
      <sheetName val="S14.Passenger Surveys"/>
      <sheetName val="S15.Forum"/>
      <sheetName val="S16.Statistics"/>
      <sheetName val="S17.Pricing Stats"/>
    </sheetNames>
    <sheetDataSet>
      <sheetData sheetId="0"/>
      <sheetData sheetId="1"/>
      <sheetData sheetId="2"/>
      <sheetData sheetId="3"/>
      <sheetData sheetId="4">
        <row r="14">
          <cell r="J14">
            <v>230429.26132742688</v>
          </cell>
        </row>
        <row r="16">
          <cell r="H16">
            <v>-2.4239999999999998E-2</v>
          </cell>
        </row>
        <row r="24">
          <cell r="J24">
            <v>85364.517998746334</v>
          </cell>
        </row>
        <row r="28">
          <cell r="J28">
            <v>46141.565300135524</v>
          </cell>
        </row>
        <row r="32">
          <cell r="J32">
            <v>7652.7159556150837</v>
          </cell>
        </row>
        <row r="36">
          <cell r="J36">
            <v>119.2575588299899</v>
          </cell>
        </row>
        <row r="40">
          <cell r="J40">
            <v>30373.502338990569</v>
          </cell>
        </row>
        <row r="42">
          <cell r="J42">
            <v>76083.109846339546</v>
          </cell>
        </row>
      </sheetData>
      <sheetData sheetId="5"/>
      <sheetData sheetId="6"/>
      <sheetData sheetId="7">
        <row r="8">
          <cell r="N8">
            <v>1119427.5257842487</v>
          </cell>
        </row>
        <row r="30">
          <cell r="N30">
            <v>1124518.5488138706</v>
          </cell>
        </row>
        <row r="107">
          <cell r="N107">
            <v>50702.941138878334</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CoverSheet"/>
      <sheetName val="TOC"/>
      <sheetName val="Guidelines"/>
      <sheetName val="S1.ROI Disclosure"/>
      <sheetName val="S2.Regulatory Profit Statement"/>
      <sheetName val="Allowance for LTCS"/>
      <sheetName val="S3.Tax Allowance"/>
      <sheetName val="S4.RAB Roll-Forward"/>
      <sheetName val="S5.Related Party Transactions"/>
      <sheetName val="S6.Actual to Forecast"/>
      <sheetName val="S7.Segmented Information"/>
      <sheetName val="S8.Consolidation Statement"/>
      <sheetName val="S9.Asset Allocation"/>
      <sheetName val="S9.Asset Allocation (2010)"/>
      <sheetName val="S9.Asset Allocation (2009)"/>
      <sheetName val="S10.Cost Allocation"/>
      <sheetName val="S11.Reliability"/>
      <sheetName val="S12.Airfield Cap &amp; Utilisation"/>
      <sheetName val="S13.Terminal Cap &amp; Utilisation"/>
      <sheetName val="S14.Passenger Surveys"/>
      <sheetName val="S15.Forum"/>
      <sheetName val="S16.Statistics"/>
      <sheetName val="S17.Pricing Stats"/>
      <sheetName val="S23.Initial RAB Value"/>
    </sheetNames>
    <sheetDataSet>
      <sheetData sheetId="0"/>
      <sheetData sheetId="1"/>
      <sheetData sheetId="2"/>
      <sheetData sheetId="3"/>
      <sheetData sheetId="4">
        <row r="14">
          <cell r="J14">
            <v>247989.84064809643</v>
          </cell>
        </row>
        <row r="16">
          <cell r="H16">
            <v>13.274394462441981</v>
          </cell>
        </row>
        <row r="24">
          <cell r="J24">
            <v>86064.75506651387</v>
          </cell>
        </row>
        <row r="28">
          <cell r="J28">
            <v>43993.868711756208</v>
          </cell>
        </row>
        <row r="32">
          <cell r="J32">
            <v>18147.519299508633</v>
          </cell>
        </row>
        <row r="36">
          <cell r="J36">
            <v>95.543649071495594</v>
          </cell>
        </row>
        <row r="40">
          <cell r="J40">
            <v>34868.72582167475</v>
          </cell>
        </row>
        <row r="42">
          <cell r="J42">
            <v>101127.74109305118</v>
          </cell>
        </row>
      </sheetData>
      <sheetData sheetId="5"/>
      <sheetData sheetId="6"/>
      <sheetData sheetId="7">
        <row r="8">
          <cell r="N8">
            <v>1124518.4814921515</v>
          </cell>
        </row>
        <row r="30">
          <cell r="N30">
            <v>1146936.7709550792</v>
          </cell>
        </row>
        <row r="107">
          <cell r="N107">
            <v>52947.042014246981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CoverSheet"/>
      <sheetName val="TOC"/>
      <sheetName val="Guidelines"/>
      <sheetName val="S1.ROI Disclosure"/>
      <sheetName val="S2.Regulatory Profit Statement"/>
      <sheetName val="Allowance for LTCS"/>
      <sheetName val="S3.Tax Allowance"/>
      <sheetName val="S4.RAB Roll-Forward"/>
      <sheetName val="S5.Related Party Transactions"/>
      <sheetName val="S6.Actual to Forecast"/>
      <sheetName val="S7.Segmented Information"/>
      <sheetName val="S8.Consolidation Statement"/>
      <sheetName val="S9.Asset Allocation"/>
      <sheetName val="S9.Asset Allocation (2010)"/>
      <sheetName val="S9.Asset Allocation (2009)"/>
      <sheetName val="S10.Cost Allocation"/>
      <sheetName val="S11.Reliability"/>
      <sheetName val="S12.Airfield Cap &amp; Utilisation"/>
      <sheetName val="S13.Terminal Cap &amp; Utilisation"/>
      <sheetName val="S14.Passenger Surveys"/>
      <sheetName val="S15.Forum"/>
      <sheetName val="S16.Statistics"/>
      <sheetName val="S17.Pricing Stats"/>
      <sheetName val="S23.Initial RAB Value"/>
    </sheetNames>
    <sheetDataSet>
      <sheetData sheetId="0"/>
      <sheetData sheetId="1"/>
      <sheetData sheetId="2"/>
      <sheetData sheetId="3"/>
      <sheetData sheetId="4">
        <row r="14">
          <cell r="J14">
            <v>265855.45047656709</v>
          </cell>
        </row>
        <row r="16">
          <cell r="H16">
            <v>237.2377415064899</v>
          </cell>
        </row>
        <row r="24">
          <cell r="J24">
            <v>90621.353286476602</v>
          </cell>
        </row>
        <row r="28">
          <cell r="J28">
            <v>45710.824348692855</v>
          </cell>
        </row>
        <row r="32">
          <cell r="J32">
            <v>4790.4079079341709</v>
          </cell>
        </row>
        <row r="36">
          <cell r="J36">
            <v>1.4605673118683633</v>
          </cell>
        </row>
        <row r="40">
          <cell r="J40">
            <v>38088.419164534353</v>
          </cell>
        </row>
        <row r="42">
          <cell r="J42">
            <v>96461.038758992057</v>
          </cell>
        </row>
      </sheetData>
      <sheetData sheetId="5"/>
      <sheetData sheetId="6"/>
      <sheetData sheetId="7">
        <row r="8">
          <cell r="N8">
            <v>1146936.7709550792</v>
          </cell>
        </row>
        <row r="30">
          <cell r="N30">
            <v>1163604.5055712608</v>
          </cell>
        </row>
        <row r="107">
          <cell r="N107">
            <v>74910.171463696504</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CoverSheet"/>
      <sheetName val="TOC"/>
      <sheetName val="Guidelines"/>
      <sheetName val="S1.ROI Disclosure"/>
      <sheetName val="S2.Regulatory Profit Statement"/>
      <sheetName val="Allowance for LTCS"/>
      <sheetName val="S3.Tax Allowance"/>
      <sheetName val="S4.RAB Roll-Forward"/>
      <sheetName val="S5.Related Party Transactions"/>
      <sheetName val="S6.Actual to Forecast"/>
      <sheetName val="S7.Segmented Information"/>
      <sheetName val="S8.Consolidation Statement"/>
      <sheetName val="S9.Asset Allocation"/>
      <sheetName val="S9.Asset Allocation (2010)"/>
      <sheetName val="S9.Asset Allocation (2009)"/>
      <sheetName val="S10.Cost Allocation"/>
      <sheetName val="S11.Reliability"/>
      <sheetName val="S12.Airfield Cap &amp; Utilisation"/>
      <sheetName val="S13.Terminal Cap &amp; Utilisation"/>
      <sheetName val="S14.Passenger Surveys"/>
      <sheetName val="S15.Forum"/>
      <sheetName val="S16.Statistics"/>
      <sheetName val="S17.Pricing Stats"/>
      <sheetName val="S23.Initial RAB Value"/>
    </sheetNames>
    <sheetDataSet>
      <sheetData sheetId="0"/>
      <sheetData sheetId="1"/>
      <sheetData sheetId="2"/>
      <sheetData sheetId="3"/>
      <sheetData sheetId="4">
        <row r="14">
          <cell r="J14">
            <v>290471.1143635913</v>
          </cell>
        </row>
        <row r="16">
          <cell r="H16">
            <v>-4480.0228842256975</v>
          </cell>
        </row>
        <row r="24">
          <cell r="J24">
            <v>97981.447968650638</v>
          </cell>
        </row>
        <row r="28">
          <cell r="J28">
            <v>51999.539476986043</v>
          </cell>
        </row>
        <row r="32">
          <cell r="J32">
            <v>4801.8850857207035</v>
          </cell>
        </row>
        <row r="36">
          <cell r="J36">
            <v>222.9601000400524</v>
          </cell>
        </row>
        <row r="40">
          <cell r="J40">
            <v>38577.145619099079</v>
          </cell>
        </row>
        <row r="42">
          <cell r="J42">
            <v>102011.8834003105</v>
          </cell>
        </row>
      </sheetData>
      <sheetData sheetId="5"/>
      <sheetData sheetId="6"/>
      <sheetData sheetId="7">
        <row r="8">
          <cell r="N8">
            <v>1163604.5055712608</v>
          </cell>
        </row>
        <row r="30">
          <cell r="N30">
            <v>1193657.5080249095</v>
          </cell>
        </row>
        <row r="107">
          <cell r="N107">
            <v>110204.75357334968</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CoverSheet"/>
      <sheetName val="TOC"/>
      <sheetName val="Guidelines"/>
      <sheetName val="S1.ROI Disclosure"/>
      <sheetName val="S2.Regulatory Profit Statement"/>
      <sheetName val="S3.Tax Allowance"/>
      <sheetName val="S4.RAB Roll-Forward"/>
      <sheetName val="S5.Related Party Transactions"/>
      <sheetName val="S6.Actual to Forecast"/>
      <sheetName val="S7.Segmented Information"/>
      <sheetName val="S8.Consolidation Statement"/>
      <sheetName val="S9.Asset Allocation"/>
      <sheetName val="S9.Asset Allocation (2010)"/>
      <sheetName val="S9.Asset Allocation (2009)"/>
      <sheetName val="S10.Cost Allocation"/>
      <sheetName val="S11.Reliability"/>
      <sheetName val="S12.Airfield Cap &amp; Utilisation"/>
      <sheetName val="S13.Terminal Cap &amp; Utilisation"/>
      <sheetName val="S14.Passenger Surveys"/>
      <sheetName val="S15.Forum"/>
      <sheetName val="S16.Statistics"/>
      <sheetName val="S17.Pricing Stats"/>
    </sheetNames>
    <sheetDataSet>
      <sheetData sheetId="0"/>
      <sheetData sheetId="1"/>
      <sheetData sheetId="2"/>
      <sheetData sheetId="3"/>
      <sheetData sheetId="4">
        <row r="14">
          <cell r="J14">
            <v>326213.14915818162</v>
          </cell>
        </row>
        <row r="16">
          <cell r="H16">
            <v>-2382.6862352794392</v>
          </cell>
        </row>
        <row r="24">
          <cell r="J24">
            <v>106161.43451905191</v>
          </cell>
        </row>
        <row r="28">
          <cell r="J28">
            <v>44400.55819511442</v>
          </cell>
        </row>
        <row r="32">
          <cell r="J32">
            <v>980.80002151867302</v>
          </cell>
        </row>
        <row r="36">
          <cell r="J36">
            <v>47454.961506004787</v>
          </cell>
        </row>
        <row r="38">
          <cell r="J38">
            <v>126794.30872424971</v>
          </cell>
        </row>
      </sheetData>
      <sheetData sheetId="5"/>
      <sheetData sheetId="6">
        <row r="8">
          <cell r="N8">
            <v>1107225.2950594418</v>
          </cell>
        </row>
        <row r="30">
          <cell r="N30">
            <v>1187256.7349793613</v>
          </cell>
        </row>
        <row r="94">
          <cell r="N94">
            <v>233111.95827538925</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hecks"/>
      <sheetName val="Simple check"/>
      <sheetName val="Inputs&gt;"/>
      <sheetName val="DKMA"/>
      <sheetName val="Inputs"/>
      <sheetName val="CapexScenarios"/>
      <sheetName val="AeroMrkt"/>
      <sheetName val="MgmtOverlay"/>
      <sheetName val="AIAL_Outputs&gt;"/>
      <sheetName val="Scenarios"/>
      <sheetName val="S20 less S19"/>
      <sheetName val="InvestorPreso"/>
      <sheetName val="AssetBase_Capex"/>
      <sheetName val="ComComOutputs&gt;"/>
      <sheetName val="S18.Total Revenue"/>
      <sheetName val="S19 Pricing Revenue"/>
      <sheetName val="S20.Demand Forecast"/>
      <sheetName val="S24.Transitional RAB"/>
      <sheetName val="AirlineOutputs&gt;"/>
      <sheetName val="TablesForInfoPack2"/>
      <sheetName val="RIV"/>
      <sheetName val="Price.Volume"/>
      <sheetName val="Revenue"/>
      <sheetName val="ChartsForInfoPack"/>
      <sheetName val="TablesForInfoPack"/>
      <sheetName val="ScheduleCharges"/>
      <sheetName val="Calculations&gt;"/>
      <sheetName val="Opex"/>
      <sheetName val="AssetBase_ExistingAssets"/>
      <sheetName val="AssetsHeldForFutureUse"/>
      <sheetName val="AssetBase_Total"/>
      <sheetName val="TaxAssetBase_Total"/>
      <sheetName val="RIV_MACR_Total"/>
      <sheetName val="RIV_MACR_IANSR"/>
      <sheetName val="RIV_MACR_Pricing"/>
      <sheetName val="ImpliedPrices"/>
      <sheetName val="P&amp;L"/>
      <sheetName val="Audit&gt;"/>
      <sheetName val="ExistingAssetROProof"/>
      <sheetName val="CapexAssetROProof"/>
      <sheetName val="YoyDisclosureCheck"/>
      <sheetName val="PSE2_Comparis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80">
          <cell r="F80">
            <v>334356.49423340772</v>
          </cell>
          <cell r="G80">
            <v>350536.80667661648</v>
          </cell>
          <cell r="H80">
            <v>365276.66582561919</v>
          </cell>
          <cell r="I80">
            <v>382692.16787240724</v>
          </cell>
          <cell r="J80">
            <v>401785.61827419186</v>
          </cell>
        </row>
        <row r="82">
          <cell r="F82">
            <v>113722.41460501539</v>
          </cell>
          <cell r="G82">
            <v>122465.18313167134</v>
          </cell>
          <cell r="H82">
            <v>127281.02918927144</v>
          </cell>
          <cell r="I82">
            <v>132044.87124116445</v>
          </cell>
          <cell r="J82">
            <v>137398.28336272476</v>
          </cell>
        </row>
        <row r="83">
          <cell r="F83">
            <v>52312.337159410497</v>
          </cell>
          <cell r="G83">
            <v>60725.143090090445</v>
          </cell>
          <cell r="H83">
            <v>79091.565080343964</v>
          </cell>
          <cell r="I83">
            <v>91505.551616700657</v>
          </cell>
          <cell r="J83">
            <v>97656.335698238923</v>
          </cell>
        </row>
        <row r="84">
          <cell r="F84">
            <v>44611.253249541718</v>
          </cell>
          <cell r="G84">
            <v>42743.856357513861</v>
          </cell>
          <cell r="H84">
            <v>39718.926322883999</v>
          </cell>
          <cell r="I84">
            <v>40650.763868455717</v>
          </cell>
          <cell r="J84">
            <v>41596.02501735511</v>
          </cell>
        </row>
        <row r="85">
          <cell r="F85">
            <v>803.71815283335627</v>
          </cell>
          <cell r="G85">
            <v>1233.7362030309814</v>
          </cell>
          <cell r="H85">
            <v>1812.7926657264195</v>
          </cell>
          <cell r="I85">
            <v>1928.6255716970338</v>
          </cell>
          <cell r="J85">
            <v>1878.8521597331237</v>
          </cell>
        </row>
        <row r="87">
          <cell r="F87">
            <v>124514.20737227348</v>
          </cell>
          <cell r="G87">
            <v>125836.3603003718</v>
          </cell>
          <cell r="H87">
            <v>120997.93789884618</v>
          </cell>
          <cell r="I87">
            <v>120419.60671778345</v>
          </cell>
          <cell r="J87">
            <v>127013.8263556062</v>
          </cell>
        </row>
        <row r="135">
          <cell r="F135">
            <v>1244584.2486338834</v>
          </cell>
          <cell r="G135">
            <v>1388202.5591252826</v>
          </cell>
          <cell r="H135">
            <v>1743808.3315440104</v>
          </cell>
          <cell r="I135">
            <v>2005770.766356105</v>
          </cell>
          <cell r="J135">
            <v>2155645.6106663859</v>
          </cell>
        </row>
        <row r="141">
          <cell r="F141">
            <v>1388202.5591252826</v>
          </cell>
          <cell r="G141">
            <v>1743808.3315440104</v>
          </cell>
          <cell r="H141">
            <v>2005770.766356105</v>
          </cell>
          <cell r="I141">
            <v>2155645.6106663859</v>
          </cell>
          <cell r="J141">
            <v>2323334.5450064363</v>
          </cell>
        </row>
        <row r="190">
          <cell r="E190">
            <v>305455.19839237211</v>
          </cell>
          <cell r="F190">
            <v>456796.65416980168</v>
          </cell>
          <cell r="G190">
            <v>460241.93664313143</v>
          </cell>
          <cell r="H190">
            <v>539451.70957207843</v>
          </cell>
          <cell r="I190">
            <v>590651.61114843329</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Int Expense Proxy"/>
    </sheetNames>
    <sheetDataSet>
      <sheetData sheetId="0">
        <row r="20">
          <cell r="K20">
            <v>-305455.19839237211</v>
          </cell>
          <cell r="L20">
            <v>-456796.65416980168</v>
          </cell>
          <cell r="M20">
            <v>-460241.93664313143</v>
          </cell>
          <cell r="N20">
            <v>-539451.70957207843</v>
          </cell>
          <cell r="O20">
            <v>-590651.61114843329</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12"/>
  <sheetViews>
    <sheetView showGridLines="0" tabSelected="1" zoomScale="70" zoomScaleNormal="70" workbookViewId="0">
      <selection activeCell="B3" sqref="B3"/>
    </sheetView>
  </sheetViews>
  <sheetFormatPr defaultRowHeight="12.75" x14ac:dyDescent="0.2"/>
  <cols>
    <col min="1" max="1" width="1.7109375" style="2" customWidth="1"/>
    <col min="2" max="2" width="53.7109375" style="2" bestFit="1" customWidth="1"/>
    <col min="3" max="3" width="14.85546875" style="2" customWidth="1"/>
    <col min="4" max="15" width="12.42578125" style="2" customWidth="1"/>
    <col min="16" max="16384" width="9.140625" style="2"/>
  </cols>
  <sheetData>
    <row r="1" spans="1:22" x14ac:dyDescent="0.2">
      <c r="A1" s="1"/>
      <c r="B1" s="1"/>
      <c r="C1" s="1"/>
      <c r="D1" s="1"/>
      <c r="E1" s="1"/>
      <c r="F1" s="1"/>
      <c r="G1" s="1"/>
      <c r="H1" s="1"/>
      <c r="I1" s="1"/>
      <c r="J1" s="1"/>
      <c r="K1" s="1"/>
      <c r="L1" s="1"/>
      <c r="M1" s="1"/>
      <c r="N1" s="1"/>
      <c r="O1" s="1"/>
    </row>
    <row r="2" spans="1:22" x14ac:dyDescent="0.2">
      <c r="A2" s="1"/>
      <c r="B2" s="1"/>
      <c r="C2" s="1"/>
      <c r="D2" s="3" t="s">
        <v>1</v>
      </c>
      <c r="E2" s="3" t="s">
        <v>1</v>
      </c>
      <c r="F2" s="3" t="s">
        <v>0</v>
      </c>
      <c r="G2" s="3" t="s">
        <v>0</v>
      </c>
      <c r="H2" s="3" t="s">
        <v>0</v>
      </c>
      <c r="I2" s="3" t="s">
        <v>0</v>
      </c>
      <c r="J2" s="3" t="s">
        <v>0</v>
      </c>
      <c r="K2" s="25" t="s">
        <v>2</v>
      </c>
      <c r="L2" s="25" t="s">
        <v>2</v>
      </c>
      <c r="M2" s="25" t="s">
        <v>2</v>
      </c>
      <c r="N2" s="25" t="s">
        <v>2</v>
      </c>
      <c r="O2" s="25" t="s">
        <v>2</v>
      </c>
    </row>
    <row r="3" spans="1:22" x14ac:dyDescent="0.2">
      <c r="A3" s="1"/>
      <c r="B3" s="1"/>
      <c r="C3" s="1"/>
      <c r="D3" s="4" t="s">
        <v>46</v>
      </c>
      <c r="E3" s="4" t="s">
        <v>47</v>
      </c>
      <c r="F3" s="4" t="s">
        <v>48</v>
      </c>
      <c r="G3" s="4" t="s">
        <v>49</v>
      </c>
      <c r="H3" s="4" t="s">
        <v>50</v>
      </c>
      <c r="I3" s="4" t="s">
        <v>51</v>
      </c>
      <c r="J3" s="4" t="s">
        <v>52</v>
      </c>
      <c r="K3" s="26" t="s">
        <v>53</v>
      </c>
      <c r="L3" s="26" t="s">
        <v>54</v>
      </c>
      <c r="M3" s="26" t="s">
        <v>55</v>
      </c>
      <c r="N3" s="26" t="s">
        <v>56</v>
      </c>
      <c r="O3" s="26" t="s">
        <v>57</v>
      </c>
    </row>
    <row r="4" spans="1:22" x14ac:dyDescent="0.2">
      <c r="A4" s="1"/>
      <c r="B4" s="1"/>
      <c r="C4" s="1"/>
      <c r="D4" s="4"/>
      <c r="E4" s="4"/>
      <c r="F4" s="4"/>
      <c r="G4" s="4"/>
      <c r="H4" s="4"/>
      <c r="I4" s="4"/>
      <c r="J4" s="4"/>
      <c r="K4" s="26"/>
      <c r="L4" s="26"/>
      <c r="M4" s="26"/>
      <c r="N4" s="26"/>
      <c r="O4" s="26"/>
    </row>
    <row r="5" spans="1:22" x14ac:dyDescent="0.2">
      <c r="A5" s="1"/>
      <c r="B5" s="10" t="s">
        <v>19</v>
      </c>
      <c r="C5" s="11"/>
      <c r="D5" s="12"/>
      <c r="E5" s="12"/>
      <c r="F5" s="12"/>
      <c r="G5" s="12"/>
      <c r="H5" s="12"/>
      <c r="I5" s="12"/>
      <c r="J5" s="12"/>
      <c r="K5" s="12"/>
      <c r="L5" s="12"/>
      <c r="M5" s="12"/>
      <c r="N5" s="12"/>
      <c r="O5" s="12"/>
    </row>
    <row r="6" spans="1:22" ht="0.95" customHeight="1" x14ac:dyDescent="0.2">
      <c r="A6" s="1"/>
      <c r="B6" s="6"/>
      <c r="C6" s="6"/>
      <c r="D6" s="6"/>
      <c r="E6" s="6"/>
      <c r="F6" s="6"/>
      <c r="G6" s="6"/>
      <c r="H6" s="6"/>
      <c r="I6" s="6"/>
      <c r="J6" s="6"/>
      <c r="K6" s="1"/>
      <c r="L6" s="1"/>
      <c r="M6" s="1"/>
      <c r="N6" s="1"/>
      <c r="O6" s="1"/>
    </row>
    <row r="7" spans="1:22" x14ac:dyDescent="0.2">
      <c r="A7" s="1"/>
      <c r="B7" s="6" t="s">
        <v>20</v>
      </c>
      <c r="C7" s="1" t="s">
        <v>18</v>
      </c>
      <c r="D7" s="6">
        <f>'[1]S2.Regulatory Profit Statement'!$J$42</f>
        <v>141975.44201955409</v>
      </c>
      <c r="E7" s="6">
        <f>'[2]S2.Regulatory Profit Statement'!$J$42</f>
        <v>78508.379752017063</v>
      </c>
      <c r="F7" s="6">
        <f>'[3]S2.Regulatory Profit Statement'!$J$42</f>
        <v>76083.109846339546</v>
      </c>
      <c r="G7" s="6">
        <f>'[4]S2.Regulatory Profit Statement'!$J$42</f>
        <v>101127.74109305118</v>
      </c>
      <c r="H7" s="6">
        <f>'[5]S2.Regulatory Profit Statement'!$J$42</f>
        <v>96461.038758992057</v>
      </c>
      <c r="I7" s="6">
        <f>'[6]S2.Regulatory Profit Statement'!$J$42</f>
        <v>102011.8834003105</v>
      </c>
      <c r="J7" s="6">
        <f>'[7]S2.Regulatory Profit Statement'!$J$38</f>
        <v>126794.30872424971</v>
      </c>
      <c r="K7" s="28">
        <f>'[8]S18.Total Revenue'!F87</f>
        <v>124514.20737227348</v>
      </c>
      <c r="L7" s="28">
        <f>'[8]S18.Total Revenue'!G87</f>
        <v>125836.3603003718</v>
      </c>
      <c r="M7" s="28">
        <f>'[8]S18.Total Revenue'!H87</f>
        <v>120997.93789884618</v>
      </c>
      <c r="N7" s="28">
        <f>'[8]S18.Total Revenue'!I87</f>
        <v>120419.60671778345</v>
      </c>
      <c r="O7" s="28">
        <f>'[8]S18.Total Revenue'!J87</f>
        <v>127013.8263556062</v>
      </c>
    </row>
    <row r="8" spans="1:22" x14ac:dyDescent="0.2">
      <c r="A8" s="1"/>
      <c r="B8" s="35" t="s">
        <v>44</v>
      </c>
      <c r="C8" s="1"/>
      <c r="D8" s="1">
        <v>-11734.801905223138</v>
      </c>
      <c r="E8" s="1">
        <v>-25473.970608073178</v>
      </c>
      <c r="F8" s="1">
        <v>-37802.702991789818</v>
      </c>
      <c r="G8" s="1">
        <v>-30404.675459884988</v>
      </c>
      <c r="H8" s="1">
        <v>-45930.694562767843</v>
      </c>
      <c r="I8" s="1">
        <v>-38562.600859753526</v>
      </c>
      <c r="J8" s="1">
        <v>-51387.904332925427</v>
      </c>
      <c r="K8" s="27">
        <v>-65194.479300260646</v>
      </c>
      <c r="L8" s="27">
        <v>-85841.688068735675</v>
      </c>
      <c r="M8" s="27">
        <v>-106644.62360500521</v>
      </c>
      <c r="N8" s="27">
        <v>-131027.84087766315</v>
      </c>
      <c r="O8" s="27">
        <v>-157725.29370157234</v>
      </c>
      <c r="P8" s="1"/>
      <c r="Q8" s="1"/>
      <c r="R8" s="1"/>
      <c r="S8" s="1"/>
      <c r="T8" s="1"/>
      <c r="U8" s="1"/>
      <c r="V8" s="1"/>
    </row>
    <row r="9" spans="1:22" x14ac:dyDescent="0.2">
      <c r="A9" s="1"/>
      <c r="B9" s="35" t="s">
        <v>45</v>
      </c>
      <c r="C9" s="1"/>
      <c r="D9" s="1">
        <f t="shared" ref="D9:O9" si="0">-0.28*D8</f>
        <v>3285.744533462479</v>
      </c>
      <c r="E9" s="1">
        <f t="shared" si="0"/>
        <v>7132.7117702604901</v>
      </c>
      <c r="F9" s="1">
        <f t="shared" si="0"/>
        <v>10584.75683770115</v>
      </c>
      <c r="G9" s="1">
        <f t="shared" si="0"/>
        <v>8513.309128767798</v>
      </c>
      <c r="H9" s="1">
        <f t="shared" si="0"/>
        <v>12860.594477574998</v>
      </c>
      <c r="I9" s="1">
        <f t="shared" si="0"/>
        <v>10797.528240730988</v>
      </c>
      <c r="J9" s="1">
        <f t="shared" si="0"/>
        <v>14388.613213219121</v>
      </c>
      <c r="K9" s="27">
        <f t="shared" si="0"/>
        <v>18254.454204072983</v>
      </c>
      <c r="L9" s="27">
        <f t="shared" si="0"/>
        <v>24035.672659245993</v>
      </c>
      <c r="M9" s="27">
        <f t="shared" si="0"/>
        <v>29860.494609401463</v>
      </c>
      <c r="N9" s="27">
        <f t="shared" si="0"/>
        <v>36687.795445745687</v>
      </c>
      <c r="O9" s="27">
        <f t="shared" si="0"/>
        <v>44163.082236440263</v>
      </c>
    </row>
    <row r="10" spans="1:22" ht="12.75" customHeight="1" x14ac:dyDescent="0.2">
      <c r="A10" s="1"/>
      <c r="B10" s="1"/>
      <c r="C10" s="1"/>
      <c r="D10" s="6"/>
      <c r="E10" s="6"/>
      <c r="F10" s="6"/>
      <c r="G10" s="6"/>
      <c r="H10" s="6"/>
      <c r="I10" s="6"/>
      <c r="J10" s="6"/>
      <c r="K10" s="28"/>
      <c r="L10" s="28"/>
      <c r="M10" s="28"/>
      <c r="N10" s="28"/>
      <c r="O10" s="28"/>
    </row>
    <row r="11" spans="1:22" x14ac:dyDescent="0.2">
      <c r="A11" s="1"/>
      <c r="B11" s="5" t="s">
        <v>4</v>
      </c>
      <c r="C11" s="5"/>
      <c r="D11" s="1"/>
      <c r="E11" s="1"/>
      <c r="F11" s="1"/>
      <c r="G11" s="1"/>
      <c r="H11" s="1"/>
      <c r="I11" s="1"/>
      <c r="J11" s="1"/>
      <c r="K11" s="27"/>
      <c r="L11" s="27"/>
      <c r="M11" s="27"/>
      <c r="N11" s="27"/>
      <c r="O11" s="27"/>
    </row>
    <row r="12" spans="1:22" x14ac:dyDescent="0.2">
      <c r="B12" s="8" t="s">
        <v>3</v>
      </c>
      <c r="K12" s="29"/>
      <c r="L12" s="29"/>
      <c r="M12" s="29"/>
      <c r="N12" s="29"/>
      <c r="O12" s="29"/>
    </row>
    <row r="13" spans="1:22" x14ac:dyDescent="0.2">
      <c r="B13" s="8" t="s">
        <v>12</v>
      </c>
      <c r="C13" s="1" t="s">
        <v>18</v>
      </c>
      <c r="D13" s="1">
        <f>'[1]S2.Regulatory Profit Statement'!$J$28</f>
        <v>43755.632109065416</v>
      </c>
      <c r="E13" s="1">
        <f>'[2]S2.Regulatory Profit Statement'!$J$28</f>
        <v>46187.417026773866</v>
      </c>
      <c r="F13" s="1">
        <f>'[3]S2.Regulatory Profit Statement'!$J$28</f>
        <v>46141.565300135524</v>
      </c>
      <c r="G13" s="1">
        <f>'[4]S2.Regulatory Profit Statement'!$J$28</f>
        <v>43993.868711756208</v>
      </c>
      <c r="H13" s="1">
        <f>'[5]S2.Regulatory Profit Statement'!$J$28</f>
        <v>45710.824348692855</v>
      </c>
      <c r="I13" s="1">
        <f>'[6]S2.Regulatory Profit Statement'!$J$28</f>
        <v>51999.539476986043</v>
      </c>
      <c r="J13" s="1">
        <f>'[7]S2.Regulatory Profit Statement'!$J$28</f>
        <v>44400.55819511442</v>
      </c>
      <c r="K13" s="27">
        <f>'[8]S18.Total Revenue'!F83</f>
        <v>52312.337159410497</v>
      </c>
      <c r="L13" s="27">
        <f>'[8]S18.Total Revenue'!G83</f>
        <v>60725.143090090445</v>
      </c>
      <c r="M13" s="27">
        <f>'[8]S18.Total Revenue'!H83</f>
        <v>79091.565080343964</v>
      </c>
      <c r="N13" s="27">
        <f>'[8]S18.Total Revenue'!I83</f>
        <v>91505.551616700657</v>
      </c>
      <c r="O13" s="27">
        <f>'[8]S18.Total Revenue'!J83</f>
        <v>97656.335698238923</v>
      </c>
    </row>
    <row r="14" spans="1:22" x14ac:dyDescent="0.2">
      <c r="B14" s="8" t="s">
        <v>13</v>
      </c>
      <c r="C14" s="1" t="s">
        <v>18</v>
      </c>
      <c r="D14" s="1">
        <f>-'[1]S2.Regulatory Profit Statement'!$J$32</f>
        <v>-75428.642648319888</v>
      </c>
      <c r="E14" s="1">
        <f>-'[2]S2.Regulatory Profit Statement'!$J$32</f>
        <v>-10790.58511381322</v>
      </c>
      <c r="F14" s="1">
        <f>-'[3]S2.Regulatory Profit Statement'!$J$32</f>
        <v>-7652.7159556150837</v>
      </c>
      <c r="G14" s="1">
        <f>-'[4]S2.Regulatory Profit Statement'!$J$32</f>
        <v>-18147.519299508633</v>
      </c>
      <c r="H14" s="1">
        <f>-'[5]S2.Regulatory Profit Statement'!$J$32</f>
        <v>-4790.4079079341709</v>
      </c>
      <c r="I14" s="1">
        <f>-'[6]S2.Regulatory Profit Statement'!$J$32</f>
        <v>-4801.8850857207035</v>
      </c>
      <c r="J14" s="1">
        <f>-'[7]S2.Regulatory Profit Statement'!$J$32</f>
        <v>-980.80002151867302</v>
      </c>
      <c r="K14" s="27">
        <f>-'[8]S18.Total Revenue'!F85</f>
        <v>-803.71815283335627</v>
      </c>
      <c r="L14" s="27">
        <f>-'[8]S18.Total Revenue'!G85</f>
        <v>-1233.7362030309814</v>
      </c>
      <c r="M14" s="27">
        <f>-'[8]S18.Total Revenue'!H85</f>
        <v>-1812.7926657264195</v>
      </c>
      <c r="N14" s="27">
        <f>-'[8]S18.Total Revenue'!I85</f>
        <v>-1928.6255716970338</v>
      </c>
      <c r="O14" s="27">
        <f>-'[8]S18.Total Revenue'!J85</f>
        <v>-1878.8521597331237</v>
      </c>
    </row>
    <row r="15" spans="1:22" x14ac:dyDescent="0.2">
      <c r="B15" s="8" t="s">
        <v>23</v>
      </c>
      <c r="C15" s="1" t="s">
        <v>18</v>
      </c>
      <c r="D15" s="1">
        <f>-'[1]S2.Regulatory Profit Statement'!$H$16</f>
        <v>102.76716404274805</v>
      </c>
      <c r="E15" s="1">
        <f>-'[2]S2.Regulatory Profit Statement'!$H$16</f>
        <v>-80.999400419436725</v>
      </c>
      <c r="F15" s="1">
        <f>-'[3]S2.Regulatory Profit Statement'!$H$16</f>
        <v>2.4239999999999998E-2</v>
      </c>
      <c r="G15" s="1">
        <f>-'[4]S2.Regulatory Profit Statement'!$H$16</f>
        <v>-13.274394462441981</v>
      </c>
      <c r="H15" s="1">
        <f>-'[5]S2.Regulatory Profit Statement'!$H$16</f>
        <v>-237.2377415064899</v>
      </c>
      <c r="I15" s="1">
        <f>-'[6]S2.Regulatory Profit Statement'!$H$16</f>
        <v>4480.0228842256975</v>
      </c>
      <c r="J15" s="1">
        <f>-'[7]S2.Regulatory Profit Statement'!$H$16</f>
        <v>2382.6862352794392</v>
      </c>
      <c r="K15" s="27"/>
      <c r="L15" s="27"/>
      <c r="M15" s="27"/>
      <c r="N15" s="27"/>
      <c r="O15" s="27"/>
    </row>
    <row r="16" spans="1:22" x14ac:dyDescent="0.2">
      <c r="B16" s="8" t="s">
        <v>33</v>
      </c>
      <c r="C16" s="1" t="s">
        <v>18</v>
      </c>
      <c r="D16" s="1">
        <f>'[1]S2.Regulatory Profit Statement'!$J$36</f>
        <v>81.723063646248164</v>
      </c>
      <c r="E16" s="1">
        <f>'[2]S2.Regulatory Profit Statement'!$J$36</f>
        <v>88.59437921641657</v>
      </c>
      <c r="F16" s="1">
        <f>'[3]S2.Regulatory Profit Statement'!$J$36</f>
        <v>119.2575588299899</v>
      </c>
      <c r="G16" s="1">
        <f>'[4]S2.Regulatory Profit Statement'!$J$36</f>
        <v>95.543649071495594</v>
      </c>
      <c r="H16" s="1">
        <f>'[5]S2.Regulatory Profit Statement'!$J$36</f>
        <v>1.4605673118683633</v>
      </c>
      <c r="I16" s="1">
        <f>'[6]S2.Regulatory Profit Statement'!$J$36</f>
        <v>222.9601000400524</v>
      </c>
      <c r="J16" s="1"/>
      <c r="K16" s="29"/>
      <c r="L16" s="29"/>
      <c r="M16" s="29"/>
      <c r="N16" s="29"/>
      <c r="O16" s="29"/>
    </row>
    <row r="17" spans="1:15" x14ac:dyDescent="0.2">
      <c r="A17" s="1"/>
      <c r="B17" s="16" t="s">
        <v>15</v>
      </c>
      <c r="C17" s="1"/>
      <c r="D17" s="18">
        <f t="shared" ref="D17:O17" si="1">SUM(D7:D16)</f>
        <v>102037.86433622795</v>
      </c>
      <c r="E17" s="18">
        <f t="shared" si="1"/>
        <v>95571.547805962007</v>
      </c>
      <c r="F17" s="18">
        <f t="shared" si="1"/>
        <v>87473.294835601308</v>
      </c>
      <c r="G17" s="18">
        <f t="shared" si="1"/>
        <v>105164.99342879064</v>
      </c>
      <c r="H17" s="18">
        <f t="shared" si="1"/>
        <v>104075.57794036326</v>
      </c>
      <c r="I17" s="18">
        <f t="shared" si="1"/>
        <v>126147.44815681905</v>
      </c>
      <c r="J17" s="18">
        <f t="shared" si="1"/>
        <v>135597.46201341861</v>
      </c>
      <c r="K17" s="30">
        <f t="shared" si="1"/>
        <v>129082.80128266296</v>
      </c>
      <c r="L17" s="30">
        <f t="shared" si="1"/>
        <v>123521.75177794159</v>
      </c>
      <c r="M17" s="30">
        <f t="shared" si="1"/>
        <v>121492.58131785998</v>
      </c>
      <c r="N17" s="30">
        <f t="shared" si="1"/>
        <v>115656.48733086961</v>
      </c>
      <c r="O17" s="30">
        <f t="shared" si="1"/>
        <v>109229.09842897992</v>
      </c>
    </row>
    <row r="18" spans="1:15" ht="12.75" customHeight="1" x14ac:dyDescent="0.2">
      <c r="A18" s="1"/>
      <c r="B18" s="17"/>
      <c r="C18" s="1"/>
      <c r="D18" s="1"/>
      <c r="E18" s="1"/>
      <c r="F18" s="1"/>
      <c r="G18" s="1"/>
      <c r="H18" s="1"/>
      <c r="I18" s="1"/>
      <c r="J18" s="1"/>
      <c r="K18" s="27"/>
      <c r="L18" s="27"/>
      <c r="M18" s="27"/>
      <c r="N18" s="27"/>
      <c r="O18" s="27"/>
    </row>
    <row r="19" spans="1:15" x14ac:dyDescent="0.2">
      <c r="A19" s="1"/>
      <c r="B19" s="16" t="s">
        <v>5</v>
      </c>
      <c r="C19" s="1"/>
      <c r="D19" s="1"/>
      <c r="E19" s="1"/>
      <c r="F19" s="1"/>
      <c r="G19" s="1"/>
      <c r="H19" s="1"/>
      <c r="I19" s="1"/>
      <c r="J19" s="1"/>
      <c r="K19" s="27"/>
      <c r="L19" s="27"/>
      <c r="M19" s="27"/>
      <c r="N19" s="27"/>
      <c r="O19" s="27"/>
    </row>
    <row r="20" spans="1:15" x14ac:dyDescent="0.2">
      <c r="A20" s="1"/>
      <c r="B20" s="19" t="s">
        <v>14</v>
      </c>
      <c r="C20" s="1" t="s">
        <v>9</v>
      </c>
      <c r="D20" s="1">
        <f>-'[1]S4.RAB Roll-Forward'!$N$107</f>
        <v>-12370.179296354052</v>
      </c>
      <c r="E20" s="1">
        <f>-'[2]S4.RAB Roll-Forward'!$N$107</f>
        <v>-30252.046552781434</v>
      </c>
      <c r="F20" s="1">
        <f>-'[3]S4.RAB Roll-Forward'!$N$107</f>
        <v>-50702.941138878334</v>
      </c>
      <c r="G20" s="1">
        <f>-'[4]S4.RAB Roll-Forward'!$N$107</f>
        <v>-52947.042014246981</v>
      </c>
      <c r="H20" s="1">
        <f>-'[5]S4.RAB Roll-Forward'!$N$107</f>
        <v>-74910.171463696504</v>
      </c>
      <c r="I20" s="1">
        <f>-'[6]S4.RAB Roll-Forward'!$N$107</f>
        <v>-110204.75357334968</v>
      </c>
      <c r="J20" s="1">
        <f>-'[7]S4.RAB Roll-Forward'!$N$94</f>
        <v>-233111.95827538925</v>
      </c>
      <c r="K20" s="27">
        <f>-'[8]S18.Total Revenue'!E190</f>
        <v>-305455.19839237211</v>
      </c>
      <c r="L20" s="27">
        <f>-'[8]S18.Total Revenue'!F190</f>
        <v>-456796.65416980168</v>
      </c>
      <c r="M20" s="27">
        <f>-'[8]S18.Total Revenue'!G190</f>
        <v>-460241.93664313143</v>
      </c>
      <c r="N20" s="27">
        <f>-'[8]S18.Total Revenue'!H190</f>
        <v>-539451.70957207843</v>
      </c>
      <c r="O20" s="27">
        <f>-'[8]S18.Total Revenue'!I190</f>
        <v>-590651.61114843329</v>
      </c>
    </row>
    <row r="21" spans="1:15" x14ac:dyDescent="0.2">
      <c r="A21" s="1"/>
      <c r="B21" s="16" t="s">
        <v>16</v>
      </c>
      <c r="C21" s="1"/>
      <c r="D21" s="18">
        <f>SUM(D19:D20)</f>
        <v>-12370.179296354052</v>
      </c>
      <c r="E21" s="18">
        <f t="shared" ref="E21:J21" si="2">SUM(E19:E20)</f>
        <v>-30252.046552781434</v>
      </c>
      <c r="F21" s="18">
        <f t="shared" si="2"/>
        <v>-50702.941138878334</v>
      </c>
      <c r="G21" s="18">
        <f t="shared" si="2"/>
        <v>-52947.042014246981</v>
      </c>
      <c r="H21" s="18">
        <f t="shared" si="2"/>
        <v>-74910.171463696504</v>
      </c>
      <c r="I21" s="18">
        <f t="shared" si="2"/>
        <v>-110204.75357334968</v>
      </c>
      <c r="J21" s="18">
        <f t="shared" si="2"/>
        <v>-233111.95827538925</v>
      </c>
      <c r="K21" s="30">
        <f>SUM(K19:K20)</f>
        <v>-305455.19839237211</v>
      </c>
      <c r="L21" s="30">
        <f>SUM(L19:L20)</f>
        <v>-456796.65416980168</v>
      </c>
      <c r="M21" s="30">
        <f>SUM(M19:M20)</f>
        <v>-460241.93664313143</v>
      </c>
      <c r="N21" s="30">
        <f>SUM(N19:N20)</f>
        <v>-539451.70957207843</v>
      </c>
      <c r="O21" s="30">
        <f>SUM(O19:O20)</f>
        <v>-590651.61114843329</v>
      </c>
    </row>
    <row r="22" spans="1:15" ht="12.75" customHeight="1" x14ac:dyDescent="0.2">
      <c r="A22" s="1"/>
      <c r="B22" s="17"/>
      <c r="C22" s="1"/>
      <c r="D22" s="1"/>
      <c r="E22" s="1"/>
      <c r="F22" s="1"/>
      <c r="G22" s="1"/>
      <c r="H22" s="1"/>
      <c r="I22" s="1"/>
      <c r="J22" s="1"/>
      <c r="K22" s="27"/>
      <c r="L22" s="27"/>
      <c r="M22" s="27"/>
      <c r="N22" s="27"/>
      <c r="O22" s="27"/>
    </row>
    <row r="23" spans="1:15" ht="13.5" thickBot="1" x14ac:dyDescent="0.25">
      <c r="A23" s="1"/>
      <c r="B23" s="16" t="s">
        <v>17</v>
      </c>
      <c r="C23" s="1"/>
      <c r="D23" s="15">
        <f>D17+D21</f>
        <v>89667.685039873904</v>
      </c>
      <c r="E23" s="15">
        <f t="shared" ref="E23:J23" si="3">E17+E21</f>
        <v>65319.50125318057</v>
      </c>
      <c r="F23" s="15">
        <f t="shared" si="3"/>
        <v>36770.353696722974</v>
      </c>
      <c r="G23" s="15">
        <f t="shared" si="3"/>
        <v>52217.951414543655</v>
      </c>
      <c r="H23" s="15">
        <f t="shared" si="3"/>
        <v>29165.406476666758</v>
      </c>
      <c r="I23" s="15">
        <f t="shared" si="3"/>
        <v>15942.694583469376</v>
      </c>
      <c r="J23" s="15">
        <f t="shared" si="3"/>
        <v>-97514.496261970635</v>
      </c>
      <c r="K23" s="31">
        <f>K17+K21</f>
        <v>-176372.39710970916</v>
      </c>
      <c r="L23" s="31">
        <f>L17+L21</f>
        <v>-333274.90239186009</v>
      </c>
      <c r="M23" s="31">
        <f>M17+M21</f>
        <v>-338749.35532527143</v>
      </c>
      <c r="N23" s="31">
        <f>N17+N21</f>
        <v>-423795.22224120883</v>
      </c>
      <c r="O23" s="31">
        <f>O17+O21</f>
        <v>-481422.51271945337</v>
      </c>
    </row>
    <row r="24" spans="1:15" ht="5.0999999999999996" customHeight="1" x14ac:dyDescent="0.2">
      <c r="A24" s="1"/>
      <c r="B24" s="1"/>
      <c r="C24" s="1"/>
      <c r="D24" s="1"/>
      <c r="E24" s="1"/>
      <c r="F24" s="1"/>
      <c r="G24" s="1"/>
      <c r="H24" s="1"/>
      <c r="I24" s="1"/>
      <c r="J24" s="1"/>
      <c r="K24" s="27"/>
      <c r="L24" s="27"/>
      <c r="M24" s="27"/>
      <c r="N24" s="27"/>
      <c r="O24" s="27"/>
    </row>
    <row r="25" spans="1:15" x14ac:dyDescent="0.2">
      <c r="A25" s="1"/>
      <c r="B25" s="10" t="s">
        <v>6</v>
      </c>
      <c r="C25" s="11"/>
      <c r="D25" s="11"/>
      <c r="E25" s="11"/>
      <c r="F25" s="11"/>
      <c r="G25" s="11"/>
      <c r="H25" s="11"/>
      <c r="I25" s="11"/>
      <c r="J25" s="11"/>
      <c r="K25" s="11"/>
      <c r="L25" s="11"/>
      <c r="M25" s="11"/>
      <c r="N25" s="11"/>
      <c r="O25" s="11"/>
    </row>
    <row r="26" spans="1:15" ht="0.95" customHeight="1" x14ac:dyDescent="0.2">
      <c r="A26" s="1"/>
      <c r="B26" s="6"/>
      <c r="C26" s="1"/>
      <c r="D26" s="1"/>
      <c r="E26" s="1"/>
      <c r="F26" s="1"/>
      <c r="G26" s="1"/>
      <c r="H26" s="1"/>
      <c r="I26" s="1"/>
      <c r="J26" s="1"/>
      <c r="K26" s="1"/>
      <c r="L26" s="1"/>
      <c r="M26" s="1"/>
      <c r="N26" s="1"/>
      <c r="O26" s="1"/>
    </row>
    <row r="27" spans="1:15" x14ac:dyDescent="0.2">
      <c r="A27" s="1"/>
      <c r="B27" s="13" t="s">
        <v>7</v>
      </c>
      <c r="C27" s="1" t="s">
        <v>9</v>
      </c>
      <c r="D27" s="1">
        <f>'[1]S4.RAB Roll-Forward'!$N$8</f>
        <v>1082330.7060645809</v>
      </c>
      <c r="E27" s="1">
        <f>'[2]S4.RAB Roll-Forward'!$N$8</f>
        <v>1136886.1229923188</v>
      </c>
      <c r="F27" s="1">
        <f>'[3]S4.RAB Roll-Forward'!$N$8</f>
        <v>1119427.5257842487</v>
      </c>
      <c r="G27" s="1">
        <f>'[4]S4.RAB Roll-Forward'!$N$8</f>
        <v>1124518.4814921515</v>
      </c>
      <c r="H27" s="1">
        <f>'[5]S4.RAB Roll-Forward'!$N$8</f>
        <v>1146936.7709550792</v>
      </c>
      <c r="I27" s="1">
        <f>'[6]S4.RAB Roll-Forward'!$N$8</f>
        <v>1163604.5055712608</v>
      </c>
      <c r="J27" s="1">
        <f>'[7]S4.RAB Roll-Forward'!$N$8</f>
        <v>1107225.2950594418</v>
      </c>
      <c r="K27" s="27">
        <f>'[8]S18.Total Revenue'!F135</f>
        <v>1244584.2486338834</v>
      </c>
      <c r="L27" s="27">
        <f>'[8]S18.Total Revenue'!G135</f>
        <v>1388202.5591252826</v>
      </c>
      <c r="M27" s="27">
        <f>'[8]S18.Total Revenue'!H135</f>
        <v>1743808.3315440104</v>
      </c>
      <c r="N27" s="27">
        <f>'[8]S18.Total Revenue'!I135</f>
        <v>2005770.766356105</v>
      </c>
      <c r="O27" s="27">
        <f>'[8]S18.Total Revenue'!J135</f>
        <v>2155645.6106663859</v>
      </c>
    </row>
    <row r="28" spans="1:15" x14ac:dyDescent="0.2">
      <c r="A28" s="1"/>
      <c r="B28" s="13" t="s">
        <v>8</v>
      </c>
      <c r="C28" s="1" t="s">
        <v>9</v>
      </c>
      <c r="D28" s="1">
        <f>'[1]S4.RAB Roll-Forward'!$N$30</f>
        <v>1136886.1230052675</v>
      </c>
      <c r="E28" s="1">
        <f>'[2]S4.RAB Roll-Forward'!$N$30</f>
        <v>1119427.5258976761</v>
      </c>
      <c r="F28" s="1">
        <f>'[3]S4.RAB Roll-Forward'!$N$30</f>
        <v>1124518.5488138706</v>
      </c>
      <c r="G28" s="1">
        <f>'[4]S4.RAB Roll-Forward'!$N$30</f>
        <v>1146936.7709550792</v>
      </c>
      <c r="H28" s="1">
        <f>'[5]S4.RAB Roll-Forward'!$N$30</f>
        <v>1163604.5055712608</v>
      </c>
      <c r="I28" s="1">
        <f>'[6]S4.RAB Roll-Forward'!$N$30</f>
        <v>1193657.5080249095</v>
      </c>
      <c r="J28" s="1">
        <f>'[7]S4.RAB Roll-Forward'!$N$30</f>
        <v>1187256.7349793613</v>
      </c>
      <c r="K28" s="27">
        <f>'[8]S18.Total Revenue'!F141</f>
        <v>1388202.5591252826</v>
      </c>
      <c r="L28" s="27">
        <f>'[8]S18.Total Revenue'!G141</f>
        <v>1743808.3315440104</v>
      </c>
      <c r="M28" s="27">
        <f>'[8]S18.Total Revenue'!H141</f>
        <v>2005770.766356105</v>
      </c>
      <c r="N28" s="27">
        <f>'[8]S18.Total Revenue'!I141</f>
        <v>2155645.6106663859</v>
      </c>
      <c r="O28" s="27">
        <f>'[8]S18.Total Revenue'!J141</f>
        <v>2323334.5450064363</v>
      </c>
    </row>
    <row r="29" spans="1:15" x14ac:dyDescent="0.2">
      <c r="A29" s="1"/>
      <c r="B29" s="14" t="s">
        <v>32</v>
      </c>
      <c r="C29" s="1" t="s">
        <v>18</v>
      </c>
      <c r="D29" s="1">
        <f>'[1]S2.Regulatory Profit Statement'!$J$14</f>
        <v>209591.42983840714</v>
      </c>
      <c r="E29" s="1">
        <f>'[2]S2.Regulatory Profit Statement'!$J$14</f>
        <v>220985.74300159694</v>
      </c>
      <c r="F29" s="1">
        <f>'[3]S2.Regulatory Profit Statement'!$J$14</f>
        <v>230429.26132742688</v>
      </c>
      <c r="G29" s="1">
        <f>'[4]S2.Regulatory Profit Statement'!$J$14</f>
        <v>247989.84064809643</v>
      </c>
      <c r="H29" s="1">
        <f>'[5]S2.Regulatory Profit Statement'!$J$14</f>
        <v>265855.45047656709</v>
      </c>
      <c r="I29" s="1">
        <f>'[6]S2.Regulatory Profit Statement'!$J$14</f>
        <v>290471.1143635913</v>
      </c>
      <c r="J29" s="1">
        <f>'[7]S2.Regulatory Profit Statement'!$J$14</f>
        <v>326213.14915818162</v>
      </c>
      <c r="K29" s="27">
        <f>'[8]S18.Total Revenue'!F80</f>
        <v>334356.49423340772</v>
      </c>
      <c r="L29" s="27">
        <f>'[8]S18.Total Revenue'!G80</f>
        <v>350536.80667661648</v>
      </c>
      <c r="M29" s="27">
        <f>'[8]S18.Total Revenue'!H80</f>
        <v>365276.66582561919</v>
      </c>
      <c r="N29" s="27">
        <f>'[8]S18.Total Revenue'!I80</f>
        <v>382692.16787240724</v>
      </c>
      <c r="O29" s="27">
        <f>'[8]S18.Total Revenue'!J80</f>
        <v>401785.61827419186</v>
      </c>
    </row>
    <row r="30" spans="1:15" x14ac:dyDescent="0.2">
      <c r="A30" s="1"/>
      <c r="B30" s="14" t="s">
        <v>10</v>
      </c>
      <c r="C30" s="1" t="s">
        <v>18</v>
      </c>
      <c r="D30" s="1">
        <f>-'[1]S2.Regulatory Profit Statement'!$J$24</f>
        <v>-74094.826552573446</v>
      </c>
      <c r="E30" s="1">
        <f>-'[2]S2.Regulatory Profit Statement'!$J$24</f>
        <v>-79667.710594892589</v>
      </c>
      <c r="F30" s="1">
        <f>-'[3]S2.Regulatory Profit Statement'!$J$24</f>
        <v>-85364.517998746334</v>
      </c>
      <c r="G30" s="1">
        <f>-'[4]S2.Regulatory Profit Statement'!$J$24</f>
        <v>-86064.75506651387</v>
      </c>
      <c r="H30" s="1">
        <f>-'[5]S2.Regulatory Profit Statement'!$J$24</f>
        <v>-90621.353286476602</v>
      </c>
      <c r="I30" s="1">
        <f>-'[6]S2.Regulatory Profit Statement'!$J$24</f>
        <v>-97981.447968650638</v>
      </c>
      <c r="J30" s="1">
        <f>-'[7]S2.Regulatory Profit Statement'!$J$24</f>
        <v>-106161.43451905191</v>
      </c>
      <c r="K30" s="27">
        <f>-'[8]S18.Total Revenue'!F82</f>
        <v>-113722.41460501539</v>
      </c>
      <c r="L30" s="27">
        <f>-'[8]S18.Total Revenue'!G82</f>
        <v>-122465.18313167134</v>
      </c>
      <c r="M30" s="27">
        <f>-'[8]S18.Total Revenue'!H82</f>
        <v>-127281.02918927144</v>
      </c>
      <c r="N30" s="27">
        <f>-'[8]S18.Total Revenue'!I82</f>
        <v>-132044.87124116445</v>
      </c>
      <c r="O30" s="27">
        <f>-'[8]S18.Total Revenue'!J82</f>
        <v>-137398.28336272476</v>
      </c>
    </row>
    <row r="31" spans="1:15" x14ac:dyDescent="0.2">
      <c r="A31" s="1"/>
      <c r="B31" s="14" t="s">
        <v>37</v>
      </c>
      <c r="C31" s="1"/>
      <c r="D31" s="1">
        <f t="shared" ref="D31:O31" si="4">SUM(D$30,D$20,D$8)</f>
        <v>-98199.807754150635</v>
      </c>
      <c r="E31" s="1">
        <f t="shared" si="4"/>
        <v>-135393.72775574721</v>
      </c>
      <c r="F31" s="1">
        <f t="shared" si="4"/>
        <v>-173870.16212941447</v>
      </c>
      <c r="G31" s="1">
        <f t="shared" si="4"/>
        <v>-169416.47254064583</v>
      </c>
      <c r="H31" s="1">
        <f t="shared" si="4"/>
        <v>-211462.21931294093</v>
      </c>
      <c r="I31" s="1">
        <f t="shared" si="4"/>
        <v>-246748.80240175384</v>
      </c>
      <c r="J31" s="1">
        <f t="shared" si="4"/>
        <v>-390661.29712736659</v>
      </c>
      <c r="K31" s="27">
        <f t="shared" si="4"/>
        <v>-484372.0922976482</v>
      </c>
      <c r="L31" s="27">
        <f t="shared" si="4"/>
        <v>-665103.52537020866</v>
      </c>
      <c r="M31" s="27">
        <f t="shared" si="4"/>
        <v>-694167.58943740814</v>
      </c>
      <c r="N31" s="27">
        <f t="shared" si="4"/>
        <v>-802524.42169090593</v>
      </c>
      <c r="O31" s="27">
        <f t="shared" si="4"/>
        <v>-885775.18821273046</v>
      </c>
    </row>
    <row r="32" spans="1:15" x14ac:dyDescent="0.2">
      <c r="A32" s="1"/>
      <c r="B32" s="14" t="s">
        <v>30</v>
      </c>
      <c r="C32" s="1"/>
      <c r="D32" s="1">
        <f t="shared" ref="D32:O32" si="5">D23</f>
        <v>89667.685039873904</v>
      </c>
      <c r="E32" s="1">
        <f t="shared" si="5"/>
        <v>65319.50125318057</v>
      </c>
      <c r="F32" s="1">
        <f t="shared" si="5"/>
        <v>36770.353696722974</v>
      </c>
      <c r="G32" s="1">
        <f t="shared" si="5"/>
        <v>52217.951414543655</v>
      </c>
      <c r="H32" s="1">
        <f t="shared" si="5"/>
        <v>29165.406476666758</v>
      </c>
      <c r="I32" s="1">
        <f t="shared" si="5"/>
        <v>15942.694583469376</v>
      </c>
      <c r="J32" s="1">
        <f t="shared" si="5"/>
        <v>-97514.496261970635</v>
      </c>
      <c r="K32" s="27">
        <f t="shared" si="5"/>
        <v>-176372.39710970916</v>
      </c>
      <c r="L32" s="27">
        <f t="shared" si="5"/>
        <v>-333274.90239186009</v>
      </c>
      <c r="M32" s="27">
        <f t="shared" si="5"/>
        <v>-338749.35532527143</v>
      </c>
      <c r="N32" s="27">
        <f t="shared" si="5"/>
        <v>-423795.22224120883</v>
      </c>
      <c r="O32" s="27">
        <f t="shared" si="5"/>
        <v>-481422.51271945337</v>
      </c>
    </row>
    <row r="33" spans="1:15" ht="6.75" customHeight="1" x14ac:dyDescent="0.2">
      <c r="A33" s="1"/>
      <c r="B33" s="1"/>
      <c r="C33" s="1"/>
      <c r="D33" s="1"/>
      <c r="E33" s="1"/>
      <c r="F33" s="1"/>
      <c r="G33" s="1"/>
      <c r="H33" s="1"/>
      <c r="I33" s="1"/>
      <c r="J33" s="1"/>
      <c r="K33" s="27"/>
      <c r="L33" s="27"/>
      <c r="M33" s="27"/>
      <c r="N33" s="27"/>
      <c r="O33" s="27"/>
    </row>
    <row r="34" spans="1:15" x14ac:dyDescent="0.2">
      <c r="A34" s="1"/>
      <c r="B34" s="33" t="s">
        <v>28</v>
      </c>
      <c r="C34" s="1"/>
      <c r="D34" s="1"/>
      <c r="E34" s="1"/>
      <c r="F34" s="1"/>
      <c r="G34" s="1"/>
      <c r="H34" s="1"/>
      <c r="I34" s="1"/>
      <c r="J34" s="1"/>
      <c r="K34" s="27"/>
      <c r="L34" s="27"/>
      <c r="M34" s="27"/>
      <c r="N34" s="27"/>
      <c r="O34" s="27"/>
    </row>
    <row r="35" spans="1:15" x14ac:dyDescent="0.2">
      <c r="A35" s="1"/>
      <c r="B35" s="21" t="s">
        <v>29</v>
      </c>
      <c r="C35" s="1"/>
      <c r="D35" s="1"/>
      <c r="E35" s="1"/>
      <c r="F35" s="1"/>
      <c r="G35" s="1"/>
      <c r="H35" s="1"/>
      <c r="I35" s="1"/>
      <c r="J35" s="1"/>
      <c r="K35" s="27"/>
      <c r="L35" s="27"/>
      <c r="M35" s="27"/>
      <c r="N35" s="27"/>
      <c r="O35" s="27"/>
    </row>
    <row r="36" spans="1:15" ht="42" customHeight="1" x14ac:dyDescent="0.2">
      <c r="A36" s="1"/>
      <c r="B36" s="57" t="s">
        <v>61</v>
      </c>
      <c r="C36" s="57"/>
      <c r="D36" s="57"/>
      <c r="E36" s="57"/>
      <c r="F36" s="57"/>
      <c r="G36" s="57"/>
      <c r="H36" s="57"/>
      <c r="I36" s="57"/>
      <c r="J36" s="57"/>
      <c r="K36" s="27"/>
      <c r="L36" s="27"/>
      <c r="M36" s="27"/>
      <c r="N36" s="27"/>
      <c r="O36" s="27"/>
    </row>
    <row r="37" spans="1:15" x14ac:dyDescent="0.2">
      <c r="A37" s="1"/>
      <c r="B37" s="21" t="s">
        <v>31</v>
      </c>
      <c r="C37" s="1"/>
      <c r="D37" s="1"/>
      <c r="E37" s="1"/>
      <c r="F37" s="1"/>
      <c r="G37" s="1"/>
      <c r="H37" s="1"/>
      <c r="I37" s="1"/>
      <c r="J37" s="1"/>
      <c r="K37" s="27"/>
      <c r="L37" s="27"/>
      <c r="M37" s="27"/>
      <c r="N37" s="27"/>
      <c r="O37" s="27"/>
    </row>
    <row r="38" spans="1:15" x14ac:dyDescent="0.2">
      <c r="A38" s="1"/>
      <c r="B38" s="21" t="s">
        <v>38</v>
      </c>
      <c r="C38" s="1"/>
      <c r="D38" s="1"/>
      <c r="E38" s="1"/>
      <c r="F38" s="1"/>
      <c r="G38" s="1"/>
      <c r="H38" s="1"/>
      <c r="I38" s="1"/>
      <c r="J38" s="1"/>
      <c r="K38" s="27"/>
      <c r="L38" s="27"/>
      <c r="M38" s="27"/>
      <c r="N38" s="27"/>
      <c r="O38" s="27"/>
    </row>
    <row r="39" spans="1:15" x14ac:dyDescent="0.2">
      <c r="A39" s="1"/>
      <c r="B39" s="1"/>
      <c r="C39" s="1"/>
      <c r="D39" s="1"/>
      <c r="E39" s="1"/>
      <c r="F39" s="1"/>
      <c r="G39" s="1"/>
      <c r="H39" s="1"/>
      <c r="I39" s="1"/>
      <c r="J39" s="1"/>
      <c r="K39" s="27"/>
      <c r="L39" s="27"/>
      <c r="M39" s="27"/>
      <c r="N39" s="27"/>
      <c r="O39" s="27"/>
    </row>
    <row r="40" spans="1:15" x14ac:dyDescent="0.2">
      <c r="A40" s="1"/>
    </row>
    <row r="41" spans="1:15" x14ac:dyDescent="0.2">
      <c r="A41" s="1"/>
    </row>
    <row r="42" spans="1:15" x14ac:dyDescent="0.2">
      <c r="A42" s="1"/>
    </row>
    <row r="43" spans="1:15" x14ac:dyDescent="0.2">
      <c r="A43" s="1"/>
    </row>
    <row r="44" spans="1:15" x14ac:dyDescent="0.2">
      <c r="A44" s="1"/>
    </row>
    <row r="45" spans="1:15" x14ac:dyDescent="0.2">
      <c r="A45" s="1"/>
    </row>
    <row r="46" spans="1:15" x14ac:dyDescent="0.2">
      <c r="A46" s="1"/>
    </row>
    <row r="47" spans="1:15" x14ac:dyDescent="0.2">
      <c r="A47" s="1"/>
    </row>
    <row r="48" spans="1:15" x14ac:dyDescent="0.2">
      <c r="A48" s="1"/>
    </row>
    <row r="49" spans="1:1" x14ac:dyDescent="0.2">
      <c r="A49" s="1"/>
    </row>
    <row r="50" spans="1:1" x14ac:dyDescent="0.2">
      <c r="A50" s="1"/>
    </row>
    <row r="68" s="24" customFormat="1" ht="0.95" customHeight="1" x14ac:dyDescent="0.2"/>
    <row r="85" spans="2:15" x14ac:dyDescent="0.2">
      <c r="B85" s="10" t="s">
        <v>27</v>
      </c>
      <c r="C85" s="11"/>
      <c r="D85" s="11"/>
      <c r="E85" s="11"/>
      <c r="F85" s="11"/>
      <c r="G85" s="11"/>
      <c r="H85" s="11"/>
      <c r="I85" s="11"/>
      <c r="J85" s="11"/>
      <c r="K85" s="11"/>
      <c r="L85" s="11"/>
      <c r="M85" s="11"/>
      <c r="N85" s="11"/>
      <c r="O85" s="11"/>
    </row>
    <row r="86" spans="2:15" x14ac:dyDescent="0.2">
      <c r="B86" s="23"/>
      <c r="C86" s="22"/>
      <c r="D86" s="22"/>
      <c r="E86" s="22"/>
      <c r="F86" s="22"/>
      <c r="G86" s="22"/>
      <c r="H86" s="22"/>
      <c r="I86" s="22"/>
      <c r="J86" s="22"/>
      <c r="K86" s="22"/>
      <c r="L86" s="22"/>
      <c r="M86" s="22"/>
      <c r="N86" s="22"/>
      <c r="O86" s="22"/>
    </row>
    <row r="87" spans="2:15" x14ac:dyDescent="0.2">
      <c r="B87" s="6" t="s">
        <v>22</v>
      </c>
      <c r="C87" s="1"/>
      <c r="D87" s="1"/>
      <c r="E87" s="1"/>
      <c r="F87" s="1"/>
      <c r="G87" s="1"/>
      <c r="H87" s="1"/>
      <c r="I87" s="1"/>
      <c r="J87" s="1"/>
      <c r="K87" s="27"/>
      <c r="L87" s="27"/>
      <c r="M87" s="27"/>
      <c r="N87" s="27"/>
      <c r="O87" s="27"/>
    </row>
    <row r="88" spans="2:15" x14ac:dyDescent="0.2">
      <c r="B88" s="6"/>
      <c r="C88" s="1"/>
      <c r="D88" s="4" t="str">
        <f>D3</f>
        <v>FY11</v>
      </c>
      <c r="E88" s="4" t="str">
        <f t="shared" ref="E88:O88" si="6">E3</f>
        <v>FY12</v>
      </c>
      <c r="F88" s="4" t="str">
        <f t="shared" si="6"/>
        <v>FY13</v>
      </c>
      <c r="G88" s="4" t="str">
        <f t="shared" si="6"/>
        <v>FY14</v>
      </c>
      <c r="H88" s="4" t="str">
        <f t="shared" si="6"/>
        <v>FY15</v>
      </c>
      <c r="I88" s="4" t="str">
        <f t="shared" si="6"/>
        <v>FY16</v>
      </c>
      <c r="J88" s="4" t="str">
        <f t="shared" si="6"/>
        <v>FY17</v>
      </c>
      <c r="K88" s="26" t="str">
        <f t="shared" si="6"/>
        <v>FY18</v>
      </c>
      <c r="L88" s="26" t="str">
        <f t="shared" si="6"/>
        <v>FY19</v>
      </c>
      <c r="M88" s="26" t="str">
        <f t="shared" si="6"/>
        <v>FY20</v>
      </c>
      <c r="N88" s="26" t="str">
        <f t="shared" si="6"/>
        <v>FY21</v>
      </c>
      <c r="O88" s="26" t="str">
        <f t="shared" si="6"/>
        <v>FY22</v>
      </c>
    </row>
    <row r="89" spans="2:15" x14ac:dyDescent="0.2">
      <c r="B89" s="9" t="s">
        <v>25</v>
      </c>
      <c r="C89" s="1"/>
      <c r="D89" s="1">
        <f t="shared" ref="D89:O89" si="7">-SUM(D$30,D$20,D$8)</f>
        <v>98199.807754150635</v>
      </c>
      <c r="E89" s="1">
        <f t="shared" si="7"/>
        <v>135393.72775574721</v>
      </c>
      <c r="F89" s="1">
        <f t="shared" si="7"/>
        <v>173870.16212941447</v>
      </c>
      <c r="G89" s="1">
        <f t="shared" si="7"/>
        <v>169416.47254064583</v>
      </c>
      <c r="H89" s="1">
        <f t="shared" si="7"/>
        <v>211462.21931294093</v>
      </c>
      <c r="I89" s="1">
        <f t="shared" si="7"/>
        <v>246748.80240175384</v>
      </c>
      <c r="J89" s="1">
        <f t="shared" si="7"/>
        <v>390661.29712736659</v>
      </c>
      <c r="K89" s="27">
        <f t="shared" si="7"/>
        <v>484372.0922976482</v>
      </c>
      <c r="L89" s="27">
        <f t="shared" si="7"/>
        <v>665103.52537020866</v>
      </c>
      <c r="M89" s="27">
        <f t="shared" si="7"/>
        <v>694167.58943740814</v>
      </c>
      <c r="N89" s="27">
        <f t="shared" si="7"/>
        <v>802524.42169090593</v>
      </c>
      <c r="O89" s="27">
        <f t="shared" si="7"/>
        <v>885775.18821273046</v>
      </c>
    </row>
    <row r="90" spans="2:15" x14ac:dyDescent="0.2">
      <c r="B90" s="9" t="s">
        <v>26</v>
      </c>
      <c r="C90" s="1"/>
      <c r="D90" s="1">
        <f>AVERAGE(D$27:D$28)</f>
        <v>1109608.4145349241</v>
      </c>
      <c r="E90" s="1">
        <f t="shared" ref="E90:O90" si="8">AVERAGE(E$27:E$28)</f>
        <v>1128156.8244449976</v>
      </c>
      <c r="F90" s="1">
        <f t="shared" si="8"/>
        <v>1121973.0372990598</v>
      </c>
      <c r="G90" s="1">
        <f t="shared" si="8"/>
        <v>1135727.6262236154</v>
      </c>
      <c r="H90" s="1">
        <f t="shared" si="8"/>
        <v>1155270.6382631701</v>
      </c>
      <c r="I90" s="1">
        <f t="shared" si="8"/>
        <v>1178631.0067980853</v>
      </c>
      <c r="J90" s="1">
        <f t="shared" si="8"/>
        <v>1147241.0150194014</v>
      </c>
      <c r="K90" s="27">
        <f t="shared" si="8"/>
        <v>1316393.4038795829</v>
      </c>
      <c r="L90" s="27">
        <f t="shared" si="8"/>
        <v>1566005.4453346464</v>
      </c>
      <c r="M90" s="27">
        <f t="shared" si="8"/>
        <v>1874789.5489500577</v>
      </c>
      <c r="N90" s="27">
        <f t="shared" si="8"/>
        <v>2080708.1885112454</v>
      </c>
      <c r="O90" s="27">
        <f t="shared" si="8"/>
        <v>2239490.0778364111</v>
      </c>
    </row>
    <row r="91" spans="2:15" x14ac:dyDescent="0.2">
      <c r="B91" s="9" t="s">
        <v>21</v>
      </c>
      <c r="C91" s="1"/>
      <c r="D91" s="20">
        <f>D89/D90</f>
        <v>8.8499516106598411E-2</v>
      </c>
      <c r="E91" s="20">
        <f t="shared" ref="E91:O91" si="9">E89/E90</f>
        <v>0.12001321520379477</v>
      </c>
      <c r="F91" s="20">
        <f t="shared" si="9"/>
        <v>0.1549682179065322</v>
      </c>
      <c r="G91" s="20">
        <f t="shared" si="9"/>
        <v>0.14916998462383896</v>
      </c>
      <c r="H91" s="20">
        <f t="shared" si="9"/>
        <v>0.18304128254384833</v>
      </c>
      <c r="I91" s="20">
        <f t="shared" si="9"/>
        <v>0.20935203721823101</v>
      </c>
      <c r="J91" s="20">
        <f t="shared" si="9"/>
        <v>0.3405224290388188</v>
      </c>
      <c r="K91" s="32">
        <f t="shared" si="9"/>
        <v>0.36795390410658435</v>
      </c>
      <c r="L91" s="32">
        <f t="shared" si="9"/>
        <v>0.42471341804822388</v>
      </c>
      <c r="M91" s="32">
        <f t="shared" si="9"/>
        <v>0.37026427303595982</v>
      </c>
      <c r="N91" s="32">
        <f t="shared" si="9"/>
        <v>0.38569772836099386</v>
      </c>
      <c r="O91" s="32">
        <f t="shared" si="9"/>
        <v>0.39552539079274907</v>
      </c>
    </row>
    <row r="92" spans="2:15" x14ac:dyDescent="0.2">
      <c r="B92" s="9" t="s">
        <v>30</v>
      </c>
      <c r="C92" s="1"/>
      <c r="D92" s="1">
        <f>D$23</f>
        <v>89667.685039873904</v>
      </c>
      <c r="E92" s="1">
        <f t="shared" ref="E92:O92" si="10">E$23</f>
        <v>65319.50125318057</v>
      </c>
      <c r="F92" s="1">
        <f t="shared" si="10"/>
        <v>36770.353696722974</v>
      </c>
      <c r="G92" s="1">
        <f t="shared" si="10"/>
        <v>52217.951414543655</v>
      </c>
      <c r="H92" s="1">
        <f t="shared" si="10"/>
        <v>29165.406476666758</v>
      </c>
      <c r="I92" s="1">
        <f t="shared" si="10"/>
        <v>15942.694583469376</v>
      </c>
      <c r="J92" s="1">
        <f t="shared" si="10"/>
        <v>-97514.496261970635</v>
      </c>
      <c r="K92" s="27">
        <f t="shared" si="10"/>
        <v>-176372.39710970916</v>
      </c>
      <c r="L92" s="27">
        <f t="shared" si="10"/>
        <v>-333274.90239186009</v>
      </c>
      <c r="M92" s="27">
        <f t="shared" si="10"/>
        <v>-338749.35532527143</v>
      </c>
      <c r="N92" s="27">
        <f t="shared" si="10"/>
        <v>-423795.22224120883</v>
      </c>
      <c r="O92" s="27">
        <f t="shared" si="10"/>
        <v>-481422.51271945337</v>
      </c>
    </row>
    <row r="93" spans="2:15" x14ac:dyDescent="0.2">
      <c r="B93" s="9" t="s">
        <v>26</v>
      </c>
      <c r="C93" s="1"/>
      <c r="D93" s="1">
        <f>AVERAGE(D$27:D$28)</f>
        <v>1109608.4145349241</v>
      </c>
      <c r="E93" s="1">
        <f t="shared" ref="E93:O93" si="11">AVERAGE(E$27:E$28)</f>
        <v>1128156.8244449976</v>
      </c>
      <c r="F93" s="1">
        <f t="shared" si="11"/>
        <v>1121973.0372990598</v>
      </c>
      <c r="G93" s="1">
        <f t="shared" si="11"/>
        <v>1135727.6262236154</v>
      </c>
      <c r="H93" s="1">
        <f t="shared" si="11"/>
        <v>1155270.6382631701</v>
      </c>
      <c r="I93" s="1">
        <f t="shared" si="11"/>
        <v>1178631.0067980853</v>
      </c>
      <c r="J93" s="1">
        <f t="shared" si="11"/>
        <v>1147241.0150194014</v>
      </c>
      <c r="K93" s="27">
        <f t="shared" si="11"/>
        <v>1316393.4038795829</v>
      </c>
      <c r="L93" s="27">
        <f t="shared" si="11"/>
        <v>1566005.4453346464</v>
      </c>
      <c r="M93" s="27">
        <f t="shared" si="11"/>
        <v>1874789.5489500577</v>
      </c>
      <c r="N93" s="27">
        <f t="shared" si="11"/>
        <v>2080708.1885112454</v>
      </c>
      <c r="O93" s="27">
        <f t="shared" si="11"/>
        <v>2239490.0778364111</v>
      </c>
    </row>
    <row r="94" spans="2:15" x14ac:dyDescent="0.2">
      <c r="B94" s="9" t="s">
        <v>39</v>
      </c>
      <c r="C94" s="1"/>
      <c r="D94" s="20">
        <f>D92/D93</f>
        <v>8.0810206434363416E-2</v>
      </c>
      <c r="E94" s="20">
        <f t="shared" ref="E94:O94" si="12">E92/E93</f>
        <v>5.7899309597595018E-2</v>
      </c>
      <c r="F94" s="20">
        <f t="shared" si="12"/>
        <v>3.2772938808975943E-2</v>
      </c>
      <c r="G94" s="20">
        <f t="shared" si="12"/>
        <v>4.5977530359257432E-2</v>
      </c>
      <c r="H94" s="20">
        <f t="shared" si="12"/>
        <v>2.5245518678215461E-2</v>
      </c>
      <c r="I94" s="20">
        <f t="shared" si="12"/>
        <v>1.3526451019458515E-2</v>
      </c>
      <c r="J94" s="20">
        <f t="shared" si="12"/>
        <v>-8.4999137047346171E-2</v>
      </c>
      <c r="K94" s="32">
        <f t="shared" si="12"/>
        <v>-0.13398152603159263</v>
      </c>
      <c r="L94" s="32">
        <f t="shared" si="12"/>
        <v>-0.21281848245466423</v>
      </c>
      <c r="M94" s="32">
        <f t="shared" si="12"/>
        <v>-0.18068660320566751</v>
      </c>
      <c r="N94" s="32">
        <f t="shared" si="12"/>
        <v>-0.20367835556240874</v>
      </c>
      <c r="O94" s="32">
        <f t="shared" si="12"/>
        <v>-0.21496970113150018</v>
      </c>
    </row>
    <row r="95" spans="2:15" x14ac:dyDescent="0.2">
      <c r="B95" s="9" t="s">
        <v>25</v>
      </c>
      <c r="C95" s="1"/>
      <c r="D95" s="1">
        <f t="shared" ref="D95:O95" si="13">-SUM(D$30,D$20,D$8)</f>
        <v>98199.807754150635</v>
      </c>
      <c r="E95" s="1">
        <f t="shared" si="13"/>
        <v>135393.72775574721</v>
      </c>
      <c r="F95" s="1">
        <f t="shared" si="13"/>
        <v>173870.16212941447</v>
      </c>
      <c r="G95" s="1">
        <f t="shared" si="13"/>
        <v>169416.47254064583</v>
      </c>
      <c r="H95" s="1">
        <f t="shared" si="13"/>
        <v>211462.21931294093</v>
      </c>
      <c r="I95" s="1">
        <f t="shared" si="13"/>
        <v>246748.80240175384</v>
      </c>
      <c r="J95" s="1">
        <f t="shared" si="13"/>
        <v>390661.29712736659</v>
      </c>
      <c r="K95" s="27">
        <f t="shared" si="13"/>
        <v>484372.0922976482</v>
      </c>
      <c r="L95" s="27">
        <f t="shared" si="13"/>
        <v>665103.52537020866</v>
      </c>
      <c r="M95" s="27">
        <f t="shared" si="13"/>
        <v>694167.58943740814</v>
      </c>
      <c r="N95" s="27">
        <f t="shared" si="13"/>
        <v>802524.42169090593</v>
      </c>
      <c r="O95" s="27">
        <f t="shared" si="13"/>
        <v>885775.18821273046</v>
      </c>
    </row>
    <row r="96" spans="2:15" x14ac:dyDescent="0.2">
      <c r="B96" s="9" t="s">
        <v>11</v>
      </c>
      <c r="D96" s="1">
        <f>D$29</f>
        <v>209591.42983840714</v>
      </c>
      <c r="E96" s="1">
        <f t="shared" ref="E96:O96" si="14">E$29</f>
        <v>220985.74300159694</v>
      </c>
      <c r="F96" s="1">
        <f t="shared" si="14"/>
        <v>230429.26132742688</v>
      </c>
      <c r="G96" s="1">
        <f t="shared" si="14"/>
        <v>247989.84064809643</v>
      </c>
      <c r="H96" s="1">
        <f t="shared" si="14"/>
        <v>265855.45047656709</v>
      </c>
      <c r="I96" s="1">
        <f t="shared" si="14"/>
        <v>290471.1143635913</v>
      </c>
      <c r="J96" s="1">
        <f t="shared" si="14"/>
        <v>326213.14915818162</v>
      </c>
      <c r="K96" s="27">
        <f t="shared" si="14"/>
        <v>334356.49423340772</v>
      </c>
      <c r="L96" s="27">
        <f t="shared" si="14"/>
        <v>350536.80667661648</v>
      </c>
      <c r="M96" s="27">
        <f t="shared" si="14"/>
        <v>365276.66582561919</v>
      </c>
      <c r="N96" s="27">
        <f t="shared" si="14"/>
        <v>382692.16787240724</v>
      </c>
      <c r="O96" s="27">
        <f t="shared" si="14"/>
        <v>401785.61827419186</v>
      </c>
    </row>
    <row r="97" spans="2:15" x14ac:dyDescent="0.2">
      <c r="B97" s="9" t="s">
        <v>24</v>
      </c>
      <c r="C97" s="1"/>
      <c r="D97" s="20">
        <f>D95/D96</f>
        <v>0.46852969050242982</v>
      </c>
      <c r="E97" s="20">
        <f t="shared" ref="E97:O97" si="15">E95/E96</f>
        <v>0.61268082690189107</v>
      </c>
      <c r="F97" s="20">
        <f t="shared" si="15"/>
        <v>0.75454897146224353</v>
      </c>
      <c r="G97" s="20">
        <f t="shared" si="15"/>
        <v>0.68315892335707373</v>
      </c>
      <c r="H97" s="20">
        <f t="shared" si="15"/>
        <v>0.79540298659996644</v>
      </c>
      <c r="I97" s="20">
        <f t="shared" si="15"/>
        <v>0.84947793498286051</v>
      </c>
      <c r="J97" s="20">
        <f t="shared" si="15"/>
        <v>1.1975645314589507</v>
      </c>
      <c r="K97" s="32">
        <f t="shared" si="15"/>
        <v>1.4486696105849151</v>
      </c>
      <c r="L97" s="32">
        <f t="shared" si="15"/>
        <v>1.8973857030191752</v>
      </c>
      <c r="M97" s="32">
        <f t="shared" si="15"/>
        <v>1.9003885393785307</v>
      </c>
      <c r="N97" s="32">
        <f t="shared" si="15"/>
        <v>2.0970495062717727</v>
      </c>
      <c r="O97" s="32">
        <f t="shared" si="15"/>
        <v>2.2045965508109551</v>
      </c>
    </row>
    <row r="98" spans="2:15" x14ac:dyDescent="0.2">
      <c r="B98" s="9" t="s">
        <v>30</v>
      </c>
      <c r="C98" s="1"/>
      <c r="D98" s="1">
        <f>D$23</f>
        <v>89667.685039873904</v>
      </c>
      <c r="E98" s="1">
        <f t="shared" ref="E98:O98" si="16">E$23</f>
        <v>65319.50125318057</v>
      </c>
      <c r="F98" s="1">
        <f t="shared" si="16"/>
        <v>36770.353696722974</v>
      </c>
      <c r="G98" s="1">
        <f t="shared" si="16"/>
        <v>52217.951414543655</v>
      </c>
      <c r="H98" s="1">
        <f t="shared" si="16"/>
        <v>29165.406476666758</v>
      </c>
      <c r="I98" s="1">
        <f t="shared" si="16"/>
        <v>15942.694583469376</v>
      </c>
      <c r="J98" s="1">
        <f t="shared" si="16"/>
        <v>-97514.496261970635</v>
      </c>
      <c r="K98" s="27">
        <f t="shared" si="16"/>
        <v>-176372.39710970916</v>
      </c>
      <c r="L98" s="27">
        <f t="shared" si="16"/>
        <v>-333274.90239186009</v>
      </c>
      <c r="M98" s="27">
        <f t="shared" si="16"/>
        <v>-338749.35532527143</v>
      </c>
      <c r="N98" s="27">
        <f t="shared" si="16"/>
        <v>-423795.22224120883</v>
      </c>
      <c r="O98" s="27">
        <f t="shared" si="16"/>
        <v>-481422.51271945337</v>
      </c>
    </row>
    <row r="99" spans="2:15" x14ac:dyDescent="0.2">
      <c r="B99" s="9" t="s">
        <v>11</v>
      </c>
      <c r="D99" s="1">
        <f>D$29</f>
        <v>209591.42983840714</v>
      </c>
      <c r="E99" s="1">
        <f t="shared" ref="E99:O99" si="17">E$29</f>
        <v>220985.74300159694</v>
      </c>
      <c r="F99" s="1">
        <f t="shared" si="17"/>
        <v>230429.26132742688</v>
      </c>
      <c r="G99" s="1">
        <f t="shared" si="17"/>
        <v>247989.84064809643</v>
      </c>
      <c r="H99" s="1">
        <f t="shared" si="17"/>
        <v>265855.45047656709</v>
      </c>
      <c r="I99" s="1">
        <f t="shared" si="17"/>
        <v>290471.1143635913</v>
      </c>
      <c r="J99" s="1">
        <f t="shared" si="17"/>
        <v>326213.14915818162</v>
      </c>
      <c r="K99" s="27">
        <f t="shared" si="17"/>
        <v>334356.49423340772</v>
      </c>
      <c r="L99" s="27">
        <f t="shared" si="17"/>
        <v>350536.80667661648</v>
      </c>
      <c r="M99" s="27">
        <f t="shared" si="17"/>
        <v>365276.66582561919</v>
      </c>
      <c r="N99" s="27">
        <f t="shared" si="17"/>
        <v>382692.16787240724</v>
      </c>
      <c r="O99" s="27">
        <f t="shared" si="17"/>
        <v>401785.61827419186</v>
      </c>
    </row>
    <row r="100" spans="2:15" x14ac:dyDescent="0.2">
      <c r="B100" s="9" t="s">
        <v>40</v>
      </c>
      <c r="C100" s="1"/>
      <c r="D100" s="36">
        <f>D98/D99</f>
        <v>0.42782133367288339</v>
      </c>
      <c r="E100" s="7">
        <f t="shared" ref="E100:O100" si="18">E98/E99</f>
        <v>0.29558242249459749</v>
      </c>
      <c r="F100" s="7">
        <f t="shared" si="18"/>
        <v>0.15957328285870079</v>
      </c>
      <c r="G100" s="7">
        <f t="shared" si="18"/>
        <v>0.21056488152126437</v>
      </c>
      <c r="H100" s="7">
        <f t="shared" si="18"/>
        <v>0.10970400051751973</v>
      </c>
      <c r="I100" s="7">
        <f t="shared" si="18"/>
        <v>5.4885645405392813E-2</v>
      </c>
      <c r="J100" s="7">
        <f t="shared" si="18"/>
        <v>-0.29892877253297229</v>
      </c>
      <c r="K100" s="37">
        <f t="shared" si="18"/>
        <v>-0.52749804520496923</v>
      </c>
      <c r="L100" s="37">
        <f t="shared" si="18"/>
        <v>-0.95075580094309142</v>
      </c>
      <c r="M100" s="37">
        <f t="shared" si="18"/>
        <v>-0.92737748402190101</v>
      </c>
      <c r="N100" s="37">
        <f t="shared" si="18"/>
        <v>-1.1074050054311686</v>
      </c>
      <c r="O100" s="37">
        <f t="shared" si="18"/>
        <v>-1.1982074290944746</v>
      </c>
    </row>
    <row r="101" spans="2:15" x14ac:dyDescent="0.2">
      <c r="B101" s="9" t="s">
        <v>60</v>
      </c>
      <c r="C101" s="24"/>
      <c r="D101" s="22">
        <f>D17</f>
        <v>102037.86433622795</v>
      </c>
      <c r="E101" s="22">
        <f t="shared" ref="E101:O101" si="19">E17</f>
        <v>95571.547805962007</v>
      </c>
      <c r="F101" s="22">
        <f t="shared" si="19"/>
        <v>87473.294835601308</v>
      </c>
      <c r="G101" s="22">
        <f t="shared" si="19"/>
        <v>105164.99342879064</v>
      </c>
      <c r="H101" s="22">
        <f t="shared" si="19"/>
        <v>104075.57794036326</v>
      </c>
      <c r="I101" s="22">
        <f t="shared" si="19"/>
        <v>126147.44815681905</v>
      </c>
      <c r="J101" s="22">
        <f t="shared" si="19"/>
        <v>135597.46201341861</v>
      </c>
      <c r="K101" s="22">
        <f t="shared" si="19"/>
        <v>129082.80128266296</v>
      </c>
      <c r="L101" s="22">
        <f t="shared" si="19"/>
        <v>123521.75177794159</v>
      </c>
      <c r="M101" s="22">
        <f t="shared" si="19"/>
        <v>121492.58131785998</v>
      </c>
      <c r="N101" s="22">
        <f t="shared" si="19"/>
        <v>115656.48733086961</v>
      </c>
      <c r="O101" s="22">
        <f t="shared" si="19"/>
        <v>109229.09842897992</v>
      </c>
    </row>
    <row r="102" spans="2:15" x14ac:dyDescent="0.2">
      <c r="B102" s="38" t="s">
        <v>58</v>
      </c>
      <c r="C102" s="24"/>
      <c r="D102" s="39">
        <f t="shared" ref="D102:O102" si="20">D101/D99</f>
        <v>0.48684177790522309</v>
      </c>
      <c r="E102" s="39">
        <f t="shared" si="20"/>
        <v>0.43247834230315646</v>
      </c>
      <c r="F102" s="39">
        <f t="shared" si="20"/>
        <v>0.37961018636130039</v>
      </c>
      <c r="G102" s="39">
        <f t="shared" si="20"/>
        <v>0.42406976493050091</v>
      </c>
      <c r="H102" s="39">
        <f t="shared" si="20"/>
        <v>0.39147430588238641</v>
      </c>
      <c r="I102" s="39">
        <f t="shared" si="20"/>
        <v>0.43428568941597601</v>
      </c>
      <c r="J102" s="39">
        <f t="shared" si="20"/>
        <v>0.41567135587065818</v>
      </c>
      <c r="K102" s="39">
        <f t="shared" si="20"/>
        <v>0.38606338895440379</v>
      </c>
      <c r="L102" s="39">
        <f t="shared" si="20"/>
        <v>0.35237883561795297</v>
      </c>
      <c r="M102" s="39">
        <f t="shared" si="20"/>
        <v>0.33260427693418498</v>
      </c>
      <c r="N102" s="39">
        <f t="shared" si="20"/>
        <v>0.30221806726243339</v>
      </c>
      <c r="O102" s="39">
        <f t="shared" si="20"/>
        <v>0.27185915438724928</v>
      </c>
    </row>
    <row r="103" spans="2:15" x14ac:dyDescent="0.2">
      <c r="B103" s="38" t="s">
        <v>59</v>
      </c>
      <c r="C103" s="24"/>
      <c r="D103" s="39">
        <f>D101/D90</f>
        <v>9.1958444978984422E-2</v>
      </c>
      <c r="E103" s="39">
        <f t="shared" ref="E103:O103" si="21">E101/E90</f>
        <v>8.4714771683430543E-2</v>
      </c>
      <c r="F103" s="39">
        <f t="shared" si="21"/>
        <v>7.7963811898882088E-2</v>
      </c>
      <c r="G103" s="39">
        <f t="shared" si="21"/>
        <v>9.2597019743609302E-2</v>
      </c>
      <c r="H103" s="39">
        <f t="shared" si="21"/>
        <v>9.0087616263519105E-2</v>
      </c>
      <c r="I103" s="39">
        <f t="shared" si="21"/>
        <v>0.10702878800000019</v>
      </c>
      <c r="J103" s="39">
        <f t="shared" si="21"/>
        <v>0.11819439876905505</v>
      </c>
      <c r="K103" s="39">
        <f t="shared" si="21"/>
        <v>9.8057921668582598E-2</v>
      </c>
      <c r="L103" s="39">
        <f t="shared" si="21"/>
        <v>7.8876961855995145E-2</v>
      </c>
      <c r="M103" s="39">
        <f t="shared" si="21"/>
        <v>6.4803316930105423E-2</v>
      </c>
      <c r="N103" s="39">
        <f t="shared" si="21"/>
        <v>5.5585155078195884E-2</v>
      </c>
      <c r="O103" s="39">
        <f t="shared" si="21"/>
        <v>4.8774093491187519E-2</v>
      </c>
    </row>
    <row r="104" spans="2:15" x14ac:dyDescent="0.2">
      <c r="B104" s="2" t="s">
        <v>34</v>
      </c>
      <c r="D104" s="1">
        <f>'[1]S2.Regulatory Profit Statement'!$J$40</f>
        <v>25009.681577845113</v>
      </c>
      <c r="E104" s="1">
        <f>'[2]S2.Regulatory Profit Statement'!$J$40</f>
        <v>27405.225762929669</v>
      </c>
      <c r="F104" s="1">
        <f>'[3]S2.Regulatory Profit Statement'!$J$40</f>
        <v>30373.502338990569</v>
      </c>
      <c r="G104" s="1">
        <f>'[4]S2.Regulatory Profit Statement'!$J$40</f>
        <v>34868.72582167475</v>
      </c>
      <c r="H104" s="34">
        <f>'[5]S2.Regulatory Profit Statement'!$J$40</f>
        <v>38088.419164534353</v>
      </c>
      <c r="I104" s="1">
        <f>'[6]S2.Regulatory Profit Statement'!$J$40</f>
        <v>38577.145619099079</v>
      </c>
      <c r="J104" s="1">
        <f>'[7]S2.Regulatory Profit Statement'!$J$36</f>
        <v>47454.961506004787</v>
      </c>
      <c r="K104" s="1">
        <f>'[8]S18.Total Revenue'!F84</f>
        <v>44611.253249541718</v>
      </c>
      <c r="L104" s="1">
        <f>'[8]S18.Total Revenue'!G84</f>
        <v>42743.856357513861</v>
      </c>
      <c r="M104" s="1">
        <f>'[8]S18.Total Revenue'!H84</f>
        <v>39718.926322883999</v>
      </c>
      <c r="N104" s="1">
        <f>'[8]S18.Total Revenue'!I84</f>
        <v>40650.763868455717</v>
      </c>
      <c r="O104" s="1">
        <f>'[8]S18.Total Revenue'!J84</f>
        <v>41596.02501735511</v>
      </c>
    </row>
    <row r="105" spans="2:15" x14ac:dyDescent="0.2">
      <c r="B105" s="2" t="s">
        <v>35</v>
      </c>
      <c r="D105" s="1">
        <f t="shared" ref="D105:O105" si="22">D32-(D29+D31)</f>
        <v>-21723.937044382605</v>
      </c>
      <c r="E105" s="1">
        <f t="shared" si="22"/>
        <v>-20272.513992669163</v>
      </c>
      <c r="F105" s="1">
        <f t="shared" si="22"/>
        <v>-19788.745501289435</v>
      </c>
      <c r="G105" s="1">
        <f t="shared" si="22"/>
        <v>-26355.416692906947</v>
      </c>
      <c r="H105" s="1">
        <f t="shared" si="22"/>
        <v>-25227.8246869594</v>
      </c>
      <c r="I105" s="1">
        <f t="shared" si="22"/>
        <v>-27779.617378368086</v>
      </c>
      <c r="J105" s="1">
        <f t="shared" si="22"/>
        <v>-33066.348292785668</v>
      </c>
      <c r="K105" s="1">
        <f t="shared" si="22"/>
        <v>-26356.799045468681</v>
      </c>
      <c r="L105" s="1">
        <f t="shared" si="22"/>
        <v>-18708.183698267909</v>
      </c>
      <c r="M105" s="1">
        <f t="shared" si="22"/>
        <v>-9858.4317134824814</v>
      </c>
      <c r="N105" s="1">
        <f t="shared" si="22"/>
        <v>-3962.9684227101388</v>
      </c>
      <c r="O105" s="1">
        <f t="shared" si="22"/>
        <v>2567.0572190852254</v>
      </c>
    </row>
    <row r="106" spans="2:15" x14ac:dyDescent="0.2">
      <c r="B106" s="2" t="s">
        <v>36</v>
      </c>
      <c r="D106" s="1" t="b">
        <f>SUM(D104:D105)&lt;0.001</f>
        <v>0</v>
      </c>
      <c r="E106" s="1" t="b">
        <f t="shared" ref="E106:J106" si="23">SUM(E104:E105)&lt;0.001</f>
        <v>0</v>
      </c>
      <c r="F106" s="1" t="b">
        <f t="shared" si="23"/>
        <v>0</v>
      </c>
      <c r="G106" s="1" t="b">
        <f t="shared" si="23"/>
        <v>0</v>
      </c>
      <c r="H106" s="1" t="b">
        <f t="shared" si="23"/>
        <v>0</v>
      </c>
      <c r="I106" s="1" t="b">
        <f t="shared" si="23"/>
        <v>0</v>
      </c>
      <c r="J106" s="1" t="b">
        <f t="shared" si="23"/>
        <v>0</v>
      </c>
      <c r="K106" s="1" t="b">
        <f>SUM(K104:K105)&lt;0.001</f>
        <v>0</v>
      </c>
      <c r="L106" s="1" t="b">
        <f>SUM(L104:L105)&lt;0.001</f>
        <v>0</v>
      </c>
      <c r="M106" s="1" t="b">
        <f>SUM(M104:M105)&lt;0.001</f>
        <v>0</v>
      </c>
      <c r="N106" s="1" t="b">
        <f>SUM(N104:N105)&lt;0.001</f>
        <v>0</v>
      </c>
      <c r="O106" s="1" t="b">
        <f>SUM(O104:O105)&lt;0.001</f>
        <v>0</v>
      </c>
    </row>
    <row r="108" spans="2:15" x14ac:dyDescent="0.2">
      <c r="B108" s="2" t="s">
        <v>41</v>
      </c>
    </row>
    <row r="109" spans="2:15" x14ac:dyDescent="0.2">
      <c r="D109" s="4" t="str">
        <f>D88</f>
        <v>FY11</v>
      </c>
      <c r="E109" s="4" t="str">
        <f t="shared" ref="E109:O109" si="24">E88</f>
        <v>FY12</v>
      </c>
      <c r="F109" s="4" t="str">
        <f t="shared" si="24"/>
        <v>FY13</v>
      </c>
      <c r="G109" s="4" t="str">
        <f t="shared" si="24"/>
        <v>FY14</v>
      </c>
      <c r="H109" s="4" t="str">
        <f t="shared" si="24"/>
        <v>FY15</v>
      </c>
      <c r="I109" s="4" t="str">
        <f t="shared" si="24"/>
        <v>FY16</v>
      </c>
      <c r="J109" s="4" t="str">
        <f t="shared" si="24"/>
        <v>FY17</v>
      </c>
      <c r="K109" s="4" t="str">
        <f t="shared" si="24"/>
        <v>FY18</v>
      </c>
      <c r="L109" s="4" t="str">
        <f t="shared" si="24"/>
        <v>FY19</v>
      </c>
      <c r="M109" s="4" t="str">
        <f t="shared" si="24"/>
        <v>FY20</v>
      </c>
      <c r="N109" s="4" t="str">
        <f t="shared" si="24"/>
        <v>FY21</v>
      </c>
      <c r="O109" s="4" t="str">
        <f t="shared" si="24"/>
        <v>FY22</v>
      </c>
    </row>
    <row r="110" spans="2:15" x14ac:dyDescent="0.2">
      <c r="B110" s="2" t="s">
        <v>42</v>
      </c>
      <c r="D110" s="1">
        <f>-D20</f>
        <v>12370.179296354052</v>
      </c>
      <c r="E110" s="1">
        <f t="shared" ref="E110:O110" si="25">-E20</f>
        <v>30252.046552781434</v>
      </c>
      <c r="F110" s="1">
        <f t="shared" si="25"/>
        <v>50702.941138878334</v>
      </c>
      <c r="G110" s="1">
        <f t="shared" si="25"/>
        <v>52947.042014246981</v>
      </c>
      <c r="H110" s="1">
        <f t="shared" si="25"/>
        <v>74910.171463696504</v>
      </c>
      <c r="I110" s="1">
        <f t="shared" si="25"/>
        <v>110204.75357334968</v>
      </c>
      <c r="J110" s="1">
        <f t="shared" si="25"/>
        <v>233111.95827538925</v>
      </c>
      <c r="K110" s="1">
        <f t="shared" si="25"/>
        <v>305455.19839237211</v>
      </c>
      <c r="L110" s="1">
        <f t="shared" si="25"/>
        <v>456796.65416980168</v>
      </c>
      <c r="M110" s="1">
        <f t="shared" si="25"/>
        <v>460241.93664313143</v>
      </c>
      <c r="N110" s="1">
        <f t="shared" si="25"/>
        <v>539451.70957207843</v>
      </c>
      <c r="O110" s="1">
        <f t="shared" si="25"/>
        <v>590651.61114843329</v>
      </c>
    </row>
    <row r="111" spans="2:15" x14ac:dyDescent="0.2">
      <c r="B111" s="2" t="s">
        <v>10</v>
      </c>
      <c r="D111" s="1">
        <f>-D30</f>
        <v>74094.826552573446</v>
      </c>
      <c r="E111" s="1">
        <f t="shared" ref="E111:O111" si="26">-E30</f>
        <v>79667.710594892589</v>
      </c>
      <c r="F111" s="1">
        <f t="shared" si="26"/>
        <v>85364.517998746334</v>
      </c>
      <c r="G111" s="1">
        <f t="shared" si="26"/>
        <v>86064.75506651387</v>
      </c>
      <c r="H111" s="1">
        <f t="shared" si="26"/>
        <v>90621.353286476602</v>
      </c>
      <c r="I111" s="1">
        <f t="shared" si="26"/>
        <v>97981.447968650638</v>
      </c>
      <c r="J111" s="1">
        <f t="shared" si="26"/>
        <v>106161.43451905191</v>
      </c>
      <c r="K111" s="1">
        <f t="shared" si="26"/>
        <v>113722.41460501539</v>
      </c>
      <c r="L111" s="1">
        <f t="shared" si="26"/>
        <v>122465.18313167134</v>
      </c>
      <c r="M111" s="1">
        <f t="shared" si="26"/>
        <v>127281.02918927144</v>
      </c>
      <c r="N111" s="1">
        <f t="shared" si="26"/>
        <v>132044.87124116445</v>
      </c>
      <c r="O111" s="1">
        <f t="shared" si="26"/>
        <v>137398.28336272476</v>
      </c>
    </row>
    <row r="112" spans="2:15" x14ac:dyDescent="0.2">
      <c r="B112" s="2" t="s">
        <v>43</v>
      </c>
      <c r="D112" s="1">
        <f t="shared" ref="D112:O112" si="27">-D8</f>
        <v>11734.801905223138</v>
      </c>
      <c r="E112" s="1">
        <f t="shared" si="27"/>
        <v>25473.970608073178</v>
      </c>
      <c r="F112" s="1">
        <f t="shared" si="27"/>
        <v>37802.702991789818</v>
      </c>
      <c r="G112" s="1">
        <f t="shared" si="27"/>
        <v>30404.675459884988</v>
      </c>
      <c r="H112" s="1">
        <f t="shared" si="27"/>
        <v>45930.694562767843</v>
      </c>
      <c r="I112" s="1">
        <f t="shared" si="27"/>
        <v>38562.600859753526</v>
      </c>
      <c r="J112" s="1">
        <f t="shared" si="27"/>
        <v>51387.904332925427</v>
      </c>
      <c r="K112" s="1">
        <f t="shared" si="27"/>
        <v>65194.479300260646</v>
      </c>
      <c r="L112" s="1">
        <f t="shared" si="27"/>
        <v>85841.688068735675</v>
      </c>
      <c r="M112" s="1">
        <f t="shared" si="27"/>
        <v>106644.62360500521</v>
      </c>
      <c r="N112" s="1">
        <f t="shared" si="27"/>
        <v>131027.84087766315</v>
      </c>
      <c r="O112" s="1">
        <f t="shared" si="27"/>
        <v>157725.29370157234</v>
      </c>
    </row>
  </sheetData>
  <mergeCells count="1">
    <mergeCell ref="B36:J36"/>
  </mergeCells>
  <pageMargins left="0.70866141732283472" right="0.70866141732283472" top="0.74803149606299213" bottom="0.74803149606299213" header="0.31496062992125984" footer="0.31496062992125984"/>
  <pageSetup paperSize="9" scale="4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3"/>
  <sheetViews>
    <sheetView showGridLines="0" zoomScaleNormal="100" workbookViewId="0">
      <selection activeCell="F19" sqref="F19"/>
    </sheetView>
  </sheetViews>
  <sheetFormatPr defaultRowHeight="15" x14ac:dyDescent="0.25"/>
  <cols>
    <col min="2" max="2" width="53.7109375" bestFit="1" customWidth="1"/>
    <col min="3" max="3" width="14.85546875" customWidth="1"/>
    <col min="4" max="15" width="10.5703125" bestFit="1" customWidth="1"/>
  </cols>
  <sheetData>
    <row r="2" spans="2:15" x14ac:dyDescent="0.25">
      <c r="B2" s="40" t="s">
        <v>62</v>
      </c>
      <c r="C2" s="41"/>
      <c r="D2" s="42">
        <v>2011</v>
      </c>
      <c r="E2" s="42">
        <f>D2+1</f>
        <v>2012</v>
      </c>
      <c r="F2" s="42">
        <f t="shared" ref="F2:J2" si="0">E2+1</f>
        <v>2013</v>
      </c>
      <c r="G2" s="42">
        <f t="shared" si="0"/>
        <v>2014</v>
      </c>
      <c r="H2" s="42">
        <f t="shared" si="0"/>
        <v>2015</v>
      </c>
      <c r="I2" s="42">
        <f t="shared" si="0"/>
        <v>2016</v>
      </c>
      <c r="J2" s="42">
        <f t="shared" si="0"/>
        <v>2017</v>
      </c>
      <c r="K2" s="41"/>
      <c r="L2" s="41"/>
      <c r="M2" s="41"/>
      <c r="N2" s="41"/>
      <c r="O2" s="43"/>
    </row>
    <row r="3" spans="2:15" x14ac:dyDescent="0.25">
      <c r="B3" s="44" t="s">
        <v>63</v>
      </c>
      <c r="C3" s="45" t="s">
        <v>64</v>
      </c>
      <c r="D3" s="45">
        <f>(74.8)*-1000</f>
        <v>-74800</v>
      </c>
      <c r="E3" s="45">
        <f>(83.1)*-1000</f>
        <v>-83100</v>
      </c>
      <c r="F3" s="45">
        <f>(93.5)*-1000</f>
        <v>-93500</v>
      </c>
      <c r="G3" s="45">
        <v>-121500</v>
      </c>
      <c r="H3" s="45">
        <f>(147.6)*-1000</f>
        <v>-147600</v>
      </c>
      <c r="I3" s="45">
        <f>(243.2)*-1000</f>
        <v>-243200</v>
      </c>
      <c r="J3" s="45">
        <f>(374.7)*-1000</f>
        <v>-374700</v>
      </c>
      <c r="K3" s="45"/>
      <c r="L3" s="45"/>
      <c r="M3" s="45"/>
      <c r="N3" s="45"/>
      <c r="O3" s="46"/>
    </row>
    <row r="4" spans="2:15" x14ac:dyDescent="0.25">
      <c r="B4" s="47" t="s">
        <v>65</v>
      </c>
      <c r="C4" s="45"/>
      <c r="D4" s="48">
        <f>Sheet1!D20/'Int Expense Proxy'!D3</f>
        <v>0.16537672856088304</v>
      </c>
      <c r="E4" s="48">
        <f>Sheet1!E20/'Int Expense Proxy'!E3</f>
        <v>0.36404388150158162</v>
      </c>
      <c r="F4" s="48">
        <f>Sheet1!F20/'Int Expense Proxy'!F3</f>
        <v>0.54227744533559719</v>
      </c>
      <c r="G4" s="48">
        <f>Sheet1!G20/'Int Expense Proxy'!G3</f>
        <v>0.43577812357404921</v>
      </c>
      <c r="H4" s="48">
        <f>Sheet1!H20/'Int Expense Proxy'!H3</f>
        <v>0.50752148688141263</v>
      </c>
      <c r="I4" s="48">
        <f>Sheet1!I20/'Int Expense Proxy'!I3</f>
        <v>0.45314454594304965</v>
      </c>
      <c r="J4" s="48">
        <f>Sheet1!J20/'Int Expense Proxy'!J3</f>
        <v>0.62212959240829802</v>
      </c>
      <c r="K4" s="48"/>
      <c r="L4" s="48"/>
      <c r="M4" s="48"/>
      <c r="N4" s="48"/>
      <c r="O4" s="49"/>
    </row>
    <row r="5" spans="2:15" x14ac:dyDescent="0.25">
      <c r="B5" s="47" t="s">
        <v>66</v>
      </c>
      <c r="C5" s="45"/>
      <c r="D5" s="48"/>
      <c r="E5" s="48"/>
      <c r="F5" s="48"/>
      <c r="G5" s="48"/>
      <c r="H5" s="48"/>
      <c r="I5" s="48"/>
      <c r="J5" s="48"/>
      <c r="K5" s="50">
        <v>4.5199999999999997E-2</v>
      </c>
      <c r="L5" s="50">
        <v>4.5199999999999997E-2</v>
      </c>
      <c r="M5" s="50">
        <v>4.5199999999999997E-2</v>
      </c>
      <c r="N5" s="50">
        <v>4.5199999999999997E-2</v>
      </c>
      <c r="O5" s="51">
        <v>4.5199999999999997E-2</v>
      </c>
    </row>
    <row r="6" spans="2:15" x14ac:dyDescent="0.25">
      <c r="B6" s="47" t="s">
        <v>67</v>
      </c>
      <c r="C6" s="45" t="s">
        <v>64</v>
      </c>
      <c r="D6" s="45">
        <f>(-69.761-1.197)*1000</f>
        <v>-70958</v>
      </c>
      <c r="E6" s="45">
        <f>(-68.153-1.822)*1000</f>
        <v>-69975.000000000015</v>
      </c>
      <c r="F6" s="45">
        <f>(-67.463-2.248)*1000</f>
        <v>-69711</v>
      </c>
      <c r="G6" s="45">
        <f>(-66.552-3.219)*1000</f>
        <v>-69771</v>
      </c>
      <c r="H6" s="45">
        <f>(-86.2-4.3)*1000</f>
        <v>-90500</v>
      </c>
      <c r="I6" s="45">
        <f>(-79.6-5.5)*1000</f>
        <v>-85100</v>
      </c>
      <c r="J6" s="45">
        <f>(-72.7-9.9)*1000</f>
        <v>-82600.000000000015</v>
      </c>
      <c r="K6" s="45"/>
      <c r="L6" s="45"/>
      <c r="M6" s="45"/>
      <c r="N6" s="45"/>
      <c r="O6" s="46"/>
    </row>
    <row r="7" spans="2:15" x14ac:dyDescent="0.25">
      <c r="B7" s="52" t="s">
        <v>68</v>
      </c>
      <c r="C7" s="53"/>
      <c r="D7" s="54">
        <f t="shared" ref="D7:J7" si="1">D4*D6</f>
        <v>-11734.801905223138</v>
      </c>
      <c r="E7" s="54">
        <f t="shared" si="1"/>
        <v>-25473.970608073178</v>
      </c>
      <c r="F7" s="54">
        <f t="shared" si="1"/>
        <v>-37802.702991789818</v>
      </c>
      <c r="G7" s="54">
        <f t="shared" si="1"/>
        <v>-30404.675459884988</v>
      </c>
      <c r="H7" s="54">
        <f t="shared" si="1"/>
        <v>-45930.694562767843</v>
      </c>
      <c r="I7" s="54">
        <f t="shared" si="1"/>
        <v>-38562.600859753526</v>
      </c>
      <c r="J7" s="54">
        <f t="shared" si="1"/>
        <v>-51387.904332925427</v>
      </c>
      <c r="K7" s="54">
        <f>J7+[9]Sheet1!K20*K5</f>
        <v>-65194.479300260646</v>
      </c>
      <c r="L7" s="54">
        <f>K7+[9]Sheet1!L20*L5</f>
        <v>-85841.688068735675</v>
      </c>
      <c r="M7" s="54">
        <f>L7+[9]Sheet1!M20*M5</f>
        <v>-106644.62360500521</v>
      </c>
      <c r="N7" s="54">
        <f>M7+[9]Sheet1!N20*N5</f>
        <v>-131027.84087766315</v>
      </c>
      <c r="O7" s="55">
        <f>N7+[9]Sheet1!O20*O5</f>
        <v>-157725.29370157234</v>
      </c>
    </row>
    <row r="8" spans="2:15" x14ac:dyDescent="0.25">
      <c r="E8" s="56"/>
      <c r="F8" s="56"/>
      <c r="G8" s="56"/>
      <c r="H8" s="56"/>
      <c r="I8" s="56"/>
      <c r="J8" s="56"/>
      <c r="K8" s="56"/>
      <c r="L8" s="56"/>
      <c r="M8" s="56"/>
      <c r="N8" s="56"/>
      <c r="O8" s="56"/>
    </row>
    <row r="9" spans="2:15" x14ac:dyDescent="0.25">
      <c r="B9" s="21" t="s">
        <v>29</v>
      </c>
    </row>
    <row r="10" spans="2:15" ht="15" customHeight="1" x14ac:dyDescent="0.25">
      <c r="B10" s="57" t="s">
        <v>61</v>
      </c>
      <c r="C10" s="57"/>
      <c r="D10" s="57"/>
      <c r="E10" s="57"/>
      <c r="F10" s="57"/>
      <c r="G10" s="57"/>
      <c r="H10" s="57"/>
      <c r="I10" s="57"/>
      <c r="J10" s="57"/>
    </row>
    <row r="11" spans="2:15" x14ac:dyDescent="0.25">
      <c r="B11" s="57"/>
      <c r="C11" s="57"/>
      <c r="D11" s="57"/>
      <c r="E11" s="57"/>
      <c r="F11" s="57"/>
      <c r="G11" s="57"/>
      <c r="H11" s="57"/>
      <c r="I11" s="57"/>
      <c r="J11" s="57"/>
    </row>
    <row r="12" spans="2:15" x14ac:dyDescent="0.25">
      <c r="B12" s="57"/>
      <c r="C12" s="57"/>
      <c r="D12" s="57"/>
      <c r="E12" s="57"/>
      <c r="F12" s="57"/>
      <c r="G12" s="57"/>
      <c r="H12" s="57"/>
      <c r="I12" s="57"/>
      <c r="J12" s="57"/>
    </row>
    <row r="13" spans="2:15" x14ac:dyDescent="0.25">
      <c r="B13" s="57"/>
      <c r="C13" s="57"/>
      <c r="D13" s="57"/>
      <c r="E13" s="57"/>
      <c r="F13" s="57"/>
      <c r="G13" s="57"/>
      <c r="H13" s="57"/>
      <c r="I13" s="57"/>
      <c r="J13" s="57"/>
    </row>
  </sheetData>
  <mergeCells count="1">
    <mergeCell ref="B10:J13"/>
  </mergeCells>
  <pageMargins left="0.7" right="0.7" top="0.75" bottom="0.75" header="0.3" footer="0.3"/>
</worksheet>
</file>

<file path=customXML/item.xml><?xml version="1.0" encoding="utf-8"?>
<im:links xmlns:im="http://www.autonomy.com/WorkSite">
  <im:linkstream>C:\Users\emmara\AppData\Local\Temp\NetRight\Links\AIRPORT_DOCS\2531526_1.xlsx?!nrtdms:0:!session:EDRMS.AUCKLANDAIRPORT.CO.NZ:!database:AIRPORT_DOCS:!document:2531526,1:?Y*</im:linkstream>
</im:link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Int Expense Proxy</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Hayden Ng</dc:creator>
  <cp:lastModifiedBy>Emma Rae</cp:lastModifiedBy>
  <cp:lastPrinted>2018-03-01T04:25:40Z</cp:lastPrinted>
  <dcterms:created xsi:type="dcterms:W3CDTF">2018-02-28T04:13:35Z</dcterms:created>
  <dcterms:modified xsi:type="dcterms:W3CDTF">2018-04-06T04:14:46Z</dcterms:modified>
</cp:coreProperties>
</file>